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sibullina\Desktop\ДК Горняк\1 этаж\демонтаж\"/>
    </mc:Choice>
  </mc:AlternateContent>
  <xr:revisionPtr revIDLastSave="0" documentId="13_ncr:1_{0A70172F-6510-428B-B5B3-72B1DDF9377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аб 1 этаж" sheetId="1" r:id="rId1"/>
    <sheet name="Лист1" sheetId="2" r:id="rId2"/>
  </sheets>
  <definedNames>
    <definedName name="Constr" localSheetId="0">'каб 1 этаж'!#REF!</definedName>
    <definedName name="FOT" localSheetId="0">'каб 1 этаж'!#REF!</definedName>
    <definedName name="Ind" localSheetId="0">'каб 1 этаж'!#REF!</definedName>
    <definedName name="Obj" localSheetId="0">'каб 1 этаж'!#REF!</definedName>
    <definedName name="Obosn" localSheetId="0">'каб 1 этаж'!#REF!</definedName>
    <definedName name="SmPr" localSheetId="0">'каб 1 этаж'!#REF!</definedName>
    <definedName name="_xlnm.Print_Titles" localSheetId="0">'каб 1 этаж'!$6:$6</definedName>
    <definedName name="_xlnm.Print_Area" localSheetId="0">'каб 1 этаж'!$A$1:$E$73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69" i="1" l="1"/>
  <c r="F66" i="1"/>
  <c r="F67" i="1"/>
  <c r="D67" i="1"/>
  <c r="H65" i="1"/>
  <c r="D66" i="1"/>
  <c r="F65" i="1"/>
  <c r="D65" i="1"/>
  <c r="F64" i="1"/>
  <c r="F63" i="1"/>
  <c r="D64" i="1"/>
  <c r="H64" i="1"/>
  <c r="D63" i="1"/>
  <c r="D20" i="1" l="1"/>
  <c r="G20" i="1"/>
  <c r="F32" i="1" l="1"/>
  <c r="F33" i="1"/>
  <c r="F34" i="1"/>
  <c r="F35" i="1"/>
  <c r="F36" i="1"/>
  <c r="F60" i="1"/>
  <c r="F59" i="1"/>
  <c r="F58" i="1"/>
  <c r="F57" i="1"/>
  <c r="F56" i="1"/>
  <c r="F55" i="1"/>
  <c r="F47" i="1"/>
  <c r="F41" i="1"/>
  <c r="F43" i="1"/>
  <c r="F44" i="1"/>
  <c r="F52" i="1"/>
  <c r="F51" i="1"/>
  <c r="F49" i="1"/>
  <c r="F48" i="1"/>
  <c r="F42" i="1"/>
  <c r="F40" i="1"/>
  <c r="D59" i="1"/>
  <c r="H59" i="1"/>
  <c r="D56" i="1"/>
  <c r="D55" i="1"/>
  <c r="H55" i="1"/>
  <c r="D61" i="1"/>
  <c r="H61" i="1"/>
  <c r="D60" i="1"/>
  <c r="D58" i="1"/>
  <c r="D57" i="1"/>
  <c r="D26" i="1"/>
  <c r="D34" i="1"/>
  <c r="D50" i="1"/>
  <c r="D43" i="1"/>
  <c r="D52" i="1"/>
  <c r="D51" i="1"/>
  <c r="D49" i="1"/>
  <c r="D48" i="1"/>
  <c r="D47" i="1"/>
  <c r="D42" i="1"/>
  <c r="D41" i="1"/>
  <c r="D40" i="1"/>
  <c r="D37" i="1"/>
  <c r="D36" i="1"/>
  <c r="D33" i="1"/>
  <c r="D32" i="1"/>
  <c r="D9" i="1"/>
  <c r="F61" i="1" l="1"/>
  <c r="F37" i="1"/>
  <c r="D25" i="1"/>
  <c r="F24" i="1"/>
  <c r="D24" i="1"/>
  <c r="F23" i="1"/>
  <c r="D23" i="1"/>
  <c r="F9" i="1"/>
  <c r="F14" i="1" l="1"/>
  <c r="D14" i="1"/>
  <c r="F29" i="1"/>
  <c r="D29" i="1"/>
  <c r="F20" i="1"/>
  <c r="D15" i="1" l="1"/>
  <c r="F15" i="1"/>
  <c r="D13" i="1"/>
  <c r="F27" i="1"/>
  <c r="F25" i="1"/>
  <c r="F22" i="1" l="1"/>
  <c r="F21" i="1"/>
  <c r="F18" i="1"/>
  <c r="F17" i="1"/>
  <c r="F13" i="1"/>
  <c r="F11" i="1"/>
  <c r="F10" i="1"/>
  <c r="D27" i="1"/>
  <c r="D28" i="1" s="1"/>
  <c r="D19" i="1"/>
  <c r="D22" i="1"/>
  <c r="D21" i="1"/>
  <c r="D18" i="1"/>
  <c r="D17" i="1" l="1"/>
  <c r="D16" i="1"/>
  <c r="D11" i="1"/>
  <c r="D10" i="1"/>
  <c r="D12" i="1" l="1"/>
  <c r="D10" i="2" l="1"/>
  <c r="D28" i="2" l="1"/>
  <c r="D26" i="2"/>
  <c r="D25" i="2"/>
  <c r="D24" i="2"/>
  <c r="D23" i="2"/>
  <c r="D22" i="2"/>
  <c r="D17" i="2"/>
  <c r="D15" i="2"/>
  <c r="D14" i="2"/>
  <c r="D18" i="2" s="1"/>
  <c r="D13" i="2"/>
  <c r="D12" i="2"/>
  <c r="D16" i="2" s="1"/>
  <c r="D11" i="2"/>
</calcChain>
</file>

<file path=xl/sharedStrings.xml><?xml version="1.0" encoding="utf-8"?>
<sst xmlns="http://schemas.openxmlformats.org/spreadsheetml/2006/main" count="263" uniqueCount="143">
  <si>
    <t>№ пп</t>
  </si>
  <si>
    <t>Наименование</t>
  </si>
  <si>
    <t>Ед. изм.</t>
  </si>
  <si>
    <t>Кол.</t>
  </si>
  <si>
    <t>Примечание</t>
  </si>
  <si>
    <t>Общестроительные работы</t>
  </si>
  <si>
    <t xml:space="preserve">Дефектная ведомость </t>
  </si>
  <si>
    <t>м.п</t>
  </si>
  <si>
    <t>Составил:                                                                                    вед. инженер ПМКУ "УКС"Насибуллина Г.Ю</t>
  </si>
  <si>
    <t>На ремонт кабинета в МАОУ "СОШ № 2" по адресу:
Свердловская обл., г.Первоуральск, ул.Чкалова, 26</t>
  </si>
  <si>
    <t>м2</t>
  </si>
  <si>
    <t>Демонтаж деревянных плинтусов</t>
  </si>
  <si>
    <t>Демонтаж  деревянной  двери</t>
  </si>
  <si>
    <t xml:space="preserve"> м2</t>
  </si>
  <si>
    <t>Отбивка штукатурки со стен</t>
  </si>
  <si>
    <t>по маякам</t>
  </si>
  <si>
    <t>Снятие линолеума</t>
  </si>
  <si>
    <t xml:space="preserve">Грунтование поверхности стен перед оштукатуриванием </t>
  </si>
  <si>
    <t>Оштукатуривание стен толщиной слоя  до 60 мм</t>
  </si>
  <si>
    <t>Грунтование поверхности стен перед наклейкой обоев</t>
  </si>
  <si>
    <t>Оклейка стен обоями под покраску</t>
  </si>
  <si>
    <t xml:space="preserve">Окраска  обоев поливинилацетатными водоэмульсионными составами </t>
  </si>
  <si>
    <t>Устройство подвесного потолка типа "Армстронг"</t>
  </si>
  <si>
    <t>Монтаж дверей</t>
  </si>
  <si>
    <t>Разборка дощатого пола</t>
  </si>
  <si>
    <t>Разборка лаг</t>
  </si>
  <si>
    <t xml:space="preserve">Устройство подстилающего слоя </t>
  </si>
  <si>
    <t>м3</t>
  </si>
  <si>
    <t>отсев, до 400 мм</t>
  </si>
  <si>
    <t>Устройство пленки</t>
  </si>
  <si>
    <t>Устройство бетонного пола армированного сеткой</t>
  </si>
  <si>
    <t>М200</t>
  </si>
  <si>
    <t>Спортивный зал</t>
  </si>
  <si>
    <t>Прочие работы</t>
  </si>
  <si>
    <t>Вывоз и утилизация мусора</t>
  </si>
  <si>
    <t>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</si>
  <si>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</si>
  <si>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</si>
  <si>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</si>
  <si>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</si>
  <si>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</si>
  <si>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</si>
  <si>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</si>
  <si>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</si>
  <si>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</si>
  <si>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</si>
  <si>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</si>
  <si>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</si>
  <si>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Демонтажные работы</t>
  </si>
  <si>
    <t>мп</t>
  </si>
  <si>
    <t>Разборка покрытия пола из линолеума</t>
  </si>
  <si>
    <t>13</t>
  </si>
  <si>
    <t>14</t>
  </si>
  <si>
    <t>15</t>
  </si>
  <si>
    <t xml:space="preserve"> </t>
  </si>
  <si>
    <t>16</t>
  </si>
  <si>
    <t>17</t>
  </si>
  <si>
    <t xml:space="preserve">На ремонт помещений дома культуры "Горняк" по адресу: г. Первоуральск, ул. Энгельса, 12а.
</t>
  </si>
  <si>
    <t>1-ый этаж</t>
  </si>
  <si>
    <t xml:space="preserve">Разборка деревянных дверей </t>
  </si>
  <si>
    <t>Демонтаж окон</t>
  </si>
  <si>
    <t>Разборка дощатых перегородок</t>
  </si>
  <si>
    <t>Демонтаж металлической двери</t>
  </si>
  <si>
    <t>Разборка покрытия пола из керамической плитки</t>
  </si>
  <si>
    <t>Демонтаж сантехнических перегородок</t>
  </si>
  <si>
    <t>Демонтажные  работы (9-13, 16-22, 27-41, 46-50, 52-54, 56, 57)</t>
  </si>
  <si>
    <t>Разборка деревянных плинтусов</t>
  </si>
  <si>
    <t>Разборка деревянного шкафа</t>
  </si>
  <si>
    <t>металлические (пом 48)</t>
  </si>
  <si>
    <t>Разборка облицовки стен из керамической плитки</t>
  </si>
  <si>
    <t>Разборка онования пола из ДВП</t>
  </si>
  <si>
    <t>Разборка паркета щитового</t>
  </si>
  <si>
    <t>Отбивка штукатурки с потолка</t>
  </si>
  <si>
    <t>Снятие обоев</t>
  </si>
  <si>
    <t>Расчистка стен от краски</t>
  </si>
  <si>
    <t xml:space="preserve">Отбивка штукатурки со стен </t>
  </si>
  <si>
    <t>30% от 661,7</t>
  </si>
  <si>
    <t>0,44 т</t>
  </si>
  <si>
    <r>
      <t xml:space="preserve">1,8х2,5 глубина 400 мм (раздача из кухни, пом 18)
</t>
    </r>
    <r>
      <rPr>
        <b/>
        <sz val="10"/>
        <rFont val="Arial"/>
        <family val="2"/>
        <charset val="204"/>
      </rPr>
      <t>0,022 т</t>
    </r>
  </si>
  <si>
    <r>
      <t xml:space="preserve">17,18,22-27,34-37,11,12 
</t>
    </r>
    <r>
      <rPr>
        <b/>
        <sz val="10"/>
        <rFont val="Arial"/>
        <family val="2"/>
        <charset val="204"/>
      </rPr>
      <t>мусор 1,45 т</t>
    </r>
  </si>
  <si>
    <r>
      <t xml:space="preserve">0,9х2,1 </t>
    </r>
    <r>
      <rPr>
        <b/>
        <sz val="10"/>
        <rFont val="Arial"/>
        <family val="2"/>
        <charset val="204"/>
      </rPr>
      <t>0,056</t>
    </r>
    <r>
      <rPr>
        <sz val="10"/>
        <rFont val="Arial"/>
        <family val="2"/>
        <charset val="204"/>
      </rPr>
      <t xml:space="preserve"> т</t>
    </r>
  </si>
  <si>
    <r>
      <t xml:space="preserve">внутренних </t>
    </r>
    <r>
      <rPr>
        <b/>
        <sz val="10"/>
        <rFont val="Arial"/>
        <family val="2"/>
        <charset val="204"/>
      </rPr>
      <t>0,027 т</t>
    </r>
  </si>
  <si>
    <r>
      <t xml:space="preserve">16 
</t>
    </r>
    <r>
      <rPr>
        <b/>
        <sz val="10"/>
        <rFont val="Arial"/>
        <family val="2"/>
        <charset val="204"/>
      </rPr>
      <t>мусор 0,37 т</t>
    </r>
  </si>
  <si>
    <r>
      <t xml:space="preserve">33, 39 
</t>
    </r>
    <r>
      <rPr>
        <b/>
        <sz val="10"/>
        <rFont val="Arial"/>
        <family val="2"/>
        <charset val="204"/>
      </rPr>
      <t>0,219 т</t>
    </r>
  </si>
  <si>
    <r>
      <t xml:space="preserve">28, 29, 30
</t>
    </r>
    <r>
      <rPr>
        <b/>
        <sz val="10"/>
        <rFont val="Arial"/>
        <family val="2"/>
        <charset val="204"/>
      </rPr>
      <t>4,035 т</t>
    </r>
  </si>
  <si>
    <t>Отбивка штукатурки со стен толщ. до 20 мм</t>
  </si>
  <si>
    <r>
      <t xml:space="preserve">9-12,17-20,21-30,33-40
</t>
    </r>
    <r>
      <rPr>
        <b/>
        <sz val="10"/>
        <rFont val="Arial"/>
        <family val="2"/>
        <charset val="204"/>
      </rPr>
      <t>мусор 52,96 т вместе со штукатуркой</t>
    </r>
  </si>
  <si>
    <r>
      <t xml:space="preserve">  все помещения, кроме коридоров, ЛК и вестибюля
</t>
    </r>
    <r>
      <rPr>
        <b/>
        <sz val="10"/>
        <rFont val="Arial"/>
        <family val="2"/>
        <charset val="204"/>
      </rPr>
      <t>35,8т</t>
    </r>
  </si>
  <si>
    <r>
      <t xml:space="preserve">9,16, 38, 46, 47, 48, 49, 40, 41
</t>
    </r>
    <r>
      <rPr>
        <b/>
        <sz val="10"/>
        <rFont val="Arial"/>
        <family val="2"/>
        <charset val="204"/>
      </rPr>
      <t>мусор 1,13 т</t>
    </r>
  </si>
  <si>
    <r>
      <t>10-12,17,18,19,22,23,24,25,26,27,34-37,56,57</t>
    </r>
    <r>
      <rPr>
        <sz val="10"/>
        <color rgb="FFFF000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4,1 т</t>
    </r>
  </si>
  <si>
    <t>Разборка облицовки стен из ДСП</t>
  </si>
  <si>
    <r>
      <t xml:space="preserve">70% от 498,17 м2
</t>
    </r>
    <r>
      <rPr>
        <b/>
        <sz val="10"/>
        <rFont val="Arial"/>
        <family val="2"/>
        <charset val="204"/>
      </rPr>
      <t>14,54 т</t>
    </r>
  </si>
  <si>
    <r>
      <rPr>
        <sz val="10"/>
        <rFont val="Arial"/>
        <family val="2"/>
        <charset val="204"/>
      </rPr>
      <t>9,13,16,20,21,28,29,30,33,38,39,40,41</t>
    </r>
    <r>
      <rPr>
        <sz val="10"/>
        <color rgb="FFFF0000"/>
        <rFont val="Arial"/>
        <family val="2"/>
        <charset val="204"/>
      </rPr>
      <t>,</t>
    </r>
    <r>
      <rPr>
        <sz val="10"/>
        <rFont val="Arial"/>
        <family val="2"/>
        <charset val="204"/>
      </rPr>
      <t>46-49</t>
    </r>
    <r>
      <rPr>
        <sz val="10"/>
        <color rgb="FFFF0000"/>
        <rFont val="Arial"/>
        <family val="2"/>
        <charset val="204"/>
      </rPr>
      <t>,</t>
    </r>
    <r>
      <rPr>
        <sz val="10"/>
        <rFont val="Arial"/>
        <family val="2"/>
        <charset val="204"/>
      </rPr>
      <t>53,54</t>
    </r>
    <r>
      <rPr>
        <sz val="10"/>
        <color rgb="FFFF000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12,4 т</t>
    </r>
  </si>
  <si>
    <r>
      <t xml:space="preserve">стены из шлакоблока 50% от 1083 м2
</t>
    </r>
    <r>
      <rPr>
        <b/>
        <sz val="10"/>
        <rFont val="Arial"/>
        <family val="2"/>
        <charset val="204"/>
      </rPr>
      <t>26,46 т</t>
    </r>
  </si>
  <si>
    <r>
      <t xml:space="preserve">1,35х2,3  - 14 шт
1,6х2,6 - 4 шт (остекл)
0,9х2,3 - 18 шт
0,7х2,3 - 6 шт
3,5х2,7 - 1 шт (остекл)
1,6х2,7 - 1 шт (остекл)
1,8х2,9 1 шт (остекл)
</t>
    </r>
    <r>
      <rPr>
        <b/>
        <sz val="10"/>
        <rFont val="Arial"/>
        <family val="2"/>
        <charset val="204"/>
      </rPr>
      <t>мусор 1,647 т</t>
    </r>
  </si>
  <si>
    <t>Коридор (пом. 45)</t>
  </si>
  <si>
    <t xml:space="preserve">Демонтаж витража </t>
  </si>
  <si>
    <t>Расчистка потолка от краски</t>
  </si>
  <si>
    <t>Отбивка штукатурки со стен, толщиной до 20 мм</t>
  </si>
  <si>
    <t>Разборка бетонных плинтусов</t>
  </si>
  <si>
    <t>Демонтаж зеркал</t>
  </si>
  <si>
    <t>Вестибюль (пом 51)</t>
  </si>
  <si>
    <t>18</t>
  </si>
  <si>
    <t>19</t>
  </si>
  <si>
    <t xml:space="preserve">Демонтаж бетонных плинтусов </t>
  </si>
  <si>
    <t>Коридор (пом. 55)</t>
  </si>
  <si>
    <t>Разборка деревянных дверей с остеклением</t>
  </si>
  <si>
    <t>Лестничные клетки (2 шт.)</t>
  </si>
  <si>
    <t>Расчистка бетонных перил ограждения от краски</t>
  </si>
  <si>
    <t>балюстрада (перила и резные балясины), 50% от 69 м2</t>
  </si>
  <si>
    <r>
      <t xml:space="preserve"> </t>
    </r>
    <r>
      <rPr>
        <b/>
        <sz val="10"/>
        <rFont val="Arial"/>
        <family val="2"/>
        <charset val="204"/>
      </rPr>
      <t>0,145 т</t>
    </r>
  </si>
  <si>
    <r>
      <t xml:space="preserve">50% от 88,43 м2
</t>
    </r>
    <r>
      <rPr>
        <b/>
        <sz val="10"/>
        <rFont val="Arial"/>
        <family val="2"/>
        <charset val="204"/>
      </rPr>
      <t>1,6 т</t>
    </r>
  </si>
  <si>
    <t>Отбивка штукатурки с потолка толщ до 20 мм</t>
  </si>
  <si>
    <r>
      <t xml:space="preserve">20 % от 41,5
</t>
    </r>
    <r>
      <rPr>
        <b/>
        <sz val="10"/>
        <rFont val="Arial"/>
        <family val="2"/>
        <charset val="204"/>
      </rPr>
      <t>0,298 т</t>
    </r>
  </si>
  <si>
    <r>
      <t xml:space="preserve">80%
</t>
    </r>
    <r>
      <rPr>
        <b/>
        <sz val="10"/>
        <rFont val="Arial"/>
        <family val="2"/>
        <charset val="204"/>
      </rPr>
      <t>0,0199 т</t>
    </r>
  </si>
  <si>
    <r>
      <t xml:space="preserve">по периметру лепнина, в центре купол с розеткой
</t>
    </r>
    <r>
      <rPr>
        <b/>
        <sz val="10"/>
        <rFont val="Arial"/>
        <family val="2"/>
        <charset val="204"/>
      </rPr>
      <t>0,0338 т</t>
    </r>
  </si>
  <si>
    <r>
      <t xml:space="preserve">50% от 72,35 м2, шлакоблок
</t>
    </r>
    <r>
      <rPr>
        <b/>
        <sz val="10"/>
        <rFont val="Arial"/>
        <family val="2"/>
        <charset val="204"/>
      </rPr>
      <t>1,302 т</t>
    </r>
  </si>
  <si>
    <t>0,022 т</t>
  </si>
  <si>
    <r>
      <t xml:space="preserve">3,5х2,55
</t>
    </r>
    <r>
      <rPr>
        <b/>
        <sz val="10"/>
        <rFont val="Arial"/>
        <family val="2"/>
        <charset val="204"/>
      </rPr>
      <t>0,178 т</t>
    </r>
  </si>
  <si>
    <r>
      <t xml:space="preserve">со шлакоблока 50% от 135,612 м2
</t>
    </r>
    <r>
      <rPr>
        <b/>
        <sz val="10"/>
        <rFont val="Arial"/>
        <family val="2"/>
        <charset val="204"/>
      </rPr>
      <t>2,44 т</t>
    </r>
  </si>
  <si>
    <r>
      <t xml:space="preserve">потолок состоит из ниш с лепниной по периметру каждой ниши, в центре розетка, окрашен либо маслом, либо акрилом
</t>
    </r>
    <r>
      <rPr>
        <b/>
        <sz val="10"/>
        <rFont val="Arial"/>
        <family val="2"/>
        <charset val="204"/>
      </rPr>
      <t>0,06 т</t>
    </r>
  </si>
  <si>
    <t>0,221 т</t>
  </si>
  <si>
    <t>0,040 т</t>
  </si>
  <si>
    <t>0,166 т</t>
  </si>
  <si>
    <t xml:space="preserve">Разборка облицовки стен из ДВП </t>
  </si>
  <si>
    <t>0,304 т</t>
  </si>
  <si>
    <r>
      <t xml:space="preserve">1,7х3,2 - 1 шт
1х3,2 - 2 шт
3,3х3,8 -3 шт.
</t>
    </r>
    <r>
      <rPr>
        <b/>
        <sz val="10"/>
        <rFont val="Arial"/>
        <family val="2"/>
        <charset val="204"/>
      </rPr>
      <t>0,840 т</t>
    </r>
  </si>
  <si>
    <r>
      <t xml:space="preserve">шлакоблок 50% от 475,3 м2
</t>
    </r>
    <r>
      <rPr>
        <b/>
        <sz val="10"/>
        <rFont val="Arial"/>
        <family val="2"/>
        <charset val="204"/>
      </rPr>
      <t>8,56 т</t>
    </r>
  </si>
  <si>
    <t>0,143 т</t>
  </si>
  <si>
    <r>
      <t xml:space="preserve">бетонная плита, по периметру лепнина
</t>
    </r>
    <r>
      <rPr>
        <b/>
        <sz val="10"/>
        <rFont val="Arial"/>
        <family val="2"/>
        <charset val="204"/>
      </rPr>
      <t>2,76 т</t>
    </r>
  </si>
  <si>
    <t>по дранке, низ лестничных маршей
2,56 т</t>
  </si>
  <si>
    <t>Отбивка штукатурки с потолка толщ до 30 мм</t>
  </si>
  <si>
    <r>
      <rPr>
        <b/>
        <sz val="10"/>
        <rFont val="Arial"/>
        <family val="2"/>
        <charset val="204"/>
      </rPr>
      <t>20%</t>
    </r>
    <r>
      <rPr>
        <sz val="10"/>
        <rFont val="Arial"/>
        <family val="2"/>
        <charset val="204"/>
      </rPr>
      <t xml:space="preserve"> от 67,03 м2,</t>
    </r>
    <r>
      <rPr>
        <b/>
        <sz val="10"/>
        <rFont val="Arial"/>
        <family val="2"/>
        <charset val="204"/>
      </rPr>
      <t xml:space="preserve"> низ площадок </t>
    </r>
    <r>
      <rPr>
        <sz val="1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0,482 т</t>
    </r>
  </si>
  <si>
    <t>низ площадок, 80%
0,028 т</t>
  </si>
  <si>
    <t>Тамбуры (7,8,58)</t>
  </si>
  <si>
    <t>Демонтаж металлических дверей с остеклением</t>
  </si>
  <si>
    <t>Отбивка штукатурки со стен толщ до 20 мм</t>
  </si>
  <si>
    <r>
      <t xml:space="preserve">1,9х3,8 - 3 шт.
</t>
    </r>
    <r>
      <rPr>
        <b/>
        <sz val="10"/>
        <rFont val="Arial"/>
        <family val="2"/>
        <charset val="204"/>
      </rPr>
      <t>0,541 т</t>
    </r>
  </si>
  <si>
    <r>
      <t xml:space="preserve">20% от 73,9
</t>
    </r>
    <r>
      <rPr>
        <b/>
        <sz val="10"/>
        <rFont val="Arial"/>
        <family val="2"/>
        <charset val="204"/>
      </rPr>
      <t>0,532</t>
    </r>
    <r>
      <rPr>
        <sz val="10"/>
        <rFont val="Arial"/>
        <family val="2"/>
        <charset val="204"/>
      </rPr>
      <t xml:space="preserve"> т</t>
    </r>
  </si>
  <si>
    <t>0,035 т</t>
  </si>
  <si>
    <t>0,010 т</t>
  </si>
  <si>
    <r>
      <t xml:space="preserve">10 % от 19,2 м2
</t>
    </r>
    <r>
      <rPr>
        <b/>
        <sz val="10"/>
        <rFont val="Arial"/>
        <family val="2"/>
        <charset val="204"/>
      </rPr>
      <t>0,069 т</t>
    </r>
  </si>
  <si>
    <r>
      <t xml:space="preserve">дощатые по дранке 70 % от 661,7
</t>
    </r>
    <r>
      <rPr>
        <b/>
        <sz val="10"/>
        <rFont val="Arial"/>
        <family val="2"/>
        <charset val="204"/>
      </rPr>
      <t>25,03 т</t>
    </r>
    <r>
      <rPr>
        <sz val="10"/>
        <rFont val="Arial"/>
        <family val="2"/>
        <charset val="204"/>
      </rPr>
      <t xml:space="preserve"> (если не будет демонтажа перегородок)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</si>
</sst>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7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6" fillId="0" borderId="1" xfId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right" wrapText="1"/>
    </xf>
    <xf numFmtId="164" fontId="5" fillId="0" borderId="0" xfId="0" applyNumberFormat="1" applyFont="1"/>
    <xf numFmtId="0" fontId="12" fillId="0" borderId="0" xfId="0" applyFont="1"/>
    <xf numFmtId="49" fontId="5" fillId="0" borderId="1" xfId="0" applyNumberFormat="1" applyFont="1" applyBorder="1" applyAlignment="1">
      <alignment horizontal="center" vertical="top"/>
    </xf>
    <xf numFmtId="0" fontId="5" fillId="0" borderId="0" xfId="0" applyFont="1" applyFill="1" applyAlignment="1">
      <alignment horizontal="right"/>
    </xf>
    <xf numFmtId="0" fontId="5" fillId="0" borderId="1" xfId="1" applyFont="1" applyBorder="1" applyAlignment="1">
      <alignment horizontal="left" vertical="top" wrapText="1"/>
    </xf>
    <xf numFmtId="0" fontId="12" fillId="0" borderId="1" xfId="0" applyNumberFormat="1" applyFont="1" applyBorder="1" applyAlignment="1">
      <alignment horizontal="left" vertical="top" wrapText="1"/>
    </xf>
    <xf numFmtId="9" fontId="5" fillId="0" borderId="1" xfId="0" applyNumberFormat="1" applyFont="1" applyBorder="1" applyAlignment="1">
      <alignment horizontal="left" vertical="top" wrapText="1"/>
    </xf>
    <xf numFmtId="49" fontId="5" fillId="0" borderId="1" xfId="0" quotePrefix="1" applyNumberFormat="1" applyFont="1" applyBorder="1" applyAlignment="1">
      <alignment horizontal="center" vertical="top"/>
    </xf>
    <xf numFmtId="0" fontId="10" fillId="0" borderId="1" xfId="0" applyNumberFormat="1" applyFont="1" applyBorder="1" applyAlignment="1">
      <alignment horizontal="left" vertical="top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right"/>
    </xf>
    <xf numFmtId="0" fontId="10" fillId="0" borderId="1" xfId="0" applyNumberFormat="1" applyFont="1" applyBorder="1" applyAlignment="1">
      <alignment horizontal="left" vertical="top" wrapText="1"/>
    </xf>
    <xf numFmtId="0" fontId="5" fillId="0" borderId="0" xfId="0" applyFont="1" applyBorder="1"/>
    <xf numFmtId="0" fontId="5" fillId="0" borderId="0" xfId="0" applyNumberFormat="1" applyFont="1" applyBorder="1" applyAlignment="1">
      <alignment horizontal="right" vertical="top" wrapText="1"/>
    </xf>
    <xf numFmtId="0" fontId="5" fillId="3" borderId="1" xfId="0" applyFont="1" applyFill="1" applyBorder="1" applyAlignment="1">
      <alignment horizontal="center" vertical="top" wrapText="1"/>
    </xf>
    <xf numFmtId="0" fontId="10" fillId="3" borderId="1" xfId="0" applyNumberFormat="1" applyFont="1" applyFill="1" applyBorder="1" applyAlignment="1">
      <alignment horizontal="right" vertical="top" wrapText="1"/>
    </xf>
    <xf numFmtId="49" fontId="5" fillId="3" borderId="1" xfId="0" quotePrefix="1" applyNumberFormat="1" applyFont="1" applyFill="1" applyBorder="1" applyAlignment="1">
      <alignment horizontal="center" vertical="top"/>
    </xf>
    <xf numFmtId="0" fontId="6" fillId="3" borderId="1" xfId="1" applyFont="1" applyFill="1" applyBorder="1" applyAlignment="1">
      <alignment horizontal="left" vertical="top" wrapText="1"/>
    </xf>
    <xf numFmtId="0" fontId="5" fillId="3" borderId="1" xfId="0" applyNumberFormat="1" applyFont="1" applyFill="1" applyBorder="1" applyAlignment="1">
      <alignment horizontal="left" vertical="top"/>
    </xf>
    <xf numFmtId="0" fontId="5" fillId="0" borderId="1" xfId="0" applyFont="1" applyBorder="1" applyAlignment="1">
      <alignment horizontal="right" vertical="top" wrapText="1"/>
    </xf>
    <xf numFmtId="0" fontId="5" fillId="0" borderId="3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2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49" fontId="2" fillId="0" borderId="3" xfId="0" applyNumberFormat="1" applyFont="1" applyBorder="1" applyAlignment="1">
      <alignment horizontal="center" vertical="top" wrapText="1"/>
    </xf>
    <xf numFmtId="49" fontId="2" fillId="0" borderId="4" xfId="0" applyNumberFormat="1" applyFont="1" applyBorder="1" applyAlignment="1">
      <alignment horizontal="center" vertical="top" wrapText="1"/>
    </xf>
    <xf numFmtId="49" fontId="2" fillId="0" borderId="5" xfId="0" applyNumberFormat="1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10" fillId="2" borderId="3" xfId="0" quotePrefix="1" applyNumberFormat="1" applyFont="1" applyFill="1" applyBorder="1" applyAlignment="1">
      <alignment horizontal="center" vertical="top"/>
    </xf>
    <xf numFmtId="49" fontId="10" fillId="2" borderId="4" xfId="0" quotePrefix="1" applyNumberFormat="1" applyFont="1" applyFill="1" applyBorder="1" applyAlignment="1">
      <alignment horizontal="center" vertical="top"/>
    </xf>
    <xf numFmtId="49" fontId="10" fillId="2" borderId="5" xfId="0" quotePrefix="1" applyNumberFormat="1" applyFont="1" applyFill="1" applyBorder="1" applyAlignment="1">
      <alignment horizontal="center" vertical="top"/>
    </xf>
    <xf numFmtId="49" fontId="5" fillId="0" borderId="3" xfId="0" quotePrefix="1" applyNumberFormat="1" applyFont="1" applyBorder="1" applyAlignment="1">
      <alignment horizontal="center" vertical="top"/>
    </xf>
    <xf numFmtId="49" fontId="5" fillId="0" borderId="4" xfId="0" quotePrefix="1" applyNumberFormat="1" applyFont="1" applyBorder="1" applyAlignment="1">
      <alignment horizontal="center" vertical="top"/>
    </xf>
    <xf numFmtId="49" fontId="5" fillId="0" borderId="5" xfId="0" quotePrefix="1" applyNumberFormat="1" applyFont="1" applyBorder="1" applyAlignment="1">
      <alignment horizontal="center" vertical="top"/>
    </xf>
    <xf numFmtId="49" fontId="10" fillId="0" borderId="3" xfId="0" quotePrefix="1" applyNumberFormat="1" applyFont="1" applyBorder="1" applyAlignment="1">
      <alignment horizontal="center" vertical="top"/>
    </xf>
    <xf numFmtId="49" fontId="10" fillId="0" borderId="4" xfId="0" quotePrefix="1" applyNumberFormat="1" applyFont="1" applyBorder="1" applyAlignment="1">
      <alignment horizontal="center" vertical="top"/>
    </xf>
    <xf numFmtId="49" fontId="10" fillId="0" borderId="5" xfId="0" quotePrefix="1" applyNumberFormat="1" applyFont="1" applyBorder="1" applyAlignment="1">
      <alignment horizontal="center" vertical="top"/>
    </xf>
    <xf numFmtId="49" fontId="5" fillId="0" borderId="3" xfId="0" applyNumberFormat="1" applyFont="1" applyBorder="1" applyAlignment="1">
      <alignment horizontal="center" vertical="top"/>
    </xf>
    <xf numFmtId="49" fontId="5" fillId="0" borderId="4" xfId="0" applyNumberFormat="1" applyFont="1" applyBorder="1" applyAlignment="1">
      <alignment horizontal="center" vertical="top"/>
    </xf>
    <xf numFmtId="49" fontId="5" fillId="0" borderId="5" xfId="0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73"/>
  <sheetViews>
    <sheetView showGridLines="0" tabSelected="1" view="pageBreakPreview" topLeftCell="A29" zoomScaleNormal="100" zoomScaleSheetLayoutView="100" workbookViewId="0">
      <selection activeCell="D41" sqref="D41"/>
    </sheetView>
  </sheetViews>
  <sheetFormatPr defaultRowHeight="12.75" x14ac:dyDescent="0.2"/>
  <cols>
    <col min="1" max="1" width="6.42578125" style="4" customWidth="1"/>
    <col min="2" max="2" width="43.7109375" style="5" customWidth="1"/>
    <col min="3" max="3" width="5.85546875" style="6" customWidth="1"/>
    <col min="4" max="4" width="8.85546875" style="11" customWidth="1"/>
    <col min="5" max="5" width="32.71093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11" ht="15" x14ac:dyDescent="0.2">
      <c r="A1" s="7"/>
      <c r="C1" s="8" t="s">
        <v>6</v>
      </c>
      <c r="D1" s="9"/>
      <c r="E1" s="10"/>
      <c r="F1" s="3"/>
      <c r="G1" s="3"/>
      <c r="H1" s="3"/>
    </row>
    <row r="2" spans="1:11" ht="43.5" customHeight="1" x14ac:dyDescent="0.2">
      <c r="A2" s="59" t="s">
        <v>57</v>
      </c>
      <c r="B2" s="59"/>
      <c r="C2" s="59"/>
      <c r="D2" s="59"/>
      <c r="E2" s="59"/>
      <c r="F2" s="28"/>
      <c r="G2" s="3"/>
      <c r="H2" s="3"/>
    </row>
    <row r="3" spans="1:11" ht="6.75" customHeight="1" x14ac:dyDescent="0.2">
      <c r="A3" s="7"/>
      <c r="B3" s="12"/>
      <c r="C3" s="13"/>
      <c r="D3" s="9"/>
      <c r="E3" s="10"/>
      <c r="F3" s="3"/>
      <c r="G3" s="3"/>
      <c r="H3" s="3"/>
    </row>
    <row r="4" spans="1:11" hidden="1" x14ac:dyDescent="0.2">
      <c r="A4" s="7"/>
      <c r="B4" s="12"/>
      <c r="C4" s="13"/>
      <c r="D4" s="9"/>
      <c r="E4" s="10"/>
      <c r="F4" s="3"/>
      <c r="G4" s="3"/>
      <c r="H4" s="3"/>
    </row>
    <row r="5" spans="1:11" ht="33.75" customHeight="1" x14ac:dyDescent="0.2">
      <c r="A5" s="14" t="s">
        <v>0</v>
      </c>
      <c r="B5" s="15" t="s">
        <v>1</v>
      </c>
      <c r="C5" s="16" t="s">
        <v>2</v>
      </c>
      <c r="D5" s="17" t="s">
        <v>3</v>
      </c>
      <c r="E5" s="18" t="s">
        <v>4</v>
      </c>
    </row>
    <row r="6" spans="1:11" x14ac:dyDescent="0.2">
      <c r="A6" s="19">
        <v>1</v>
      </c>
      <c r="B6" s="20">
        <v>2</v>
      </c>
      <c r="C6" s="20">
        <v>3</v>
      </c>
      <c r="D6" s="20">
        <v>4</v>
      </c>
      <c r="E6" s="20">
        <v>5</v>
      </c>
    </row>
    <row r="7" spans="1:11" ht="15.75" x14ac:dyDescent="0.2">
      <c r="A7" s="67" t="s">
        <v>58</v>
      </c>
      <c r="B7" s="68"/>
      <c r="C7" s="68"/>
      <c r="D7" s="68"/>
      <c r="E7" s="69"/>
      <c r="J7" s="49"/>
      <c r="K7" s="49"/>
    </row>
    <row r="8" spans="1:11" ht="19.149999999999999" customHeight="1" x14ac:dyDescent="0.2">
      <c r="A8" s="64" t="s">
        <v>65</v>
      </c>
      <c r="B8" s="65"/>
      <c r="C8" s="65"/>
      <c r="D8" s="65"/>
      <c r="E8" s="66"/>
      <c r="J8" s="49"/>
      <c r="K8" s="49"/>
    </row>
    <row r="9" spans="1:11" ht="102" x14ac:dyDescent="0.2">
      <c r="A9" s="21" t="s">
        <v>36</v>
      </c>
      <c r="B9" s="30" t="s">
        <v>59</v>
      </c>
      <c r="C9" s="31" t="s">
        <v>10</v>
      </c>
      <c r="D9" s="32">
        <f>1.35*2.3*14+1.6*2.6*4+0.9*2.3*18+0.7*2.3*6+3.5*2.7+1.6*2.7+1.8*2.9</f>
        <v>126.02000000000001</v>
      </c>
      <c r="E9" s="27" t="s">
        <v>94</v>
      </c>
      <c r="F9" s="2">
        <f>1.35*2.3*13/100*1.34+1.6*2.6*4/100*1.34+0.9*2.3*18/100*1.34+0.7*2.3*6/100*1.34+3.5*2.7/100*1.34+1.6*2.7/100*1.34+1.8*2.9/100*1.34</f>
        <v>1.6470609999999999</v>
      </c>
      <c r="J9" s="50"/>
      <c r="K9" s="49"/>
    </row>
    <row r="10" spans="1:11" x14ac:dyDescent="0.2">
      <c r="A10" s="21" t="s">
        <v>37</v>
      </c>
      <c r="B10" s="30" t="s">
        <v>62</v>
      </c>
      <c r="C10" s="31" t="s">
        <v>10</v>
      </c>
      <c r="D10" s="32">
        <f>0.9*2.1</f>
        <v>1.8900000000000001</v>
      </c>
      <c r="E10" s="27" t="s">
        <v>80</v>
      </c>
      <c r="F10" s="2">
        <f>1.89*0.03</f>
        <v>5.6699999999999993E-2</v>
      </c>
      <c r="J10" s="50"/>
      <c r="K10" s="49"/>
    </row>
    <row r="11" spans="1:11" x14ac:dyDescent="0.2">
      <c r="A11" s="21" t="s">
        <v>38</v>
      </c>
      <c r="B11" s="37" t="s">
        <v>60</v>
      </c>
      <c r="C11" s="23" t="s">
        <v>10</v>
      </c>
      <c r="D11" s="24">
        <f>0.8*1.3</f>
        <v>1.04</v>
      </c>
      <c r="E11" s="25" t="s">
        <v>81</v>
      </c>
      <c r="F11" s="2">
        <f>1.04/100*2.57</f>
        <v>2.6727999999999998E-2</v>
      </c>
      <c r="J11" s="49"/>
      <c r="K11" s="49"/>
    </row>
    <row r="12" spans="1:11" x14ac:dyDescent="0.2">
      <c r="A12" s="21" t="s">
        <v>39</v>
      </c>
      <c r="B12" s="37" t="s">
        <v>64</v>
      </c>
      <c r="C12" s="23" t="s">
        <v>10</v>
      </c>
      <c r="D12" s="24">
        <f>4.4*2+1.5*1*3</f>
        <v>13.3</v>
      </c>
      <c r="E12" s="25" t="s">
        <v>68</v>
      </c>
      <c r="F12" s="33"/>
    </row>
    <row r="13" spans="1:11" x14ac:dyDescent="0.2">
      <c r="A13" s="21" t="s">
        <v>40</v>
      </c>
      <c r="B13" s="30" t="s">
        <v>66</v>
      </c>
      <c r="C13" s="31" t="s">
        <v>49</v>
      </c>
      <c r="D13" s="24">
        <f>7.92+15.1+2.15+7.81+5.8+7.15+3.18*2+3.23*2-0.9*2-0.9*4-1.35+7*2+4.27*2-1.6+10.25*2+7*2-1.6*2-1.8+4.23*2+7*2-1.6+2.9*2+7*2-1.4-1.6+5.33*2+2.9*2-0.9-1.6+2.5+1+6.87*2+3.57*2-1.4-2.5+6.87*2+8.15*2-3.5-1.4+6.25*2+3.5*2-0.9+1.76*2+2.26*2+1.76*2+1*2-0.9*3+2.9*2+5.4*2-1.35*2-0.9+6.25*2+3.5*2-0.9+2.9*2+2.46*2-0.9+4.17*2+2.9*2-1.35*2+6.9*2+8.5*2-1.35+18.25*2+2.15*2-0.9*3-1.35*3+2.97*2+5.75*2+0.5*3-0.9-0.8*2+3.13*2+5.75*2+0.5*2+0.5-0.9-0.8*2+3.63*2+5.73*2+0.25*2-0.9+3.6*2+5.73*2-0.25*3-1.35</f>
        <v>413.5800000000001</v>
      </c>
      <c r="E13" s="41" t="s">
        <v>77</v>
      </c>
      <c r="F13" s="2">
        <f>3.99*0.11</f>
        <v>0.43890000000000001</v>
      </c>
    </row>
    <row r="14" spans="1:11" ht="25.5" x14ac:dyDescent="0.2">
      <c r="A14" s="21" t="s">
        <v>41</v>
      </c>
      <c r="B14" s="30" t="s">
        <v>50</v>
      </c>
      <c r="C14" s="31" t="s">
        <v>10</v>
      </c>
      <c r="D14" s="24">
        <f>15.7+20.2+55.9+24.5+15.5+17+20.3+39.2+2.15*15.1</f>
        <v>240.76500000000001</v>
      </c>
      <c r="E14" s="27" t="s">
        <v>88</v>
      </c>
      <c r="F14" s="2">
        <f>2.41*0.47</f>
        <v>1.1327</v>
      </c>
    </row>
    <row r="15" spans="1:11" ht="38.25" x14ac:dyDescent="0.2">
      <c r="A15" s="21" t="s">
        <v>42</v>
      </c>
      <c r="B15" s="30" t="s">
        <v>63</v>
      </c>
      <c r="C15" s="31" t="s">
        <v>10</v>
      </c>
      <c r="D15" s="46">
        <f>12.5+6.2+6.7+6.2+0.6*3+1.8+7.4+1.1+1.4+4.2+3.5+5.7+15.3+2.7+2.6</f>
        <v>79.099999999999994</v>
      </c>
      <c r="E15" s="27" t="s">
        <v>89</v>
      </c>
      <c r="F15" s="2">
        <f>0.79*5.2</f>
        <v>4.1080000000000005</v>
      </c>
    </row>
    <row r="16" spans="1:11" ht="38.25" x14ac:dyDescent="0.2">
      <c r="A16" s="21" t="s">
        <v>43</v>
      </c>
      <c r="B16" s="30" t="s">
        <v>67</v>
      </c>
      <c r="C16" s="31" t="s">
        <v>10</v>
      </c>
      <c r="D16" s="24">
        <f>2.5*1.8</f>
        <v>4.5</v>
      </c>
      <c r="E16" s="27" t="s">
        <v>78</v>
      </c>
    </row>
    <row r="17" spans="1:12" ht="25.5" x14ac:dyDescent="0.2">
      <c r="A17" s="21" t="s">
        <v>44</v>
      </c>
      <c r="B17" s="30" t="s">
        <v>90</v>
      </c>
      <c r="C17" s="31" t="s">
        <v>10</v>
      </c>
      <c r="D17" s="24">
        <f>0.6*4*2.5+7.15*2*4.2+2</f>
        <v>68.06</v>
      </c>
      <c r="E17" s="27" t="s">
        <v>82</v>
      </c>
      <c r="F17" s="2">
        <f>0.009*68.06*600/1000</f>
        <v>0.36752400000000002</v>
      </c>
    </row>
    <row r="18" spans="1:12" ht="25.5" x14ac:dyDescent="0.2">
      <c r="A18" s="21" t="s">
        <v>45</v>
      </c>
      <c r="B18" s="30" t="s">
        <v>69</v>
      </c>
      <c r="C18" s="31" t="s">
        <v>10</v>
      </c>
      <c r="D18" s="24">
        <f>(3.18*2+4.4*2+0.42+2.13+3.13*2)*1.5-0.9*1.5*3+(3.84*2+3.53*2+4*2+1.65*2)*1.5-0.9*1.5*4+(1.35*4+1.1*2+0.9*2)*1.5-0.8*1.5*2+(1.92*2+1.97*2+0.5*2)*1.95-0.8*1.95+(2.12*2+1.97*2+0.8*2)*1.95-0.8*1.95+(1.82*2+1.42*2+1.8*2+1.47*2)*1.5-0.8*1.5*2</f>
        <v>127.46699999999996</v>
      </c>
      <c r="E18" s="27" t="s">
        <v>79</v>
      </c>
      <c r="F18" s="2">
        <f>127.47*11.4/1000</f>
        <v>1.4531580000000002</v>
      </c>
    </row>
    <row r="19" spans="1:12" x14ac:dyDescent="0.2">
      <c r="A19" s="21" t="s">
        <v>46</v>
      </c>
      <c r="B19" s="30" t="s">
        <v>73</v>
      </c>
      <c r="C19" s="31" t="s">
        <v>10</v>
      </c>
      <c r="D19" s="24">
        <f>(7*2+4.23*2+1.76*2+2.26*2)*3.5-1.6*2.6-1.8*2.1-0.9*2.1</f>
        <v>96.92</v>
      </c>
      <c r="E19" s="27">
        <v>30.57</v>
      </c>
    </row>
    <row r="20" spans="1:12" ht="38.25" x14ac:dyDescent="0.2">
      <c r="A20" s="21" t="s">
        <v>47</v>
      </c>
      <c r="B20" s="30" t="s">
        <v>61</v>
      </c>
      <c r="C20" s="31" t="s">
        <v>10</v>
      </c>
      <c r="D20" s="2">
        <f>(3.18+3.18-0.9+(2.3+0.1+3.18175)*2+3.84+0.4+4+1.63-0.4+2.13+7*2+5.75-0.5-0.68+5.75+5.75+1.97*2-0.6+1.1+5.75-0.5-0.68+5.75-0.5-0.68+18.25-2.2+2.9+6.87+2.9*2+3.17+1.82+6.9)*3.5-0.9*2.3*8-1.35*2.3*2-0.9*2.3*3-0.8*2.3*4-1.35*2.3-2.7*1.6-1.35*2.3-1.35*2.3-0.8*2.3*2</f>
        <v>350.18724999999989</v>
      </c>
      <c r="E20" s="27" t="s">
        <v>86</v>
      </c>
      <c r="F20" s="2">
        <f>362.19*0.08*600/1000+329.4*0.06*1800/1000</f>
        <v>52.960319999999996</v>
      </c>
      <c r="G20" s="2">
        <f>(3.18+3.18-0.9+(2.3+0.1+3.18175)*2+3.84+0.4+4+1.63-0.4+2.13+7*2+5.75-0.5-0.68+5.75+5.75+1.97*2-0.6+1.1+5.75-0.5-0.68+5.75-0.5-0.68+18.25-2.2+2.9+6.87+2.9*2+3.17+1.82+6.9)*3.5-0.9*2.3*8-1.35*2.3*2-0.9*2.3*3-0.8*2.3*4-1.35*2.3-2.7*1.6-1.35*2.3-1.35*2.3-0.8*2.3*2</f>
        <v>350.18724999999989</v>
      </c>
    </row>
    <row r="21" spans="1:12" ht="25.5" x14ac:dyDescent="0.2">
      <c r="A21" s="21" t="s">
        <v>51</v>
      </c>
      <c r="B21" s="30" t="s">
        <v>70</v>
      </c>
      <c r="C21" s="31" t="s">
        <v>10</v>
      </c>
      <c r="D21" s="24">
        <f>16.2+20.3</f>
        <v>36.5</v>
      </c>
      <c r="E21" s="27" t="s">
        <v>83</v>
      </c>
      <c r="F21" s="2">
        <f>0.01*600*36.5/1000</f>
        <v>0.219</v>
      </c>
    </row>
    <row r="22" spans="1:12" ht="25.5" x14ac:dyDescent="0.2">
      <c r="A22" s="21" t="s">
        <v>52</v>
      </c>
      <c r="B22" s="30" t="s">
        <v>71</v>
      </c>
      <c r="C22" s="31" t="s">
        <v>10</v>
      </c>
      <c r="D22" s="24">
        <f>29.9+71.8+29.4</f>
        <v>131.1</v>
      </c>
      <c r="E22" s="27" t="s">
        <v>84</v>
      </c>
      <c r="F22" s="2">
        <f>1.31*3.08</f>
        <v>4.0348000000000006</v>
      </c>
    </row>
    <row r="23" spans="1:12" ht="51" x14ac:dyDescent="0.2">
      <c r="A23" s="21" t="s">
        <v>53</v>
      </c>
      <c r="B23" s="30" t="s">
        <v>24</v>
      </c>
      <c r="C23" s="31" t="s">
        <v>10</v>
      </c>
      <c r="D23" s="46">
        <f>15.7+58.7+2.15*15.1+8.1+3.7+29.9+71.8+29.4+39.2+20.3+20.5+17+16.2+20.2+15.5+24.5+55.9+7.1+12</f>
        <v>498.16500000000002</v>
      </c>
      <c r="E23" s="38" t="s">
        <v>92</v>
      </c>
      <c r="F23" s="2">
        <f>2.49*4.98</f>
        <v>12.400200000000002</v>
      </c>
    </row>
    <row r="24" spans="1:12" ht="25.5" x14ac:dyDescent="0.2">
      <c r="A24" s="21" t="s">
        <v>55</v>
      </c>
      <c r="B24" s="30" t="s">
        <v>25</v>
      </c>
      <c r="C24" s="31" t="s">
        <v>10</v>
      </c>
      <c r="D24" s="46">
        <f>498.17*70/100</f>
        <v>348.71899999999999</v>
      </c>
      <c r="E24" s="39" t="s">
        <v>91</v>
      </c>
      <c r="F24" s="2">
        <f>2.92*4.98</f>
        <v>14.541600000000001</v>
      </c>
    </row>
    <row r="25" spans="1:12" ht="38.25" x14ac:dyDescent="0.2">
      <c r="A25" s="21" t="s">
        <v>56</v>
      </c>
      <c r="B25" s="37" t="s">
        <v>85</v>
      </c>
      <c r="C25" s="23" t="s">
        <v>10</v>
      </c>
      <c r="D25" s="24">
        <f>1083*50/100</f>
        <v>541.5</v>
      </c>
      <c r="E25" s="27" t="s">
        <v>93</v>
      </c>
      <c r="F25" s="2">
        <f>490*0.03*1800/1000</f>
        <v>26.46</v>
      </c>
    </row>
    <row r="26" spans="1:12" x14ac:dyDescent="0.2">
      <c r="A26" s="21" t="s">
        <v>102</v>
      </c>
      <c r="B26" s="37" t="s">
        <v>74</v>
      </c>
      <c r="C26" s="23" t="s">
        <v>10</v>
      </c>
      <c r="D26" s="24">
        <f>1083-541</f>
        <v>542</v>
      </c>
      <c r="E26" s="27"/>
    </row>
    <row r="27" spans="1:12" ht="51" x14ac:dyDescent="0.2">
      <c r="A27" s="21"/>
      <c r="B27" s="42" t="s">
        <v>75</v>
      </c>
      <c r="C27" s="43" t="s">
        <v>10</v>
      </c>
      <c r="D27" s="44">
        <f>661.7*70/100</f>
        <v>463.19</v>
      </c>
      <c r="E27" s="45" t="s">
        <v>142</v>
      </c>
      <c r="F27" s="2">
        <f>463.2*0.03*1800/1000</f>
        <v>25.012799999999999</v>
      </c>
    </row>
    <row r="28" spans="1:12" x14ac:dyDescent="0.2">
      <c r="A28" s="21"/>
      <c r="B28" s="42" t="s">
        <v>74</v>
      </c>
      <c r="C28" s="43" t="s">
        <v>10</v>
      </c>
      <c r="D28" s="44">
        <f>661.7-D27</f>
        <v>198.51000000000005</v>
      </c>
      <c r="E28" s="45" t="s">
        <v>76</v>
      </c>
      <c r="L28" s="2" t="s">
        <v>54</v>
      </c>
    </row>
    <row r="29" spans="1:12" ht="38.25" x14ac:dyDescent="0.2">
      <c r="A29" s="21" t="s">
        <v>103</v>
      </c>
      <c r="B29" s="37" t="s">
        <v>72</v>
      </c>
      <c r="C29" s="23" t="s">
        <v>10</v>
      </c>
      <c r="D29" s="24">
        <f>59.2+12.5+6.2+7.4+8.1+3.7+6.2+0.6*3+1.8+6.7+29.9+71.8+29.4+39.2+8.5+16.2+1.1+1.4+3.5+4.2+17+20.5+20.3+55.9+24.5+15.5+20.2+21.5+1.7+4+28.8+15.7+7.1+12+58.7+15.3+2.7+2.6</f>
        <v>662.80000000000018</v>
      </c>
      <c r="E29" s="27" t="s">
        <v>87</v>
      </c>
      <c r="F29" s="2">
        <f>663*0.03*1800/1000</f>
        <v>35.802</v>
      </c>
    </row>
    <row r="30" spans="1:12" x14ac:dyDescent="0.2">
      <c r="A30" s="70" t="s">
        <v>95</v>
      </c>
      <c r="B30" s="71"/>
      <c r="C30" s="71"/>
      <c r="D30" s="71"/>
      <c r="E30" s="72"/>
    </row>
    <row r="31" spans="1:12" x14ac:dyDescent="0.2">
      <c r="A31" s="73" t="s">
        <v>48</v>
      </c>
      <c r="B31" s="74"/>
      <c r="C31" s="74"/>
      <c r="D31" s="74"/>
      <c r="E31" s="75"/>
    </row>
    <row r="32" spans="1:12" ht="25.5" x14ac:dyDescent="0.2">
      <c r="A32" s="21" t="s">
        <v>36</v>
      </c>
      <c r="B32" s="22" t="s">
        <v>96</v>
      </c>
      <c r="C32" s="23" t="s">
        <v>10</v>
      </c>
      <c r="D32" s="24">
        <f>3.5*2.55</f>
        <v>8.9249999999999989</v>
      </c>
      <c r="E32" s="27" t="s">
        <v>118</v>
      </c>
      <c r="F32" s="2">
        <f>8.925*20/1000</f>
        <v>0.17849999999999999</v>
      </c>
    </row>
    <row r="33" spans="1:6" ht="25.5" x14ac:dyDescent="0.2">
      <c r="A33" s="21" t="s">
        <v>37</v>
      </c>
      <c r="B33" s="22" t="s">
        <v>98</v>
      </c>
      <c r="C33" s="23" t="s">
        <v>10</v>
      </c>
      <c r="D33" s="24">
        <f>((19.15*2+4.8*2)*3.58-3.2*2.55*3-2.6*1.6*4-1.35*2.3*2+3.2*0.5*3+2.22*2*3*0.5)/2</f>
        <v>67.806000000000012</v>
      </c>
      <c r="E33" s="27" t="s">
        <v>119</v>
      </c>
      <c r="F33" s="2">
        <f>67.81*0.02*1800/1000</f>
        <v>2.4411600000000004</v>
      </c>
    </row>
    <row r="34" spans="1:6" x14ac:dyDescent="0.2">
      <c r="A34" s="40" t="s">
        <v>38</v>
      </c>
      <c r="B34" s="22" t="s">
        <v>74</v>
      </c>
      <c r="C34" s="23" t="s">
        <v>10</v>
      </c>
      <c r="D34" s="24">
        <f>135.62-67.81</f>
        <v>67.81</v>
      </c>
      <c r="E34" s="41" t="s">
        <v>122</v>
      </c>
      <c r="F34" s="2">
        <f>67.81*0.001*600/1000</f>
        <v>4.0686000000000007E-2</v>
      </c>
    </row>
    <row r="35" spans="1:6" ht="63.75" x14ac:dyDescent="0.2">
      <c r="A35" s="40" t="s">
        <v>39</v>
      </c>
      <c r="B35" s="22" t="s">
        <v>97</v>
      </c>
      <c r="C35" s="23" t="s">
        <v>10</v>
      </c>
      <c r="D35" s="24">
        <v>98.9</v>
      </c>
      <c r="E35" s="27" t="s">
        <v>120</v>
      </c>
      <c r="F35" s="2">
        <f>98.9*0.001*600/1000</f>
        <v>5.9340000000000004E-2</v>
      </c>
    </row>
    <row r="36" spans="1:6" x14ac:dyDescent="0.2">
      <c r="A36" s="40" t="s">
        <v>40</v>
      </c>
      <c r="B36" s="22" t="s">
        <v>99</v>
      </c>
      <c r="C36" s="23" t="s">
        <v>49</v>
      </c>
      <c r="D36" s="24">
        <f>19.15*2+4.8*2-3.2*3+0.5*6-1.6*4-1.35*2+0.45*2*6+0.3*2*2-3</f>
        <v>35.799999999999997</v>
      </c>
      <c r="E36" s="48" t="s">
        <v>121</v>
      </c>
      <c r="F36" s="2">
        <f>35.8/100*0.62</f>
        <v>0.22195999999999999</v>
      </c>
    </row>
    <row r="37" spans="1:6" x14ac:dyDescent="0.2">
      <c r="A37" s="40" t="s">
        <v>41</v>
      </c>
      <c r="B37" s="22" t="s">
        <v>100</v>
      </c>
      <c r="C37" s="23" t="s">
        <v>10</v>
      </c>
      <c r="D37" s="24">
        <f>2*2.5</f>
        <v>5</v>
      </c>
      <c r="E37" s="27"/>
      <c r="F37" s="34">
        <f>SUM(F32:F36)</f>
        <v>2.9416460000000009</v>
      </c>
    </row>
    <row r="38" spans="1:6" x14ac:dyDescent="0.2">
      <c r="A38" s="70" t="s">
        <v>101</v>
      </c>
      <c r="B38" s="71"/>
      <c r="C38" s="71"/>
      <c r="D38" s="71"/>
      <c r="E38" s="72"/>
    </row>
    <row r="39" spans="1:6" x14ac:dyDescent="0.2">
      <c r="A39" s="73" t="s">
        <v>48</v>
      </c>
      <c r="B39" s="74"/>
      <c r="C39" s="74"/>
      <c r="D39" s="74"/>
      <c r="E39" s="75"/>
    </row>
    <row r="40" spans="1:6" x14ac:dyDescent="0.2">
      <c r="A40" s="21" t="s">
        <v>36</v>
      </c>
      <c r="B40" s="22" t="s">
        <v>104</v>
      </c>
      <c r="C40" s="23" t="s">
        <v>49</v>
      </c>
      <c r="D40" s="24">
        <f>6.8*2+8.3*2-1.7-1.01-0.9*2+0.2*2*3</f>
        <v>26.89</v>
      </c>
      <c r="E40" s="41" t="s">
        <v>123</v>
      </c>
      <c r="F40" s="2">
        <f>26.9/100*0.62</f>
        <v>0.16677999999999998</v>
      </c>
    </row>
    <row r="41" spans="1:6" x14ac:dyDescent="0.2">
      <c r="A41" s="21" t="s">
        <v>37</v>
      </c>
      <c r="B41" s="22" t="s">
        <v>124</v>
      </c>
      <c r="C41" s="23" t="s">
        <v>10</v>
      </c>
      <c r="D41" s="24">
        <f>(8.3*2+6.8*2)*3.3-4*2.55-1.7*3.2-1.01*3.2*2-0.9*2.1*2-1.3*1.1</f>
        <v>72.346000000000004</v>
      </c>
      <c r="E41" s="41" t="s">
        <v>125</v>
      </c>
      <c r="F41" s="2">
        <f>72.346*4.2/1000</f>
        <v>0.30385319999999999</v>
      </c>
    </row>
    <row r="42" spans="1:6" ht="25.5" x14ac:dyDescent="0.2">
      <c r="A42" s="40" t="s">
        <v>38</v>
      </c>
      <c r="B42" s="22" t="s">
        <v>98</v>
      </c>
      <c r="C42" s="23" t="s">
        <v>10</v>
      </c>
      <c r="D42" s="24">
        <f>72.35*50/100</f>
        <v>36.174999999999997</v>
      </c>
      <c r="E42" s="27" t="s">
        <v>116</v>
      </c>
      <c r="F42" s="2">
        <f>36.175*0.02*1800/1000</f>
        <v>1.3023</v>
      </c>
    </row>
    <row r="43" spans="1:6" x14ac:dyDescent="0.2">
      <c r="A43" s="40" t="s">
        <v>39</v>
      </c>
      <c r="B43" s="22" t="s">
        <v>74</v>
      </c>
      <c r="C43" s="23" t="s">
        <v>10</v>
      </c>
      <c r="D43" s="24">
        <f>72.35-36.175</f>
        <v>36.174999999999997</v>
      </c>
      <c r="E43" s="41" t="s">
        <v>117</v>
      </c>
      <c r="F43" s="2">
        <f>36.18*0.001*600/1000</f>
        <v>2.1708000000000002E-2</v>
      </c>
    </row>
    <row r="44" spans="1:6" ht="38.25" x14ac:dyDescent="0.2">
      <c r="A44" s="35" t="s">
        <v>40</v>
      </c>
      <c r="B44" s="22" t="s">
        <v>97</v>
      </c>
      <c r="C44" s="23" t="s">
        <v>10</v>
      </c>
      <c r="D44" s="24">
        <v>56.4</v>
      </c>
      <c r="E44" s="27" t="s">
        <v>115</v>
      </c>
      <c r="F44" s="2">
        <f>56.4*0.001*600/1000</f>
        <v>3.3839999999999995E-2</v>
      </c>
    </row>
    <row r="45" spans="1:6" x14ac:dyDescent="0.2">
      <c r="A45" s="70" t="s">
        <v>105</v>
      </c>
      <c r="B45" s="71"/>
      <c r="C45" s="71"/>
      <c r="D45" s="71"/>
      <c r="E45" s="72"/>
    </row>
    <row r="46" spans="1:6" x14ac:dyDescent="0.2">
      <c r="A46" s="79" t="s">
        <v>48</v>
      </c>
      <c r="B46" s="80"/>
      <c r="C46" s="80"/>
      <c r="D46" s="80"/>
      <c r="E46" s="81"/>
    </row>
    <row r="47" spans="1:6" ht="51" x14ac:dyDescent="0.2">
      <c r="A47" s="35" t="s">
        <v>36</v>
      </c>
      <c r="B47" s="22" t="s">
        <v>106</v>
      </c>
      <c r="C47" s="23" t="s">
        <v>10</v>
      </c>
      <c r="D47" s="36">
        <f>1.7*3.2+1*3.2*2+3.8*3.3*3</f>
        <v>49.459999999999994</v>
      </c>
      <c r="E47" s="27" t="s">
        <v>126</v>
      </c>
      <c r="F47" s="2">
        <f>17*49.46/1000</f>
        <v>0.84082000000000001</v>
      </c>
    </row>
    <row r="48" spans="1:6" x14ac:dyDescent="0.2">
      <c r="A48" s="35" t="s">
        <v>37</v>
      </c>
      <c r="B48" s="22" t="s">
        <v>99</v>
      </c>
      <c r="C48" s="23" t="s">
        <v>49</v>
      </c>
      <c r="D48" s="47">
        <f>14.55*2+2.85*2+0.2*2*10-1.7*1*2-3.3*3-2</f>
        <v>23.500000000000007</v>
      </c>
      <c r="E48" s="27" t="s">
        <v>110</v>
      </c>
      <c r="F48" s="2">
        <f>23.5/100*0.62</f>
        <v>0.1457</v>
      </c>
    </row>
    <row r="49" spans="1:8" ht="25.5" x14ac:dyDescent="0.2">
      <c r="A49" s="40" t="s">
        <v>38</v>
      </c>
      <c r="B49" s="22" t="s">
        <v>98</v>
      </c>
      <c r="C49" s="23" t="s">
        <v>10</v>
      </c>
      <c r="D49" s="24">
        <f>((14.55*2+2.85*2)*4.1-1.7*3.2-1*3.2*2-3.3*3.8*3-0.9*2-1.3*2.3)*50/100</f>
        <v>44.215000000000003</v>
      </c>
      <c r="E49" s="27" t="s">
        <v>111</v>
      </c>
      <c r="F49" s="2">
        <f>44.22*0.02*1800/1000</f>
        <v>1.5919199999999998</v>
      </c>
    </row>
    <row r="50" spans="1:8" x14ac:dyDescent="0.2">
      <c r="A50" s="40" t="s">
        <v>39</v>
      </c>
      <c r="B50" s="22" t="s">
        <v>74</v>
      </c>
      <c r="C50" s="23" t="s">
        <v>10</v>
      </c>
      <c r="D50" s="24">
        <f>88.43-44.22</f>
        <v>44.210000000000008</v>
      </c>
      <c r="E50" s="25"/>
    </row>
    <row r="51" spans="1:8" ht="25.5" x14ac:dyDescent="0.2">
      <c r="A51" s="40" t="s">
        <v>40</v>
      </c>
      <c r="B51" s="22" t="s">
        <v>112</v>
      </c>
      <c r="C51" s="23" t="s">
        <v>10</v>
      </c>
      <c r="D51" s="24">
        <f>41.5*20/100</f>
        <v>8.3000000000000007</v>
      </c>
      <c r="E51" s="27" t="s">
        <v>113</v>
      </c>
      <c r="F51" s="2">
        <f>8.3*0.02*1800/1000</f>
        <v>0.29880000000000001</v>
      </c>
    </row>
    <row r="52" spans="1:8" ht="25.5" x14ac:dyDescent="0.2">
      <c r="A52" s="40" t="s">
        <v>41</v>
      </c>
      <c r="B52" s="30" t="s">
        <v>97</v>
      </c>
      <c r="C52" s="23" t="s">
        <v>10</v>
      </c>
      <c r="D52" s="24">
        <f>41.5-8.3</f>
        <v>33.200000000000003</v>
      </c>
      <c r="E52" s="39" t="s">
        <v>114</v>
      </c>
      <c r="F52" s="2">
        <f>33.2*0.001*600/1000</f>
        <v>1.992E-2</v>
      </c>
    </row>
    <row r="53" spans="1:8" x14ac:dyDescent="0.2">
      <c r="A53" s="70" t="s">
        <v>107</v>
      </c>
      <c r="B53" s="71"/>
      <c r="C53" s="71"/>
      <c r="D53" s="71"/>
      <c r="E53" s="72"/>
    </row>
    <row r="54" spans="1:8" x14ac:dyDescent="0.2">
      <c r="A54" s="73" t="s">
        <v>48</v>
      </c>
      <c r="B54" s="74"/>
      <c r="C54" s="74"/>
      <c r="D54" s="74"/>
      <c r="E54" s="75"/>
      <c r="F54" s="34"/>
    </row>
    <row r="55" spans="1:8" ht="25.5" x14ac:dyDescent="0.2">
      <c r="A55" s="21" t="s">
        <v>36</v>
      </c>
      <c r="B55" s="26" t="s">
        <v>98</v>
      </c>
      <c r="C55" s="23" t="s">
        <v>10</v>
      </c>
      <c r="D55" s="24">
        <f>475.3*50/100</f>
        <v>237.65</v>
      </c>
      <c r="E55" s="27" t="s">
        <v>127</v>
      </c>
      <c r="F55" s="2">
        <f>237.65*0.02*1800/1000</f>
        <v>8.5553999999999988</v>
      </c>
      <c r="H55" s="24">
        <f>(7.98*2+4.82*2)*11.3*2-1.5*2*4-1.5*1.5*2/2*4-3.2*2.55*2*2-4.5-1.35*2.3*5-0.9*2.3*4-1.28*2.5*2-0.5*1.85*4-0.5*1.16*4-0.5*4.2*4-0.2*3*4-0.2*2.6*2+2*3.14*1.7/2*0.55</f>
        <v>475.29090000000019</v>
      </c>
    </row>
    <row r="56" spans="1:8" x14ac:dyDescent="0.2">
      <c r="A56" s="21" t="s">
        <v>37</v>
      </c>
      <c r="B56" s="22" t="s">
        <v>74</v>
      </c>
      <c r="C56" s="23" t="s">
        <v>10</v>
      </c>
      <c r="D56" s="24">
        <f>475.3-236.1775</f>
        <v>239.1225</v>
      </c>
      <c r="E56" s="41" t="s">
        <v>128</v>
      </c>
      <c r="F56" s="2">
        <f>239*0.001*600/1000</f>
        <v>0.1434</v>
      </c>
    </row>
    <row r="57" spans="1:8" ht="38.25" x14ac:dyDescent="0.2">
      <c r="A57" s="40" t="s">
        <v>38</v>
      </c>
      <c r="B57" s="22" t="s">
        <v>72</v>
      </c>
      <c r="C57" s="23" t="s">
        <v>10</v>
      </c>
      <c r="D57" s="24">
        <f>38.3*2</f>
        <v>76.599999999999994</v>
      </c>
      <c r="E57" s="27" t="s">
        <v>129</v>
      </c>
      <c r="F57" s="2">
        <f>76.6*0.02*1800/1000</f>
        <v>2.7576000000000001</v>
      </c>
    </row>
    <row r="58" spans="1:8" ht="38.25" x14ac:dyDescent="0.2">
      <c r="A58" s="21" t="s">
        <v>39</v>
      </c>
      <c r="B58" s="22" t="s">
        <v>131</v>
      </c>
      <c r="C58" s="23" t="s">
        <v>10</v>
      </c>
      <c r="D58" s="24">
        <f>3.3*2*2*2+3.3*1.4*2*2+1.2*1.2*2</f>
        <v>47.76</v>
      </c>
      <c r="E58" s="48" t="s">
        <v>130</v>
      </c>
      <c r="F58" s="2">
        <f>48*0.03*1800/1000</f>
        <v>2.5920000000000001</v>
      </c>
    </row>
    <row r="59" spans="1:8" ht="25.5" x14ac:dyDescent="0.2">
      <c r="A59" s="21" t="s">
        <v>40</v>
      </c>
      <c r="B59" s="22" t="s">
        <v>112</v>
      </c>
      <c r="C59" s="23" t="s">
        <v>10</v>
      </c>
      <c r="D59" s="24">
        <f>67.03*20/100</f>
        <v>13.405999999999999</v>
      </c>
      <c r="E59" s="27" t="s">
        <v>132</v>
      </c>
      <c r="F59" s="2">
        <f>13.41*0.02*1800/1000</f>
        <v>0.48275999999999997</v>
      </c>
      <c r="H59" s="24">
        <f>3*4.82*2+1.85*4.82*2+1.16*4.82*2+1.2*1*2+(0.8*0.5+1.5*0.5+2.2*0.5+2.2*0.5)*2</f>
        <v>67.0364</v>
      </c>
    </row>
    <row r="60" spans="1:8" ht="25.5" x14ac:dyDescent="0.2">
      <c r="A60" s="21" t="s">
        <v>41</v>
      </c>
      <c r="B60" s="22" t="s">
        <v>97</v>
      </c>
      <c r="C60" s="23" t="s">
        <v>10</v>
      </c>
      <c r="D60" s="24">
        <f>60.34-12.068</f>
        <v>48.272000000000006</v>
      </c>
      <c r="E60" s="48" t="s">
        <v>133</v>
      </c>
      <c r="F60" s="2">
        <f>48.27*0.001*600/1000</f>
        <v>2.8962000000000002E-2</v>
      </c>
    </row>
    <row r="61" spans="1:8" ht="25.5" x14ac:dyDescent="0.2">
      <c r="A61" s="21" t="s">
        <v>42</v>
      </c>
      <c r="B61" s="22" t="s">
        <v>108</v>
      </c>
      <c r="C61" s="23" t="s">
        <v>10</v>
      </c>
      <c r="D61" s="24">
        <f>68.86*50/100</f>
        <v>34.43</v>
      </c>
      <c r="E61" s="27" t="s">
        <v>109</v>
      </c>
      <c r="F61" s="34">
        <f>SUM(F55:F60)</f>
        <v>14.560122</v>
      </c>
      <c r="H61" s="2">
        <f>24*2*0.5+0.1*0.1*1*82*2+0.05*0.05*4*82*2+2*3.14*0.04*0.3*82*2+2*3.14*0.02*0.3*82*2+0.2*1.2*4*12*2</f>
        <v>68.858560000000011</v>
      </c>
    </row>
    <row r="62" spans="1:8" x14ac:dyDescent="0.2">
      <c r="A62" s="70" t="s">
        <v>134</v>
      </c>
      <c r="B62" s="71"/>
      <c r="C62" s="71"/>
      <c r="D62" s="71"/>
      <c r="E62" s="71"/>
      <c r="F62" s="34"/>
    </row>
    <row r="63" spans="1:8" ht="25.5" x14ac:dyDescent="0.2">
      <c r="A63" s="40" t="s">
        <v>36</v>
      </c>
      <c r="B63" s="22" t="s">
        <v>135</v>
      </c>
      <c r="C63" s="23" t="s">
        <v>10</v>
      </c>
      <c r="D63" s="56">
        <f>1.9*3.8*3</f>
        <v>21.66</v>
      </c>
      <c r="E63" s="57" t="s">
        <v>137</v>
      </c>
      <c r="F63" s="2">
        <f>21.66*25/1000</f>
        <v>0.54149999999999998</v>
      </c>
    </row>
    <row r="64" spans="1:8" ht="25.5" x14ac:dyDescent="0.2">
      <c r="A64" s="40" t="s">
        <v>37</v>
      </c>
      <c r="B64" s="22" t="s">
        <v>136</v>
      </c>
      <c r="C64" s="23" t="s">
        <v>10</v>
      </c>
      <c r="D64" s="56">
        <f>73.9*20/100</f>
        <v>14.78</v>
      </c>
      <c r="E64" s="57" t="s">
        <v>138</v>
      </c>
      <c r="F64" s="2">
        <f>14.78*0.02*1800/1000</f>
        <v>0.53207999999999989</v>
      </c>
      <c r="H64" s="2">
        <f>(3.4*2+3.57*2+3.57*2+1.9*6)*4.1-3.3*3.8*3-1.9*3.8*3</f>
        <v>73.887999999999977</v>
      </c>
    </row>
    <row r="65" spans="1:10" x14ac:dyDescent="0.2">
      <c r="A65" s="40" t="s">
        <v>38</v>
      </c>
      <c r="B65" s="2" t="s">
        <v>74</v>
      </c>
      <c r="C65" s="23" t="s">
        <v>10</v>
      </c>
      <c r="D65" s="56">
        <f>73.89-14.78</f>
        <v>59.11</v>
      </c>
      <c r="E65" s="58" t="s">
        <v>139</v>
      </c>
      <c r="F65" s="2">
        <f>59.11*0.001*600/1000</f>
        <v>3.5466000000000004E-2</v>
      </c>
      <c r="H65" s="2">
        <f>6.5*2+6.2</f>
        <v>19.2</v>
      </c>
    </row>
    <row r="66" spans="1:10" ht="25.5" x14ac:dyDescent="0.2">
      <c r="A66" s="40" t="s">
        <v>39</v>
      </c>
      <c r="B66" s="22" t="s">
        <v>112</v>
      </c>
      <c r="C66" s="23" t="s">
        <v>10</v>
      </c>
      <c r="D66" s="56">
        <f>(6.2+6.5+6.5)*10/100</f>
        <v>1.92</v>
      </c>
      <c r="E66" s="22" t="s">
        <v>141</v>
      </c>
      <c r="F66" s="2">
        <f>1.92*0.02*1800/1000</f>
        <v>6.9119999999999987E-2</v>
      </c>
    </row>
    <row r="67" spans="1:10" x14ac:dyDescent="0.2">
      <c r="A67" s="40" t="s">
        <v>40</v>
      </c>
      <c r="B67" s="22" t="s">
        <v>97</v>
      </c>
      <c r="C67" s="23" t="s">
        <v>10</v>
      </c>
      <c r="D67" s="56">
        <f>19.2-1.92</f>
        <v>17.28</v>
      </c>
      <c r="E67" s="58" t="s">
        <v>140</v>
      </c>
      <c r="F67" s="2">
        <f>17.28*0.001*600/1000</f>
        <v>1.0368E-2</v>
      </c>
    </row>
    <row r="68" spans="1:10" x14ac:dyDescent="0.2">
      <c r="A68" s="76" t="s">
        <v>33</v>
      </c>
      <c r="B68" s="77"/>
      <c r="C68" s="77"/>
      <c r="D68" s="77"/>
      <c r="E68" s="78"/>
    </row>
    <row r="69" spans="1:10" x14ac:dyDescent="0.2">
      <c r="A69" s="53" t="s">
        <v>36</v>
      </c>
      <c r="B69" s="54" t="s">
        <v>34</v>
      </c>
      <c r="C69" s="51" t="s">
        <v>35</v>
      </c>
      <c r="D69" s="52">
        <f>22.23+180.66+0.541+0.532+0.035+0.069+0.01</f>
        <v>204.07699999999997</v>
      </c>
      <c r="E69" s="55"/>
    </row>
    <row r="70" spans="1:10" x14ac:dyDescent="0.2">
      <c r="J70" s="2" t="s">
        <v>54</v>
      </c>
    </row>
    <row r="72" spans="1:10" x14ac:dyDescent="0.2">
      <c r="A72" s="60" t="s">
        <v>8</v>
      </c>
      <c r="B72" s="61"/>
      <c r="C72" s="61"/>
      <c r="D72" s="61"/>
      <c r="E72" s="61"/>
    </row>
    <row r="73" spans="1:10" x14ac:dyDescent="0.2">
      <c r="A73" s="62"/>
      <c r="B73" s="63"/>
      <c r="C73" s="63"/>
      <c r="D73" s="63"/>
      <c r="E73" s="63"/>
    </row>
  </sheetData>
  <mergeCells count="15">
    <mergeCell ref="A2:E2"/>
    <mergeCell ref="A72:E72"/>
    <mergeCell ref="A73:E73"/>
    <mergeCell ref="A8:E8"/>
    <mergeCell ref="A7:E7"/>
    <mergeCell ref="A30:E30"/>
    <mergeCell ref="A31:E31"/>
    <mergeCell ref="A39:E39"/>
    <mergeCell ref="A54:E54"/>
    <mergeCell ref="A62:E62"/>
    <mergeCell ref="A68:E68"/>
    <mergeCell ref="A53:E53"/>
    <mergeCell ref="A45:E45"/>
    <mergeCell ref="A46:E46"/>
    <mergeCell ref="A38:E38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view="pageBreakPreview" zoomScaleNormal="100" zoomScaleSheetLayoutView="100" workbookViewId="0">
      <selection activeCell="B22" sqref="B22"/>
    </sheetView>
  </sheetViews>
  <sheetFormatPr defaultRowHeight="12.75" x14ac:dyDescent="0.2"/>
  <cols>
    <col min="1" max="1" width="4.85546875" customWidth="1"/>
    <col min="2" max="2" width="35.5703125" customWidth="1"/>
    <col min="3" max="3" width="10.42578125" customWidth="1"/>
    <col min="4" max="4" width="10.5703125" customWidth="1"/>
    <col min="5" max="5" width="27.140625" customWidth="1"/>
  </cols>
  <sheetData>
    <row r="1" spans="1:5" x14ac:dyDescent="0.2">
      <c r="A1" s="29"/>
      <c r="B1" s="5"/>
      <c r="C1" s="6"/>
      <c r="D1" s="1"/>
      <c r="E1" s="1"/>
    </row>
    <row r="2" spans="1:5" ht="15" x14ac:dyDescent="0.2">
      <c r="A2" s="7"/>
      <c r="B2" s="5"/>
      <c r="C2" s="8" t="s">
        <v>6</v>
      </c>
      <c r="D2" s="9"/>
      <c r="E2" s="10"/>
    </row>
    <row r="3" spans="1:5" ht="34.5" customHeight="1" x14ac:dyDescent="0.2">
      <c r="A3" s="59" t="s">
        <v>9</v>
      </c>
      <c r="B3" s="59"/>
      <c r="C3" s="59"/>
      <c r="D3" s="59"/>
      <c r="E3" s="59"/>
    </row>
    <row r="4" spans="1:5" x14ac:dyDescent="0.2">
      <c r="A4" s="7"/>
      <c r="B4" s="12"/>
      <c r="C4" s="13"/>
      <c r="D4" s="9"/>
      <c r="E4" s="10"/>
    </row>
    <row r="5" spans="1:5" x14ac:dyDescent="0.2">
      <c r="A5" s="7"/>
      <c r="B5" s="12"/>
      <c r="C5" s="13"/>
      <c r="D5" s="9"/>
      <c r="E5" s="10"/>
    </row>
    <row r="6" spans="1:5" ht="30" x14ac:dyDescent="0.2">
      <c r="A6" s="14" t="s">
        <v>0</v>
      </c>
      <c r="B6" s="15" t="s">
        <v>1</v>
      </c>
      <c r="C6" s="16" t="s">
        <v>2</v>
      </c>
      <c r="D6" s="17" t="s">
        <v>3</v>
      </c>
      <c r="E6" s="18" t="s">
        <v>4</v>
      </c>
    </row>
    <row r="7" spans="1:5" x14ac:dyDescent="0.2">
      <c r="A7" s="19">
        <v>1</v>
      </c>
      <c r="B7" s="20">
        <v>2</v>
      </c>
      <c r="C7" s="20">
        <v>3</v>
      </c>
      <c r="D7" s="20">
        <v>4</v>
      </c>
      <c r="E7" s="20">
        <v>5</v>
      </c>
    </row>
    <row r="8" spans="1:5" ht="21.75" customHeight="1" x14ac:dyDescent="0.2">
      <c r="A8" s="82" t="s">
        <v>32</v>
      </c>
      <c r="B8" s="83"/>
      <c r="C8" s="83"/>
      <c r="D8" s="83"/>
      <c r="E8" s="84"/>
    </row>
    <row r="9" spans="1:5" ht="24.75" customHeight="1" x14ac:dyDescent="0.2">
      <c r="A9" s="85" t="s">
        <v>5</v>
      </c>
      <c r="B9" s="86"/>
      <c r="C9" s="86"/>
      <c r="D9" s="86"/>
      <c r="E9" s="86"/>
    </row>
    <row r="10" spans="1:5" ht="33" customHeight="1" x14ac:dyDescent="0.2">
      <c r="A10" s="21"/>
      <c r="B10" s="26" t="s">
        <v>12</v>
      </c>
      <c r="C10" s="23" t="s">
        <v>10</v>
      </c>
      <c r="D10" s="24">
        <f>1.45*2.3*3</f>
        <v>10.004999999999999</v>
      </c>
      <c r="E10" s="25"/>
    </row>
    <row r="11" spans="1:5" ht="29.25" customHeight="1" x14ac:dyDescent="0.2">
      <c r="A11" s="21"/>
      <c r="B11" s="26" t="s">
        <v>11</v>
      </c>
      <c r="C11" s="23" t="s">
        <v>7</v>
      </c>
      <c r="D11" s="24">
        <f>6.1*2+8.15*2-0.9-1.1*3</f>
        <v>24.3</v>
      </c>
      <c r="E11" s="25"/>
    </row>
    <row r="12" spans="1:5" ht="21.75" customHeight="1" x14ac:dyDescent="0.2">
      <c r="A12" s="21"/>
      <c r="B12" s="26" t="s">
        <v>16</v>
      </c>
      <c r="C12" s="23" t="s">
        <v>10</v>
      </c>
      <c r="D12" s="24">
        <f>8.15*6.1</f>
        <v>49.714999999999996</v>
      </c>
      <c r="E12" s="25"/>
    </row>
    <row r="13" spans="1:5" ht="24" customHeight="1" x14ac:dyDescent="0.2">
      <c r="A13" s="21"/>
      <c r="B13" s="26" t="s">
        <v>24</v>
      </c>
      <c r="C13" s="23" t="s">
        <v>10</v>
      </c>
      <c r="D13" s="24">
        <f>8.15*6.1</f>
        <v>49.714999999999996</v>
      </c>
      <c r="E13" s="25"/>
    </row>
    <row r="14" spans="1:5" x14ac:dyDescent="0.2">
      <c r="A14" s="21"/>
      <c r="B14" s="26" t="s">
        <v>25</v>
      </c>
      <c r="C14" s="23" t="s">
        <v>10</v>
      </c>
      <c r="D14" s="24">
        <f>8.15*6.1</f>
        <v>49.714999999999996</v>
      </c>
      <c r="E14" s="25"/>
    </row>
    <row r="15" spans="1:5" ht="30.75" customHeight="1" x14ac:dyDescent="0.2">
      <c r="A15" s="21"/>
      <c r="B15" s="22" t="s">
        <v>14</v>
      </c>
      <c r="C15" s="23" t="s">
        <v>10</v>
      </c>
      <c r="D15" s="24">
        <f>(8.15*2+6.1*2)*3.56-0.9*2.1-2.1*1.06*3</f>
        <v>92.89200000000001</v>
      </c>
      <c r="E15" s="25"/>
    </row>
    <row r="16" spans="1:5" ht="39" customHeight="1" x14ac:dyDescent="0.2">
      <c r="A16" s="21"/>
      <c r="B16" s="22" t="s">
        <v>26</v>
      </c>
      <c r="C16" s="23" t="s">
        <v>27</v>
      </c>
      <c r="D16" s="24">
        <f>D12*0.4</f>
        <v>19.885999999999999</v>
      </c>
      <c r="E16" s="25" t="s">
        <v>28</v>
      </c>
    </row>
    <row r="17" spans="1:5" ht="22.5" customHeight="1" x14ac:dyDescent="0.2">
      <c r="A17" s="21"/>
      <c r="B17" s="22" t="s">
        <v>29</v>
      </c>
      <c r="C17" s="23" t="s">
        <v>10</v>
      </c>
      <c r="D17" s="24">
        <f>8.15*6.1</f>
        <v>49.714999999999996</v>
      </c>
      <c r="E17" s="25"/>
    </row>
    <row r="18" spans="1:5" ht="33" customHeight="1" x14ac:dyDescent="0.2">
      <c r="A18" s="21"/>
      <c r="B18" s="22" t="s">
        <v>30</v>
      </c>
      <c r="C18" s="23" t="s">
        <v>27</v>
      </c>
      <c r="D18" s="24">
        <f>D14*0.1</f>
        <v>4.9714999999999998</v>
      </c>
      <c r="E18" s="25" t="s">
        <v>31</v>
      </c>
    </row>
    <row r="19" spans="1:5" x14ac:dyDescent="0.2">
      <c r="A19" s="21"/>
      <c r="B19" s="22"/>
      <c r="C19" s="23"/>
      <c r="D19" s="24"/>
      <c r="E19" s="25"/>
    </row>
    <row r="20" spans="1:5" x14ac:dyDescent="0.2">
      <c r="A20" s="21"/>
      <c r="B20" s="22"/>
      <c r="C20" s="23"/>
      <c r="D20" s="24"/>
      <c r="E20" s="25"/>
    </row>
    <row r="21" spans="1:5" x14ac:dyDescent="0.2">
      <c r="A21" s="21"/>
      <c r="B21" s="22" t="s">
        <v>23</v>
      </c>
      <c r="C21" s="23" t="s">
        <v>10</v>
      </c>
      <c r="D21" s="24">
        <v>1.89</v>
      </c>
      <c r="E21" s="25"/>
    </row>
    <row r="22" spans="1:5" ht="25.5" x14ac:dyDescent="0.2">
      <c r="A22" s="21"/>
      <c r="B22" s="22" t="s">
        <v>17</v>
      </c>
      <c r="C22" s="23" t="s">
        <v>13</v>
      </c>
      <c r="D22" s="24">
        <f>(8.15*2+6.1*2)*3.56-0.9*2.1-2.1*1.06*3</f>
        <v>92.89200000000001</v>
      </c>
      <c r="E22" s="25"/>
    </row>
    <row r="23" spans="1:5" ht="24" x14ac:dyDescent="0.2">
      <c r="A23" s="21"/>
      <c r="B23" s="26" t="s">
        <v>18</v>
      </c>
      <c r="C23" s="23" t="s">
        <v>13</v>
      </c>
      <c r="D23" s="24">
        <f>(8.15*2+6.1*2)*3.56-0.9*2.1-2.1*1.06*3</f>
        <v>92.89200000000001</v>
      </c>
      <c r="E23" s="25" t="s">
        <v>15</v>
      </c>
    </row>
    <row r="24" spans="1:5" ht="24" x14ac:dyDescent="0.2">
      <c r="A24" s="21"/>
      <c r="B24" s="26" t="s">
        <v>19</v>
      </c>
      <c r="C24" s="23" t="s">
        <v>13</v>
      </c>
      <c r="D24" s="24">
        <f>(8.15*2+6.1*2)*3.56-0.9*2.1-2.1*1.06*3</f>
        <v>92.89200000000001</v>
      </c>
      <c r="E24" s="25"/>
    </row>
    <row r="25" spans="1:5" x14ac:dyDescent="0.2">
      <c r="A25" s="21"/>
      <c r="B25" s="26" t="s">
        <v>20</v>
      </c>
      <c r="C25" s="23" t="s">
        <v>10</v>
      </c>
      <c r="D25" s="24">
        <f>(8.15*2+6.1*2)*3.56-0.9*2.1-2.1*1.06*3</f>
        <v>92.89200000000001</v>
      </c>
      <c r="E25" s="25"/>
    </row>
    <row r="26" spans="1:5" ht="24" x14ac:dyDescent="0.2">
      <c r="A26" s="21"/>
      <c r="B26" s="26" t="s">
        <v>21</v>
      </c>
      <c r="C26" s="23" t="s">
        <v>13</v>
      </c>
      <c r="D26" s="24">
        <f>(8.15*2+6.1*2)*3.56-0.9*2.1-2.1*1.06*3</f>
        <v>92.89200000000001</v>
      </c>
      <c r="E26" s="25"/>
    </row>
    <row r="27" spans="1:5" x14ac:dyDescent="0.2">
      <c r="A27" s="21"/>
      <c r="B27" s="26"/>
      <c r="C27" s="23"/>
      <c r="D27" s="24"/>
      <c r="E27" s="25"/>
    </row>
    <row r="28" spans="1:5" ht="24" x14ac:dyDescent="0.2">
      <c r="A28" s="21"/>
      <c r="B28" s="26" t="s">
        <v>22</v>
      </c>
      <c r="C28" s="23" t="s">
        <v>13</v>
      </c>
      <c r="D28" s="24">
        <f>8.15*6.1</f>
        <v>49.714999999999996</v>
      </c>
      <c r="E28" s="25"/>
    </row>
    <row r="29" spans="1:5" x14ac:dyDescent="0.2">
      <c r="A29" s="21"/>
      <c r="B29" s="26"/>
      <c r="C29" s="23"/>
      <c r="D29" s="24"/>
      <c r="E29" s="25"/>
    </row>
    <row r="30" spans="1:5" x14ac:dyDescent="0.2">
      <c r="A30" s="21"/>
      <c r="B30" s="26"/>
      <c r="C30" s="23"/>
      <c r="D30" s="24"/>
      <c r="E30" s="25"/>
    </row>
  </sheetData>
  <mergeCells count="3">
    <mergeCell ref="A3:E3"/>
    <mergeCell ref="A8:E8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каб 1 этаж</vt:lpstr>
      <vt:lpstr>Лист1</vt:lpstr>
      <vt:lpstr>'каб 1 этаж'!Заголовки_для_печати</vt:lpstr>
      <vt:lpstr>'каб 1 этаж'!Область_печати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Nasibullina</cp:lastModifiedBy>
  <cp:lastPrinted>2025-02-04T05:03:12Z</cp:lastPrinted>
  <dcterms:created xsi:type="dcterms:W3CDTF">2002-02-11T05:58:42Z</dcterms:created>
  <dcterms:modified xsi:type="dcterms:W3CDTF">2025-02-25T09:13:08Z</dcterms:modified>
</cp:coreProperties>
</file>