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E:\Планируемые объекты 2025\Образец\Школа на 500 ученических мест к зданию школы №39 в г. Махачкала\ИЗМ\"/>
    </mc:Choice>
  </mc:AlternateContent>
  <xr:revisionPtr revIDLastSave="0" documentId="13_ncr:1_{89A2253E-3F3E-40C9-953D-EC886CBAED0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СВОДНАЯ" sheetId="6" r:id="rId1"/>
    <sheet name="форма 2П_проектные" sheetId="1" r:id="rId2"/>
    <sheet name="Геодезия" sheetId="7" r:id="rId3"/>
    <sheet name="Геология" sheetId="8" r:id="rId4"/>
    <sheet name="Геофизика" sheetId="9" r:id="rId5"/>
    <sheet name="Экология" sheetId="10" r:id="rId6"/>
    <sheet name="Гидрометрология" sheetId="11" r:id="rId7"/>
  </sheets>
  <definedNames>
    <definedName name="_xlnm.Print_Titles" localSheetId="2">Геодезия!$13:$13</definedName>
    <definedName name="_xlnm.Print_Titles" localSheetId="3">Геология!$12:$12</definedName>
    <definedName name="_xlnm.Print_Titles" localSheetId="4">Геофизика!$12:$12</definedName>
    <definedName name="_xlnm.Print_Titles" localSheetId="6">Гидрометрология!$12:$12</definedName>
    <definedName name="_xlnm.Print_Titles" localSheetId="5">Экология!$12:$12</definedName>
    <definedName name="_xlnm.Print_Area" localSheetId="0">СВОДНАЯ!$A$1:$G$30</definedName>
    <definedName name="_xlnm.Print_Area" localSheetId="1">'форма 2П_проектные'!$A$1:$E$23</definedName>
  </definedNames>
  <calcPr calcId="191029" fullPrecision="0"/>
</workbook>
</file>

<file path=xl/calcChain.xml><?xml version="1.0" encoding="utf-8"?>
<calcChain xmlns="http://schemas.openxmlformats.org/spreadsheetml/2006/main">
  <c r="H8" i="1" l="1"/>
  <c r="E12" i="1" s="1"/>
  <c r="D7" i="11" l="1"/>
  <c r="D7" i="10"/>
  <c r="D7" i="9"/>
  <c r="D7" i="8"/>
  <c r="G49" i="11"/>
  <c r="G43" i="11"/>
  <c r="G46" i="11" s="1"/>
  <c r="G47" i="11" s="1"/>
  <c r="G40" i="11"/>
  <c r="G37" i="11"/>
  <c r="G34" i="11"/>
  <c r="G28" i="11"/>
  <c r="G25" i="11"/>
  <c r="G22" i="11"/>
  <c r="G19" i="11"/>
  <c r="G16" i="11"/>
  <c r="G200" i="10"/>
  <c r="G191" i="10"/>
  <c r="G183" i="10"/>
  <c r="G177" i="10"/>
  <c r="G170" i="10"/>
  <c r="G163" i="10"/>
  <c r="G154" i="10"/>
  <c r="G148" i="10"/>
  <c r="G142" i="10"/>
  <c r="G136" i="10"/>
  <c r="G130" i="10"/>
  <c r="G124" i="10"/>
  <c r="G118" i="10"/>
  <c r="G112" i="10"/>
  <c r="G105" i="10"/>
  <c r="G99" i="10"/>
  <c r="G92" i="10"/>
  <c r="G85" i="10"/>
  <c r="G78" i="10"/>
  <c r="G66" i="10"/>
  <c r="G58" i="10"/>
  <c r="G50" i="10"/>
  <c r="G43" i="10"/>
  <c r="G36" i="10"/>
  <c r="G29" i="10"/>
  <c r="G21" i="10"/>
  <c r="G14" i="10"/>
  <c r="G54" i="9"/>
  <c r="G48" i="9"/>
  <c r="G42" i="9"/>
  <c r="G36" i="9"/>
  <c r="G30" i="9"/>
  <c r="G21" i="9"/>
  <c r="G14" i="9"/>
  <c r="G173" i="8"/>
  <c r="G166" i="8"/>
  <c r="G162" i="8"/>
  <c r="G158" i="8"/>
  <c r="G154" i="8"/>
  <c r="G148" i="8"/>
  <c r="G142" i="8"/>
  <c r="G135" i="8"/>
  <c r="G129" i="8"/>
  <c r="G120" i="8"/>
  <c r="G114" i="8"/>
  <c r="G108" i="8"/>
  <c r="G102" i="8"/>
  <c r="G96" i="8"/>
  <c r="G90" i="8"/>
  <c r="G84" i="8"/>
  <c r="G78" i="8"/>
  <c r="G71" i="8"/>
  <c r="G62" i="8"/>
  <c r="G56" i="8"/>
  <c r="G50" i="8"/>
  <c r="G44" i="8"/>
  <c r="G38" i="8"/>
  <c r="G32" i="8"/>
  <c r="G26" i="8"/>
  <c r="G20" i="8"/>
  <c r="G14" i="8"/>
  <c r="G30" i="7"/>
  <c r="G36" i="7" s="1"/>
  <c r="G37" i="7" s="1"/>
  <c r="G39" i="7" s="1"/>
  <c r="G40" i="7" s="1"/>
  <c r="G21" i="7"/>
  <c r="G15" i="7"/>
  <c r="G160" i="10" l="1"/>
  <c r="G161" i="10" s="1"/>
  <c r="G27" i="9"/>
  <c r="G28" i="9" s="1"/>
  <c r="G64" i="9" s="1"/>
  <c r="G31" i="11"/>
  <c r="G32" i="11" s="1"/>
  <c r="G50" i="11" s="1"/>
  <c r="G51" i="11" s="1"/>
  <c r="G75" i="10"/>
  <c r="G76" i="10" s="1"/>
  <c r="G197" i="10"/>
  <c r="G198" i="10" s="1"/>
  <c r="G60" i="9"/>
  <c r="G63" i="9" s="1"/>
  <c r="G126" i="8"/>
  <c r="G127" i="8" s="1"/>
  <c r="G68" i="8"/>
  <c r="G69" i="8" s="1"/>
  <c r="G170" i="8"/>
  <c r="G171" i="8" s="1"/>
  <c r="G27" i="7"/>
  <c r="G28" i="7" s="1"/>
  <c r="G41" i="7" s="1"/>
  <c r="G201" i="10" l="1"/>
  <c r="G66" i="9"/>
  <c r="G65" i="9"/>
  <c r="G174" i="8"/>
  <c r="G52" i="11"/>
  <c r="G18" i="6" s="1"/>
  <c r="F18" i="6" s="1"/>
  <c r="G61" i="9"/>
  <c r="G42" i="7"/>
  <c r="G43" i="7" s="1"/>
  <c r="G14" i="6" s="1"/>
  <c r="G202" i="10"/>
  <c r="G203" i="10" s="1"/>
  <c r="G17" i="6" s="1"/>
  <c r="F17" i="6" s="1"/>
  <c r="E18" i="1"/>
  <c r="G67" i="9" l="1"/>
  <c r="F14" i="6"/>
  <c r="G175" i="8"/>
  <c r="G176" i="8" s="1"/>
  <c r="G15" i="6" s="1"/>
  <c r="F15" i="6" s="1"/>
  <c r="G68" i="9"/>
  <c r="G69" i="9" s="1"/>
  <c r="G70" i="9" s="1"/>
  <c r="G16" i="6" s="1"/>
  <c r="F16" i="6" s="1"/>
  <c r="H13" i="6" l="1"/>
  <c r="E17" i="1"/>
  <c r="F13" i="6" s="1"/>
  <c r="K20" i="6" l="1"/>
  <c r="F23" i="6"/>
  <c r="F19" i="6"/>
  <c r="K22" i="6"/>
  <c r="E23" i="6" s="1"/>
  <c r="E19" i="1"/>
  <c r="F24" i="6" l="1"/>
  <c r="G23" i="6"/>
  <c r="G24" i="6" s="1"/>
  <c r="E20" i="1"/>
  <c r="G13" i="6" s="1"/>
  <c r="G19" i="6" s="1"/>
  <c r="G20" i="6" s="1"/>
  <c r="G25" i="6" l="1"/>
  <c r="G28" i="6" s="1"/>
  <c r="F27" i="6" l="1"/>
  <c r="G27" i="6"/>
</calcChain>
</file>

<file path=xl/sharedStrings.xml><?xml version="1.0" encoding="utf-8"?>
<sst xmlns="http://schemas.openxmlformats.org/spreadsheetml/2006/main" count="1367" uniqueCount="387">
  <si>
    <t>Форма № 2П</t>
  </si>
  <si>
    <t>на проектные (изыскательские) работы</t>
  </si>
  <si>
    <r>
      <t xml:space="preserve">Стадия проектирования: </t>
    </r>
    <r>
      <rPr>
        <b/>
        <i/>
        <u/>
        <sz val="12"/>
        <rFont val="Times New Roman"/>
        <family val="1"/>
        <charset val="204"/>
      </rPr>
      <t>проект + рабочая документация</t>
    </r>
  </si>
  <si>
    <t>№ п/п</t>
  </si>
  <si>
    <t>Характеристика предприятия, здания, сооружения или виды работ</t>
  </si>
  <si>
    <t>Расчет стоимости</t>
  </si>
  <si>
    <t>Стоимость, тыс. руб.</t>
  </si>
  <si>
    <t>1</t>
  </si>
  <si>
    <t>Коэффициенты:</t>
  </si>
  <si>
    <t>Методические указания по применению СБЦ на проектные работы в строительстве (2009), разд. III, п. 3.7</t>
  </si>
  <si>
    <t>2</t>
  </si>
  <si>
    <t>Итого</t>
  </si>
  <si>
    <t>ВСЕГО:</t>
  </si>
  <si>
    <t>СМЕТА № 1</t>
  </si>
  <si>
    <t xml:space="preserve">                                                            </t>
  </si>
  <si>
    <t>Наименование работ и затрат</t>
  </si>
  <si>
    <t>Ед. измерения</t>
  </si>
  <si>
    <t>Кол-во</t>
  </si>
  <si>
    <t>Обоснование стоимости</t>
  </si>
  <si>
    <t>1 га</t>
  </si>
  <si>
    <t>тыс. руб.</t>
  </si>
  <si>
    <t>Полевые работы</t>
  </si>
  <si>
    <t>Лабораторные работы</t>
  </si>
  <si>
    <t>Камеральные работы</t>
  </si>
  <si>
    <t xml:space="preserve">СВОДНАЯ СМЕТА </t>
  </si>
  <si>
    <t>на проектно - изыскательские работы, экспертиза проекта</t>
  </si>
  <si>
    <t>тыс. рублей</t>
  </si>
  <si>
    <t>Стоимость в базовых ценах 2001 года</t>
  </si>
  <si>
    <t>Проектно-изыскательские работы</t>
  </si>
  <si>
    <t>Проектны работы</t>
  </si>
  <si>
    <t>Смета 1</t>
  </si>
  <si>
    <t>Смета 2</t>
  </si>
  <si>
    <t>Итого ПИР</t>
  </si>
  <si>
    <t>в том числе НДС</t>
  </si>
  <si>
    <t>Экспертиза проекта</t>
  </si>
  <si>
    <t>Экспертиза проекта проектной документации</t>
  </si>
  <si>
    <t>Итого экспертиза проектов</t>
  </si>
  <si>
    <t xml:space="preserve">Наименование изыскательской 
организации: </t>
  </si>
  <si>
    <t>№ части, главы, таблицы, пунктов указывающих к разделу или главе СБЦ</t>
  </si>
  <si>
    <r>
      <t>K</t>
    </r>
    <r>
      <rPr>
        <vertAlign val="subscript"/>
        <sz val="9"/>
        <rFont val="Times New Roman"/>
        <family val="1"/>
        <charset val="204"/>
      </rPr>
      <t>пр</t>
    </r>
    <r>
      <rPr>
        <sz val="9"/>
        <rFont val="Times New Roman"/>
        <family val="1"/>
        <charset val="204"/>
      </rPr>
      <t xml:space="preserve">=0,4 - </t>
    </r>
    <r>
      <rPr>
        <i/>
        <sz val="9"/>
        <rFont val="Times New Roman"/>
        <family val="1"/>
        <charset val="204"/>
      </rPr>
      <t>коэффициент стадии "Проект"</t>
    </r>
  </si>
  <si>
    <r>
      <t>K</t>
    </r>
    <r>
      <rPr>
        <vertAlign val="subscript"/>
        <sz val="9"/>
        <rFont val="Times New Roman"/>
        <family val="1"/>
        <charset val="204"/>
      </rPr>
      <t>рд</t>
    </r>
    <r>
      <rPr>
        <sz val="9"/>
        <rFont val="Times New Roman"/>
        <family val="1"/>
        <charset val="204"/>
      </rPr>
      <t xml:space="preserve">=0,6 - </t>
    </r>
    <r>
      <rPr>
        <i/>
        <sz val="9"/>
        <rFont val="Times New Roman"/>
        <family val="1"/>
        <charset val="204"/>
      </rPr>
      <t>коэффициент стадии "Рабочая документация"</t>
    </r>
  </si>
  <si>
    <r>
      <t>K</t>
    </r>
    <r>
      <rPr>
        <vertAlign val="subscript"/>
        <sz val="9"/>
        <rFont val="Times New Roman"/>
        <family val="1"/>
        <charset val="204"/>
      </rPr>
      <t>1</t>
    </r>
    <r>
      <rPr>
        <sz val="9"/>
        <rFont val="Times New Roman"/>
        <family val="1"/>
        <charset val="204"/>
      </rPr>
      <t xml:space="preserve">=1,3 - </t>
    </r>
    <r>
      <rPr>
        <i/>
        <sz val="9"/>
        <rFont val="Times New Roman"/>
        <family val="1"/>
        <charset val="204"/>
      </rPr>
      <t>коэффициент к цене разработки проектной документации на строительство предприятий, зданий и сооружений в сложных условиях - сейсмичность 9 баллов</t>
    </r>
  </si>
  <si>
    <t>Составил:</t>
  </si>
  <si>
    <t>НДС (20%)</t>
  </si>
  <si>
    <r>
      <t xml:space="preserve">Наименование организации заказчика:    </t>
    </r>
    <r>
      <rPr>
        <b/>
        <i/>
        <u/>
        <sz val="12"/>
        <rFont val="Times New Roman"/>
        <family val="1"/>
        <charset val="204"/>
      </rPr>
      <t>ГКУ РД "Дирекция единого госзаказчика-застройщика"</t>
    </r>
  </si>
  <si>
    <r>
      <t xml:space="preserve">
Наименование организации заказчика:           </t>
    </r>
    <r>
      <rPr>
        <b/>
        <i/>
        <u/>
        <sz val="12"/>
        <rFont val="Times New Roman"/>
        <family val="1"/>
        <charset val="204"/>
      </rPr>
      <t>ГКУ РД "Дирекция единого госзаказчика-               застройщика"</t>
    </r>
  </si>
  <si>
    <t xml:space="preserve"> Постановление Правительства РФ от 05.03.2007 N 145. Приложение </t>
  </si>
  <si>
    <t>СБЦП "Объекты жилищно-гражданского строительства" (2010), разд. 4, табл. 12, п. 3</t>
  </si>
  <si>
    <r>
      <t>K</t>
    </r>
    <r>
      <rPr>
        <b/>
        <vertAlign val="subscript"/>
        <sz val="9"/>
        <rFont val="Times New Roman"/>
        <family val="1"/>
        <charset val="204"/>
      </rPr>
      <t>1</t>
    </r>
    <r>
      <rPr>
        <b/>
        <sz val="9"/>
        <rFont val="Times New Roman"/>
        <family val="1"/>
        <charset val="204"/>
      </rPr>
      <t xml:space="preserve">=4,53 - </t>
    </r>
    <r>
      <rPr>
        <b/>
        <i/>
        <sz val="9"/>
        <rFont val="Times New Roman"/>
        <family val="1"/>
        <charset val="204"/>
      </rPr>
      <t>прогнозный индекс изменения сметной стоимости (на проектные работы)</t>
    </r>
  </si>
  <si>
    <t>Письмо Минстроя России от 22.01.2021 г. №1886-ИФ/09 прил.2</t>
  </si>
  <si>
    <t>Стоимость в  ценах 
1 кв. 2021 года
(с НДС)</t>
  </si>
  <si>
    <t>Мехтиев Р.М.</t>
  </si>
  <si>
    <t>«Адепт: Проект в 12.12»
© ООО «Адепт»</t>
  </si>
  <si>
    <t xml:space="preserve">форма №2П
Приложение </t>
  </si>
  <si>
    <t>Наименование объекта изысканий:</t>
  </si>
  <si>
    <t>Заказчик:</t>
  </si>
  <si>
    <t>№ пп</t>
  </si>
  <si>
    <t>Ед.
Изм</t>
  </si>
  <si>
    <t>Кол-
во.</t>
  </si>
  <si>
    <t>Раздел</t>
  </si>
  <si>
    <t>1.1</t>
  </si>
  <si>
    <t>Стенные и скальные марки и реперы.Категория грунтов I</t>
  </si>
  <si>
    <t>1 знак</t>
  </si>
  <si>
    <t>Справочник базовых цен на инженерные изыскания для строительства. Инженерно-геодезические изыскания. 2004 г.  Часть II, Глава 7, Таблица 46. Цены на изготовление и установку (закладку) геодезических знаков п.1
A=243 руб; 
Количество = 2 (1 знак)</t>
  </si>
  <si>
    <t>Полный комплекс работ
(100%):
A * Количество * Ктек
0.243 тыс.руб * 2 * 4.55</t>
  </si>
  <si>
    <t/>
  </si>
  <si>
    <t>Коэффициенты</t>
  </si>
  <si>
    <t>Стадия: Изыскания</t>
  </si>
  <si>
    <t>инд.4кв.2020г.к 01.01.2001 на инж.из.</t>
  </si>
  <si>
    <t>Ктек = 4.55
Письмо Минстроя России от 02.11.2020 №44016-ИФ/09</t>
  </si>
  <si>
    <t>Разделы документации</t>
  </si>
  <si>
    <t>1. Пол ком раб</t>
  </si>
  <si>
    <t>1.2</t>
  </si>
  <si>
    <t>Инженерно-топографические планы. Масштаб съемки 1:500. Высота сечения рельефа 0,5 м. Категория сложности II. Вид территории: незастроенная</t>
  </si>
  <si>
    <t>Справочник базовых цен на инженерные изыскания для строительства. Инженерно-геодезические изыскания. 2004 г. Часть I, Глава 2, Таблица 9. Цены на создание инженерно-топографических планов в масштабах 1:500-1:10000 п.2
A=2432 руб; 
Количество = 4 (1 га)</t>
  </si>
  <si>
    <t>Полный комплекс работ
(100%):
A * Количество * Ктек
2.432 тыс.руб * 4 * 4.55</t>
  </si>
  <si>
    <t>1.3</t>
  </si>
  <si>
    <t>Итого Полевые работы:</t>
  </si>
  <si>
    <t>1.4</t>
  </si>
  <si>
    <t>Всего Полевые работы:</t>
  </si>
  <si>
    <t>2.1</t>
  </si>
  <si>
    <t>Справочник базовых цен на инженерные изыскания для строительства. Инженерно-геодезические изыскания. 2004 г. Часть I, Глава 2, Таблица 9. Цены на создание инженерно-топографических планов в масштабах 1:500-1:10000 п.2
A=589 руб; 
Количество = 4 (1 га)</t>
  </si>
  <si>
    <t>Полный комплекс работ
(100%):
A * Количество * Ктек
0.589 тыс.руб * 4 * 4.55</t>
  </si>
  <si>
    <t>2.2</t>
  </si>
  <si>
    <t>Итого Камеральные работы:</t>
  </si>
  <si>
    <t>2.3</t>
  </si>
  <si>
    <t>Всего Камеральные работы:</t>
  </si>
  <si>
    <t>3</t>
  </si>
  <si>
    <t>Прочие расходы</t>
  </si>
  <si>
    <t>3.1</t>
  </si>
  <si>
    <t>Коэффициент при необходимости выполнения камеральных и картографических работ с применением компьютерных технологий</t>
  </si>
  <si>
    <t>СБЦ на инж.из. для стр-ва "Инженерно-геодезические изыскания"  (ОУ п. 15)</t>
  </si>
  <si>
    <t>Коэф - т 1.2 от п.2.3</t>
  </si>
  <si>
    <t>3.2</t>
  </si>
  <si>
    <t>Всего Прочие расходы:</t>
  </si>
  <si>
    <t>4</t>
  </si>
  <si>
    <t>Итого по смете:</t>
  </si>
  <si>
    <t>5</t>
  </si>
  <si>
    <t>НДС</t>
  </si>
  <si>
    <t>20% от п.4</t>
  </si>
  <si>
    <t>6</t>
  </si>
  <si>
    <t>Всего по смете:</t>
  </si>
  <si>
    <t xml:space="preserve">форма №2П
</t>
  </si>
  <si>
    <t>Плановая и высотная привязка при расстоянии между геологическими выработками или точками, м: до 50. Категория сложности I</t>
  </si>
  <si>
    <t>Инженерно-геологические и инженерно-экологические. 1999 г. Глава 25. Геодезические работы Таблица 93. Цены на плановую и высотную привязку отдельных точек. п.1
A=6.2 руб; 
Количество = 30 (1 выработка (точка))</t>
  </si>
  <si>
    <t>Полный комплекс работ
(100%):
A * Количество * Ктек
0.0062 тыс.руб * 30 * 51.69</t>
  </si>
  <si>
    <t>инд.4кв.2020г.к 01.01.1991 на инж.из.</t>
  </si>
  <si>
    <t>Ктек = 51.69
Письмо Минстроя России от 02.11.2020 №44016-ИФ/09</t>
  </si>
  <si>
    <t>Инженерно-геологическая, гидрогеологическая рекогносцировка при проходимости: удовлетворительной. Категория сложности I</t>
  </si>
  <si>
    <t>Инженерно-геологические и инженерно-экологические изыскания для строительства. 1999 г. Глава 1. Инженерно-геологическое, инженерно-гидрогеологическое и инженерно-экологическое рекогносцировочное (маршрутное) обследование Таблица 9. Рекогносцировочное обследование п.2
A=20.4 руб; 
Количество = 1 (1 км маршрута)</t>
  </si>
  <si>
    <t>Полный комплекс работ
(100%):
A * Количество * Ктек
0.0204 тыс.руб * 1 * 51.69</t>
  </si>
  <si>
    <t>Наблюдения при передвижении по маршруту при составлении карты: инженерно-геологической, гидрогеологической, почвенной, инженерно-экологической в масштабе: 1:2000-1:1000. Категория проходимости: удовлетворительная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</si>
  <si>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инженерно-геологических, инженерно-гидрогеологических и инженерно-экологических карт масштабов 1:50000-1:500 Таблица 10. Наблюдения при передвижении по маршруту при составлении карты: инженерно-геологической, гидрогеологической, почвенной, инженерно-экологической п.4
A=20.3 руб; 
Количество = 1 (1 км маршрута)</t>
  </si>
  <si>
    <t>Полный комплекс работ
(100%):
A * Количество * Ктек
0.0203 тыс.руб * 1 * 51.69</t>
  </si>
  <si>
    <t>Описание точек наблюдений при составлении инженерно-геологических (гидрогеологических) карт . Категория сложности I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</si>
  <si>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инженерно-геологических, инженерно-гидрогеологических и инженерно-экологических карт масштабов 1:50000-1:500 Таблица 11. Описание точек наблюдений при составлении инженерно-геологических (гидрогеологических) и инженерно-экологических карт п.1
A=6.8 руб; 
Количество = 30 (1 точка)</t>
  </si>
  <si>
    <t>Полный комплекс работ
(100%):
A * Количество * Ктек
0.0068 тыс.руб * 30 * 51.69</t>
  </si>
  <si>
    <t>1.5</t>
  </si>
  <si>
    <t>Колонковое бурение скважины диаметром до 160 мм, глубиной, м: до 15. Категория породы II</t>
  </si>
  <si>
    <t>Инженерно-геологические и инженерно-экологические изыскания для строительства. 1999 г. Глава 4. Колонковое бурение Таблица 017. Колонковое бурение скважин п.1
A=38.4 руб; 
Количество = 125 (1 м)</t>
  </si>
  <si>
    <t>Полный комплекс работ
(100%):
A * Количество * Ктек
0.0384 тыс.руб * 125 * 51.69</t>
  </si>
  <si>
    <t>1.6</t>
  </si>
  <si>
    <t>Гидрогеологические наблюдения при бурении скважины диаметром, мм: до 160. Глубина скважины, м: до 15</t>
  </si>
  <si>
    <t>Инженерно-геологические и инженерно-экологические изыскания для строительства. 1999 г. Глава 4. Колонковое бурение Таблица 18. Сопутствующие работы п.1
A=1.6 руб; 
Количество = 75 (1 м)</t>
  </si>
  <si>
    <t>Полный комплекс работ
(100%):
A * Количество * Ктек
0.0016 тыс.руб * 75 * 51.69</t>
  </si>
  <si>
    <t>1.7</t>
  </si>
  <si>
    <t>Отбор монолитов с глубины, м: до 10. Из буровых скважин (связные грунты)</t>
  </si>
  <si>
    <t>Инженерно-геологические и инженерно-экологические изыскания для строительства. 1999 г. Глава 16. Отбор проб Таблица 057. Цены на отбор монолитов связных и несвязных грунтов для лабораторных исследований из буровых скважин, горных выработок и котлованов. п.1
A=22.9 руб; 
Количество = 17 (1 монолит)</t>
  </si>
  <si>
    <t>Полный комплекс работ
(100%):
A * Количество * Ктек
0.0229 тыс.руб * 17 * 51.69</t>
  </si>
  <si>
    <t>1.8</t>
  </si>
  <si>
    <t>Отбор монолитов с глубины, м: св. 10 до 20. Из буровых скважин (связные грунты)</t>
  </si>
  <si>
    <t>Инженерно-геологические и инженерно-экологические изыскания для строительства. 1999 г. Глава 16. Отбор проб Таблица 57. Цены на отбор монолитов связных и несвязных грунтов для лабораторных исследований из буровых скважин, горных выработок и котлованов. п.2
A=30.6 руб; 
Количество = 17 (1 монолит)</t>
  </si>
  <si>
    <t>Полный комплекс работ
(100%):
A * Количество * Ктек
0.0306 тыс.руб * 25 * 51.69</t>
  </si>
  <si>
    <t>1.9</t>
  </si>
  <si>
    <t>Испытание грунтов в горизонтальных выработках (пройденных из шахт) вертикальной статической нагрузкой штампом площадью 5000 см2 удельным давлением до 0,5 МПа на глубине, м: св. 20 до 30. Категория сложности I-II</t>
  </si>
  <si>
    <t>Инженерно-геологические и инженерно-экологические изыскания для строительства. 1999 г. Глава 15. Полевые исследования грунтов Таблица 54. Цены на испытания грунтов вертикальной статической нагрузкой на штампы в горных выработках и буровых скважинах. п.12
A=1163 руб; 
Количество = 2 (1 испытание)</t>
  </si>
  <si>
    <t>Полный комплекс работ
(100%):
A * Количество * Ктек
1.163 тыс.руб * 2 * 51.69</t>
  </si>
  <si>
    <t>1.10</t>
  </si>
  <si>
    <t>1.11</t>
  </si>
  <si>
    <t>Комплексные исследования физико-механических свойств глинистых грунтов. Полный комплекс физико-механических свойств грунта с определением сопротивления грунту срезу (консолидированный срез) и компрессионными испытаниями под нагрузкой до 0,6 МПа. Плотность и влажность, границы текучести и раскатывания, плотность частиц грунта. Гранулометрический анализ методом ареометра. Сопротивление срезу с нагрузками до 0,6 МПа - 4 точки. Влажность и плотность до и после опыта. Показатели сжимаемости по одной ветви с нагрузкой до 0,6 МПа с наблюдением за консолидацией - 6 точек. Плотность и влажность до и после опыта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</si>
  <si>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63. Цены на комплексные исследования физико-механических свойств глинистых грунтов. п.25
A=193 руб; 
Количество = 5 (1 образец)</t>
  </si>
  <si>
    <t>Полный комплекс работ
(100%):
A * Количество * Ктек
0.193 тыс.руб * 5 * 51.69</t>
  </si>
  <si>
    <t>Комплексные исследования физико-механических свойств глинистых грунтов. Консистенция при нарушенной структуре. Влажность, границы текучести и раскатывания. Расчет показателя консистенции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</si>
  <si>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63. Цены на комплексные исследования физико-механических свойств глинистых грунтов. п.3
A=18.2 руб; 
Количество = 5 (1 образец)</t>
  </si>
  <si>
    <t>Полный комплекс работ
(100%):
A * Количество * Ктек
0.0182 тыс.руб * 5 * 51.69</t>
  </si>
  <si>
    <t>Определения физико-механических свойств песчаных грунтов. Гранулометрический анализ ситовым методом с разделением на фракции от 10 до 0,1 мм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</si>
  <si>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64. Цены на единичные определения физико-механических свойств песчаных грунтов. п.8
A=9.1 руб; 
Количество = 5 (1 образец)</t>
  </si>
  <si>
    <t>Полный комплекс работ
(100%):
A * Количество * Ктек
0.0091 тыс.руб * 5 * 51.69</t>
  </si>
  <si>
    <t>2.4</t>
  </si>
  <si>
    <t>Определения физико-механических свойств песчаных грунтов. Влажность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</si>
  <si>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64. Цены на единичные определения физико-механических свойств песчаных грунтов. п.1
A=1.9 руб; 
Количество = 5 (1 образец)</t>
  </si>
  <si>
    <t>Полный комплекс работ
(100%):
A * Количество * Ктек
0.0019 тыс.руб * 5 * 51.69</t>
  </si>
  <si>
    <t>2.5</t>
  </si>
  <si>
    <t>Определения физико-механических свойств песчаных грунтов. Угол естественного откоса (в сухом состоянии или под водой)</t>
  </si>
  <si>
    <t>Инженерно-геологические и инженерно-экологические изыскания для строительства. 1999 г. Глава 17. Единичные определения и комплексные исследования (испытания) физико-механических свойств грунтов (пород) Таблица 64. Цены на единичные определения физико-механических свойств песчаных грунтов. п.4
A=3.4 руб; 
Количество = 5 (1 образец)</t>
  </si>
  <si>
    <t>Полный комплекс работ
(100%):
A * Количество * Ктек
0.0034 тыс.руб * 5 * 51.69</t>
  </si>
  <si>
    <t>2.6</t>
  </si>
  <si>
    <t>Определения химического состава грунтов (почв). Приготовление водной вытяжки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</si>
  <si>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70. Цены на единичные определения химического состава грунтов (почв). п.83
A=3.8 руб; 
Количество = 9 (1 образец)</t>
  </si>
  <si>
    <t>Полный комплекс работ
(100%):
A * Количество * Ктек
0.0038 тыс.руб * 9 * 51.69</t>
  </si>
  <si>
    <t>2.7</t>
  </si>
  <si>
    <t>Комплексные исследования химического состава грунтов (почв). Анализ водной вытяжки с определением по разности суммы натрия и калия. Водная вытяжка, концентрация водородных ионов рН, хлориды, карбонат- и гидрокарбонат-ионы, сульфаты, кальций и магний, сухой остаток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</si>
  <si>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71. Цены на комплексные исследования химического состава грунтов (почв). п.1
A=48.8 руб; 
Количество = 9 (1 образец)</t>
  </si>
  <si>
    <t>Полный комплекс работ
(100%):
A * Количество * Ктек
0.0488 тыс.руб * 9 * 51.69</t>
  </si>
  <si>
    <t>2.8</t>
  </si>
  <si>
    <t>Определение коррозионной активности грунтов и воды. Коррозионная активность грунтов по отношению к стали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</si>
  <si>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75. Цены на определение коррозионной активности грунтов и воды. п.4
A=18.2 руб; 
Количество = 9 (1 образец)</t>
  </si>
  <si>
    <t>Полный комплекс работ
(100%):
A * Количество * Ктек
0.0182 тыс.руб * 9 * 51.69</t>
  </si>
  <si>
    <t>2.9</t>
  </si>
  <si>
    <t>Комплексные исследования химического состава. Сокращенный анализ воды. Физические свойства, водородный показатель -рН, гидрокарбонат и карбонат-ионы, хлориды, сульфаты, кальций, магний, сухой остаток, сумма натрия и калия (расчетом), виды жесткости (расчетом)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</si>
  <si>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73. Цены на комплексные исследования химического состава воды. п.3
A=45.7 руб; 
Количество = 9 (1 проба)</t>
  </si>
  <si>
    <t>Полный комплекс работ
(100%):
A * Количество * Ктек
0.0457 тыс.руб * 9 * 51.69</t>
  </si>
  <si>
    <t>2.10</t>
  </si>
  <si>
    <t>Итого Лабораторные работы:</t>
  </si>
  <si>
    <t>2.11</t>
  </si>
  <si>
    <t>Всего Лабораторные работы:</t>
  </si>
  <si>
    <t>Камеральная обработка материалов буровых и горнопроходческих работ с гидрогеологическими наблюдениями.Категория сложности инженерно-геологических условий II</t>
  </si>
  <si>
    <t>Инженерно-геологические и инженерно-экологические. 1999 г. Глава 21. Камеральная обработка материалов полевых и лабораторных работ Таблица 082. Цены на камеральную обработку материалов буровых и горнопроходческих работ. п.2
A=9.3 руб; 
Количество = 25 (1 м выработки)</t>
  </si>
  <si>
    <t>Полный комплекс работ
(100%):
A * Количество * Ктек
0.0093 тыс.руб * 25 * 51.69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</si>
  <si>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инженерно-геологических, инженерно-гидрогеологических и инженерно-экологических карт масштабов 1:50000-1:500 Таблица 11. Описание точек наблюдений при составлении инженерно-геологических (гидрогеологических) и инженерно-экологических карт п.1
A=4.2 руб; 
Количество = 30 (1 точка)</t>
  </si>
  <si>
    <t>Полный комплекс работ
(100%):
A * Количество * Ктек
0.0042 тыс.руб * 30 * 51.69</t>
  </si>
  <si>
    <t>3.3</t>
  </si>
  <si>
    <t>Камеральная обработка материалов буровых и горнопроходческих работ с гидрогеологическими наблюдениями.Категория сложности инженерно-геологических условий III</t>
  </si>
  <si>
    <t>Инженерно-геологические и инженерно-экологические. 1999 г. Глава 21. Камеральная обработка материалов полевых и лабораторных работ Таблица 82. Цены на камеральную обработку материалов буровых и горнопроходческих работ. п.2
A=10.7 руб; 
Количество = 125 (1 м выработки)</t>
  </si>
  <si>
    <t>Полный комплекс работ
(100%):
A * Количество * Ктек
0.0107 тыс.руб * 125 * 51.69</t>
  </si>
  <si>
    <t>3.4</t>
  </si>
  <si>
    <t>Камеральная обработка полевого испытания грунтов динамическим или статическим зондированием с последующей корректировкой разреза по данным лабораторных работ на глубину, м:10</t>
  </si>
  <si>
    <t>Инженерно-геологические и инженерно-экологические. 1999 г. Глава 21. Камеральная обработка материалов полевых и лабораторных работ Таблица 83. Цены на камеральную обработку материалов полевых опытных испытаний грунтов. п.1
A=29.7 руб; 
Количество = 9 (1 испытание)</t>
  </si>
  <si>
    <t>Полный комплекс работ
(100%):
A * Количество * Ктек
0.0297 тыс.руб * 9 * 51.69</t>
  </si>
  <si>
    <t>3.5</t>
  </si>
  <si>
    <t>Камеральная обработка комплексных исследований и отдельных определений физико-механических свойств грунтов (пород):. глинистых</t>
  </si>
  <si>
    <t>Справочник базовых цен на инженерно-геологические и инженерно-экологические изыскания для строительства. 1999 г. Таблица 86. Цены на камеральную обработку данных лабораторных исследований. п.1
Количество =3</t>
  </si>
  <si>
    <t>20% от п.2.1-2.2 с начислениями
Сумма * Количество
39.301 тыс.руб * 9</t>
  </si>
  <si>
    <t>Ктек = 
Письмо Минстроя России от 02.11.2020 №44016-ИФ/09</t>
  </si>
  <si>
    <t>3.6</t>
  </si>
  <si>
    <t>Камеральная обработка комплексных исследований и отдельных определений физико-механических свойств грунтов (пород):. песчаных</t>
  </si>
  <si>
    <t>Справочник базовых цен на инженерно-геологические и инженерно-экологические изыскания для строительства. 1999 г. Таблица 86. Цены на камеральную обработку данных лабораторных исследований. п.2
Количество = 8</t>
  </si>
  <si>
    <t>6% от п.2.3-2.5 с начислениями
Сумма * Количество
0.804 тыс.руб * 8</t>
  </si>
  <si>
    <t>3.7</t>
  </si>
  <si>
    <t>Камеральная обработка химических и бактериологических анализов на загрязненность почво-грунтов, воды, льда, снега и донных отложений при инженерно-экологических изысканиях</t>
  </si>
  <si>
    <t>Справочник базовых цен на инженерно-геологические и инженерно-экологические изыскания для строительства. 1999 г. Таблица 86. Цены на камеральную обработку данных лабораторных исследований, п.6
Количество = 5</t>
  </si>
  <si>
    <t>20% от п.2.6-2.7, 2.9 с начислениями
Сумма * Количество
9.146 тыс.руб * 5</t>
  </si>
  <si>
    <t>3.8</t>
  </si>
  <si>
    <t>Камеральная обработка определения коррозионной активности грунтов и воды</t>
  </si>
  <si>
    <t>Справочник базовых цен на инженерно-геологические и инженерно-экологические изыскания для строительства. 1999 г. Таблица 86. Цены на камеральную обработку данных лабораторных исследований, п.8
Количество = 7</t>
  </si>
  <si>
    <t>15% от п.2.8 с начислениями
Сумма * Количество
1.270 тыс.руб * 7</t>
  </si>
  <si>
    <t>3.9</t>
  </si>
  <si>
    <t>3.10</t>
  </si>
  <si>
    <t>4.1</t>
  </si>
  <si>
    <t>20% от п.5</t>
  </si>
  <si>
    <t>7</t>
  </si>
  <si>
    <t>Сейсморазведка МПВ при возбуждении колебаний ударами кувалды; наблюдения с двумя сейсмограммами; Категория III, шаг до 2 м. Число пикетов взрыва 7</t>
  </si>
  <si>
    <t>1 физическое наблюдение</t>
  </si>
  <si>
    <t>Сборник цен на изыскательские работы для капитального строительства. 1981 г. Часть IV. Глава 16. Таблица 258. Сейсморазведка МВП на дневной поверхности п.88
A=0.013 тыс.руб; 
Количество = 40 (1 физическое наблюдение)</t>
  </si>
  <si>
    <t>Полный комплекс работ
(100%):
A * Количество * Ктек * K1
0.013 тыс.руб * 40 * 51.69 * 1.21</t>
  </si>
  <si>
    <t>Поправочный коэффициент к ценам Сборника цен на изыскательские работы для кап. строительства, кроме таблиц из прил. к Письму</t>
  </si>
  <si>
    <t>K1 = 1.21
Письмо Госстроя СССР от 25.12.1990 №21-Д (Ценообразующий)</t>
  </si>
  <si>
    <t>Разбивка и нивелирование профилей геофизической разведки проложением теодолитногои нивелирного ходов при расстоянии между точками 100 м. II категория сложности</t>
  </si>
  <si>
    <t>1 км профиля</t>
  </si>
  <si>
    <t>Сборник цен на изыскательские работы для капитального строительства. Часть I. Глава 4. Таблица 79. Разные геодезические работы. Разбивка и нивелирование профилей геофизической разведки п.1
A=0.037 тыс.руб; 
Количество = 0.8 (1 км профиля)</t>
  </si>
  <si>
    <t>Полный комплекс работ
(100%):
A * Количество * Ктек
0.037 тыс.руб * 0.8 * 51.69</t>
  </si>
  <si>
    <t>Сейсморазведка МПВ на дневной поверхностипри двух типах волн</t>
  </si>
  <si>
    <t>1 физическое наблюдение (годограф)</t>
  </si>
  <si>
    <t>Сборник цен на изыскательские работы для капитального строительства. 1981 г. Часть IV. Глава 16. Таблица 291. Обработка материалов сейсморазведки и сейсмоакустики п.2
A=0.013 тыс.руб; 
Количество = 40 (1 физическое наблюдение (годограф))</t>
  </si>
  <si>
    <t>Полный комплекс работ
(100%):
A * Количество * Ктек
0.013 тыс.руб * 40 * 51.69</t>
  </si>
  <si>
    <t>Обработка материалов сейсмологических наблюдений за колебаниями грунтов при землетрясениях, взрывах и микроколебаниях, машинная обработка</t>
  </si>
  <si>
    <t>1 запись</t>
  </si>
  <si>
    <t>Сборник цен на изыскательские работы для капитального строительства. 1981 г. Часть IV. Глава 16. Таблица 293. Обработка материалов по определению коррозийной активности грунтов и интенсивности блуждающих токов, сейсмическому районированию п.8
A=0.043 тыс.руб; 
Количество = 4 (1 запись)</t>
  </si>
  <si>
    <t>Полный комплекс работ
(100%):
A * Количество * Ктек
0.043 тыс.руб * 4 * 51.69</t>
  </si>
  <si>
    <t>Сборник цен на изыскательские работы для капитального строительства. 1981 г. Часть IV. Глава 16. Таблица 293. Обработка материалов по определению коррозийной активности грунтов и интенсивности блуждающих токов, сейсмическому районированию п.8
A=0.043 тыс.руб; 
Количество = 10 (1 запись)</t>
  </si>
  <si>
    <t>Полный комплекс работ
(100%):
A * Количество * Ктек
0.043 тыс.руб * 10 * 51.69</t>
  </si>
  <si>
    <t>Составление технического отчета по ультразвуковым исследованиям, магниторазведке, гравиразведке</t>
  </si>
  <si>
    <t>1 программа, 1 заключение, 1 отчет</t>
  </si>
  <si>
    <t>Сборник цен на изыскательские работы для капитального строительства. 1981 г. Часть IV. Глава 16. Таблица 294. Составление программы изысканий, заключения и технического отчета п.9
A=0.800 тыс.руб; 
Количество = 1 (1 программа, 1 заключение, 1 отчет)</t>
  </si>
  <si>
    <t>Полный комплекс работ
(100%):
A * Количество * Ктек
0.8 тыс.руб * 1 * 51.69</t>
  </si>
  <si>
    <t>Составление заключения по материалам изысканий прошлых лет</t>
  </si>
  <si>
    <t>Сборник цен на изыскательские работы для капитального строительства. 1981 г. Часть IV. Глава 16. Таблица 294. Составление программы изысканий, заключения и технического отчета п.7
A=0.500 тыс.руб; 
Количество = 1 (1 программа, 1 заключение, 1 отчет)</t>
  </si>
  <si>
    <t>Полный комплекс работ
(100%):
A * Количество * Ктек
0.5 тыс.руб * 1 * 51.69</t>
  </si>
  <si>
    <t>Непредвиденные расходы</t>
  </si>
  <si>
    <t>СБЦ на инж.из. для стр-ва "Инженерно-геодезические изыскания" (ОУ п. 18)</t>
  </si>
  <si>
    <t>10.0% от п.2.6</t>
  </si>
  <si>
    <t>Расходы по внутреннему транспорту. Расстояние от базы до участка изысканий св. 15 до 20 км. Сметная стоимость полевых изыск.работ св. 20 до 50 тыс.руб</t>
  </si>
  <si>
    <t>Сц на изыскательские работы для капитального строительства (ОУ п. 7г Таблица 4)</t>
  </si>
  <si>
    <t>10% от п.1.4</t>
  </si>
  <si>
    <t>Расходы по внешнему транспорту. Расстояние проезда и перевозки св 25 до 100 км. Продолжительность экспедиции до 1 мес</t>
  </si>
  <si>
    <t>Сц на изыскательские работы для капитального строительства (ОУ п. 9 Таблица 5)</t>
  </si>
  <si>
    <t>10% от п.1.4, 3.2</t>
  </si>
  <si>
    <t>Расходы по организации и ликвидации работ</t>
  </si>
  <si>
    <t>Сц на изыскательские работы для капитального строительства (ОУ п. 13)</t>
  </si>
  <si>
    <t>6% от п.1.4, 3.2</t>
  </si>
  <si>
    <t>Рекогносцировочное почвенное обследование при проходимости: удовлетворительной. Категория сложности III</t>
  </si>
  <si>
    <t>Инженерно-геологические и инженерно-экологические изыскания для строительства. 1999 г. Глава 1. Инженерно-геологическое, инженерно-гидрогеологическое и инженерно-экологическое рекогносцировочное (маршрутное) обследование Таблица 009. Рекогносцировочное обследование п.5
A=6.2 руб; 
Количество = 2.2 (1 км маршрута)</t>
  </si>
  <si>
    <t>Полный комплекс работ
(100%):
A * Количество * Ктек * K1
0.0062 тыс.руб * 2.2 * 51.69 * 1.1</t>
  </si>
  <si>
    <t>Коэффициент при выдаче заказчику промежуточных материалов изысканий</t>
  </si>
  <si>
    <t>K1 = 1.1
СБЦ на инженерно-геологические и инженерно-экологические изыскания для строительства, 1999 г., ОУ п. 15 (Ценообразующий)</t>
  </si>
  <si>
    <t>Описание точек наблюдений при составлении инженерно-экологических карт . Категория сложности II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</si>
  <si>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
инженерно-геологических, инженерно-гидрогеологических и инженерно-экологических карт масштабов 1:50000-1:500 Таблица 011. Описание точек наблюдений при составлении инженерно-геологических (гидрогеологических) и инженерно-экологических карт п.2
A=11.7 руб; 
Количество = 6 (1 точка)</t>
  </si>
  <si>
    <t>Полный комплекс работ
(100%):
A * Количество * Ктек * K1
0.0117 тыс.руб * 6 * 51.69 * 1.3</t>
  </si>
  <si>
    <t>При выполнении маршрутных наблюдений для составления других карт к ценам применяются коэффициенты: комплексные карты и карта с нанесением данных радиометрических наблюдений</t>
  </si>
  <si>
    <t>K1 = 1.3
Часть I, Глава 2, примечание 1 к табл.11 (Ценообразующий)</t>
  </si>
  <si>
    <t>Радиационное обследование участка площадью, га:св. 1,0</t>
  </si>
  <si>
    <t>Инженерно-геологические и инженерно-экологические. 1999 г. Глава 24. Радиометрические работы Таблица 092. Цены на радиационное обследование участка. п.3
A=49.2 руб; 
Количество = 30 (0,1 га)</t>
  </si>
  <si>
    <t>Полный комплекс работ
(100%):
A * Количество * Ктек * K1
0.0492 тыс.руб * 30 * 51.69 * 1.1</t>
  </si>
  <si>
    <t>При выполнении полуинструментальной разбивки сети контрольных точек к ценам применяется коэффициент</t>
  </si>
  <si>
    <t>K1 = 1.1
Часть VIII, Глава 24, п.2 (Ценообразующий)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</si>
  <si>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
инженерно-геологических, инженерно-гидрогеологических и инженерно-экологических карт масштабов 1:50000-1:500 Таблица 010. Наблюдения при передвижении по маршруту при составлении карты: инженерно-геологической, гидрогеологической, почвенной, инженерно-экологической п.4
A=20.3 руб; 
Количество = 2.2 (1 км маршрута)</t>
  </si>
  <si>
    <t>Полный комплекс работ
(100%):
A * Количество * Ктек * K1 * K2
0.0203 тыс.руб * 2.2 * 51.69 * 1.1 * 1.3</t>
  </si>
  <si>
    <t>При определении мощности эквивалентной дозы гамма-излучения к ценам применяется коэффициент</t>
  </si>
  <si>
    <t>K2 = 1.3
Часть I, Глава 2, примечание к табл.10 (Ценообразующий)</t>
  </si>
  <si>
    <t>Отбор проб для бактериологического анализа:почво-грунтов с одной пробной площадки</t>
  </si>
  <si>
    <t>Инженерно-геологические и инженерно-экологические изыскания для строительства. 1999 г. Глава 16. Отбор проб Таблица 060. Цены на отбор проб воды, льда, снега, донных отложений, почво-грунтов, воздуха почвенного (грунтового) и приземной атмосферы для анализов на загрязненность по химическим и бактериологическим (микробиологическим и гидробиологическим) показателям. п.10
A=37.7 руб; 
Количество = 10 (1 проба)</t>
  </si>
  <si>
    <t>Полный комплекс работ
(100%):
A * Количество * Ктек * K1 * K2
0.0377 тыс.руб * 10 * 51.69 * 1.1 * 1.2</t>
  </si>
  <si>
    <t>Стоимость отбора пробы на радиоактивное загрязнение или газохимические исследования определяется с коэффициентом</t>
  </si>
  <si>
    <t>K2 = 1.2
Часть V, Глава 16, примечание 2 к таблице 60 (Ценообразующий)</t>
  </si>
  <si>
    <t>Отбор точечных проб для анализа на загрязненность по химическим показателям:почво-грунтов (методами конверта, по диагонали и т.п.)</t>
  </si>
  <si>
    <t>Инженерно-геологические и инженерно-экологические изыскания для строительства. 1999 г. Глава 16. Отбор проб Таблица 060. Цены на отбор проб воды, льда, снега, донных отложений, почво-грунтов, воздуха почвенного (грунтового) и приземной атмосферы для анализов на загрязненность по химическим и бактериологическим (микробиологическим и гидробиологическим) показателям. п.7
A=6.9 руб; 
Количество = 10 (1 проба)</t>
  </si>
  <si>
    <t>Полный комплекс работ
(100%):
A * Количество * Ктек * K1 * K2 * K3
0.0069 тыс.руб * 10 * 51.69 * 1.1 * 0.9 * 1.2</t>
  </si>
  <si>
    <t>Стоимость отбора объединенной пробы определяется умножением количества точечных проб, составляющих объединенную, на соответствующую цену с коэффициентом</t>
  </si>
  <si>
    <t>K2 = 0.9
Часть V, Глава 16, примечание 1 к таблице 60 (Ценообразующий)</t>
  </si>
  <si>
    <t>K3 = 1.2
Часть V, Глава 16, примечание 2 к таблице 60 (Ценообразующий)</t>
  </si>
  <si>
    <t>Спектрометрия (альфа, или бета, или гамма) лабораторно с пробоподготовкой</t>
  </si>
  <si>
    <t>Инженерно-геологические и инженерно-экологические. 1999 г. Глава 24. Радиометрические работы Таблица 091. Цены на определение плотности потока радона. п.4
A=148 руб; 
Количество = 10 (1 определение)</t>
  </si>
  <si>
    <t>Полный комплекс работ
(100%):
A * Количество * Ктек * K1
0.148 тыс.руб * 10 * 51.69 * 1.1</t>
  </si>
  <si>
    <t>Определения химического состава грунтов (почв). Определение нефтяных углеводородов хроматографическим методом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</si>
  <si>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п.63
A=19.7 руб; 
Количество = 5 (1 образец)</t>
  </si>
  <si>
    <t>Полный комплекс работ
(100%):
A * Количество * Ктек * K1
0.0197 тыс.руб * 5 * 51.69 * 1.1</t>
  </si>
  <si>
    <t>Определения химического состава грунтов (почв). Определение радионуклидов хроматомасс - спектрометрическим методом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</si>
  <si>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п.69
A=147.4 руб; 
Количество = 5 (1 образец)</t>
  </si>
  <si>
    <t>Полный комплекс работ
(100%):
A * Количество * Ктек * K1
0.1474 тыс.руб * 5 * 51.69 * 1.1</t>
  </si>
  <si>
    <t>Определение коррозионной активности грунтов и воды. Коррозионная активность грунтов по отношению к свинцовой и алюминиевой оболочке кабеля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</si>
  <si>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075. Цены на определение коррозионной активности грунтов и воды. п.3
A=20.5 руб; 
Количество = 10 (1 образец)</t>
  </si>
  <si>
    <t>Полный комплекс работ
(100%):
A * Количество * Ктек
0.0205 тыс.руб * 10 * 51.69</t>
  </si>
  <si>
    <t>Комплексные исследования химического состава. Полный анализ воды. Физические свойства (запах, цветность, взвешенные вещества, вкус), водородный показатель -рН, углекислота свободная, гидрокарбонаты и карбонаты, хлориды, сульфаты, нитриты, нитраты, аммоний, гидрокарбонат и карбонат-ионы, кальций, магний, калий, натрий, железо закисное, железо окисное, кремниевая кислота, сухой остаток, окисляемость, виды жестокости (расчетом)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</si>
  <si>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073. Цены на комплексные исследования химического состава воды. п.1
A=96.2 руб; 
Количество = 5 (1 проба)</t>
  </si>
  <si>
    <t>Полный комплекс работ
(100%):
A * Количество * Ктек
0.0962 тыс.руб * 5 * 51.69</t>
  </si>
  <si>
    <t>Определения химического состава грунтов (почв). Определение 1 химического элемента без пробоподготовки методом спектрального анализа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</si>
  <si>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п.62
A=51.2 руб; 
Количество = 8 (1 образец)</t>
  </si>
  <si>
    <t>Полный комплекс работ
(100%):
A * Количество * Ктек
0.0512 тыс.руб * 8 * 51.69</t>
  </si>
  <si>
    <t>Определения химического состава грунтов (почв). Водородный показатель рН водной или солевой вытяжки электрометрическим методом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</si>
  <si>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п.14
A=2 руб; 
Количество = 7 (1 образец)</t>
  </si>
  <si>
    <t>Полный комплекс работ
(100%):
A * Количество * Ктек
0.002 тыс.руб * 7 * 51.69</t>
  </si>
  <si>
    <t>Определения химического состава грунтов (почв). Гумус по Тюрингу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</si>
  <si>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п.22
A=7.6 руб; 
Количество = 8 (1 образец)</t>
  </si>
  <si>
    <t>Полный комплекс работ
(100%):
A * Количество * Ктек
0.0076 тыс.руб * 8 * 51.69</t>
  </si>
  <si>
    <t>Определения химического состава грунтов (почв). Общая (валовая) сера с кислотным разложением или спеканием (по Ручик)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</si>
  <si>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п.2
A=15.2 руб; 
Количество = 8 (1 образец)</t>
  </si>
  <si>
    <t>Полный комплекс работ
(100%):
A * Количество * Ктек
0.0152 тыс.руб * 8 * 51.69</t>
  </si>
  <si>
    <t>Определения химического состава грунтов (почв). Калий подвижный по Масловой-Чернышевой или по Кирсанову, или по Мачигину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</si>
  <si>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п.29
A=8.9 руб; 
Количество = 8 (1 образец)</t>
  </si>
  <si>
    <t>Полный комплекс работ
(100%):
A * Количество * Ктек
0.0089 тыс.руб * 8 * 51.69</t>
  </si>
  <si>
    <t>Определения химического состава грунтов (почв). Натрий обменный по Гедройцу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</si>
  <si>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п.32
A=14.2 руб; 
Количество = 8 (1 образец)</t>
  </si>
  <si>
    <t>Полный комплекс работ
(100%):
A * Количество * Ктек
0.0142 тыс.руб * 8 * 51.69</t>
  </si>
  <si>
    <t>2.12</t>
  </si>
  <si>
    <t>Определения химического состава грунтов (почв). Обменные основания по Гедройцу или вытеснением 1Н раствором хлористого натрия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</si>
  <si>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070. Цены на единичные определения химического состава грунтов (почв). п.35
A=29.8 руб; 
Количество = 8 (1 образец)</t>
  </si>
  <si>
    <t>Полный комплекс работ
(100%):
A * Количество * Ктек
0.0298 тыс.руб * 8 * 51.69</t>
  </si>
  <si>
    <t>2.13</t>
  </si>
  <si>
    <t>Построение градуировочных графиков. Поверхностно-активные вещества (ПАВ) анионоактивные</t>
  </si>
  <si>
    <t>Инженерно-геологические и инженерно-экологические изыскания для строительства. 1999 г. Глава 18. Единичные определения и комплексные исследования химического состава грунтов (почв) и воды Таблица 074. Цены на построение градуировочных графиков по ингредиентам. п.55
A=46.7 руб; 
Количество = 4 (1 график)</t>
  </si>
  <si>
    <t>Полный комплекс работ
(100%):
A * Количество * Ктек
0.0467 тыс.руб * 4 * 51.69</t>
  </si>
  <si>
    <t>2.14</t>
  </si>
  <si>
    <t>2.15</t>
  </si>
  <si>
    <t>Инженерно-геологические и инженерно-экологические изыскания для строительства. 1999 г. Глава 1. Инженерно-геологическое, инженерно-гидрогеологическое и инженерно-экологическое рекогносцировочное (маршрутное) обследование Таблица 009. Рекогносцировочное обследование п.5
A=2.41 руб;</t>
  </si>
  <si>
    <t>Полный комплекс работ
(100%):
A * Количество * Ктек * K1
0.00241 тыс.руб * 0 * 51.69 * 1.1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</si>
  <si>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
инженерно-геологических, инженерно-гидрогеологических и инженерно-экологических карт масштабов 1:50000-1:500 Таблица 011. Описание точек наблюдений при составлении инженерно-геологических (гидрогеологических) и инженерно-экологических карт п.2
A=7.5 руб; 
Количество = 9 (1 точка)</t>
  </si>
  <si>
    <t>Полный комплекс работ
(100%):
A * Количество * Ктек * K1
0.0075 тыс.руб * 9 * 51.69 * 1.3</t>
  </si>
  <si>
    <t>Инженерно-геологические и инженерно-экологические. 1999 г. Глава 24. Радиометрические работы Таблица 092. Цены на радиационное обследование участка. п.3
A=14.8 руб; 
Количество = 30 (0,1 га)</t>
  </si>
  <si>
    <t>Полный комплекс работ
(100%):
A * Количество * Ктек
0.0148 тыс.руб * 30 * 51.69</t>
  </si>
  <si>
    <t>Инженерно-геологические и инженерно-экологические изыскания для строительства. 1999 г. Глава 2. Маршрутные наблюдения, выполняемые при составлении 
инженерно-геологических, инженерно-гидрогеологических и инженерно-экологических карт масштабов 1:50000-1:500 Таблица 010. Наблюдения при передвижении по маршруту при составлении карты: инженерно-геологической, гидрогеологической, почвенной, инженерно-экологической п.4
A=2.1 руб; 
Количество = 2.2 (1 км маршрута)</t>
  </si>
  <si>
    <t>Полный комплекс работ
(100%):
A * Количество * Ктек * K1 * K2
0.0021 тыс.руб * 2.2 * 51.69 * 1.1 * 1.3</t>
  </si>
  <si>
    <t>Цены на составление программы производства работ. Средняя глубина исследования, м: до 5. Исследуемая площадь, км2: до 1</t>
  </si>
  <si>
    <t>Инженерно-геологические и инженерно-экологические. 1999 г. Глава 20. Предполевые камеральные работы Таблица 081. Цены на составление программы производства работ. п.1
A=200 руб; 
Количество = 1 (1 программа)</t>
  </si>
  <si>
    <t>Полный комплекс работ
(100%):
A * Количество * Ктек
0.2 тыс.руб * 1 * 51.69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</si>
  <si>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</t>
  </si>
  <si>
    <t>Рекогносцировочное обследование реки.Категория сложности I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</si>
  <si>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8, Таблица 43. Цены на рекогносцировочное обследование бассейна реки п.1
A=24 руб; 
Количество = 1 (1 км реки)</t>
  </si>
  <si>
    <t>24 руб * 1 * 51.69</t>
  </si>
  <si>
    <t>Промерный створ при ширине реки, м: до 100. Категория сложности II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</si>
  <si>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9, Таблица 44. Цены на сооружение гидрометрических устройств п.1
A=33 руб; 
Количество = 3 (1 створ)</t>
  </si>
  <si>
    <t>33 руб * 3 * 51.69</t>
  </si>
  <si>
    <t>Промеры глубин.Ширина реки, м: до 20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</si>
  <si>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10, Таблица 48. Цены на наблюдения за характеристиками гидрологического режима рек п.1
A=19 руб; 
Количество = 3 (1 профиль )</t>
  </si>
  <si>
    <t>19 руб * 3 * 51.69</t>
  </si>
  <si>
    <t>Определение мгновенного уклона поверхности воды в реке при количестве урезных кольев на 1 км длины реки, шт: 3. Категория сложности I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</si>
  <si>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I, Глава 4, Таблица 26. Цены на определение мгновенных уклонов водной поверхности по урезным кольям п.1
A=127 руб; 
Количество = 1 (1 определение на 1 км длины реки)</t>
  </si>
  <si>
    <t>127 руб * 1 * 51.69</t>
  </si>
  <si>
    <t>Установление высот высоких и других характерных уровней воды прошлых лет при удалении найденных точек от оси морфоствора, км: 1. Категория сложности I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</si>
  <si>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I, Глава 4, Таблица 25. Цены на установление высот высоких исторических и других характерных уровней воды п.1
A=126 руб; 
Количество = 1 (1 комплекс показаний в одном поселке)</t>
  </si>
  <si>
    <t>126 руб * 1 * 51.69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</si>
  <si>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8, Таблица 43. Цены на рекогносцировочное обследование бассейна реки п.1
A=8 руб; 
Количество = 1 (1 км реки)</t>
  </si>
  <si>
    <t>8 руб * 1 * 51.69</t>
  </si>
  <si>
    <t>Составление записки "Характеристика естественного режима русла реки" при его общей устойчивости и количестве описываемых участков:св. 1 до 5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</si>
  <si>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11, Таблица 64. Цены на составление записки "Характеристика естественного режима русла реки" п.2
A=1966 руб; 
Количество = 1 (1 записка)</t>
  </si>
  <si>
    <t>1966 руб * 1 * 51.69</t>
  </si>
  <si>
    <t>Построение кривой расходов гидравлическим методом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</si>
  <si>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11, Таблица 55. Цены на гидравлические расчеты и определение гидрографических характеристик п.1
A=68 руб; 
Количество = 1 (1 график)</t>
  </si>
  <si>
    <t>68 руб * 1 * 51.69</t>
  </si>
  <si>
    <t>Составление климатической характеристики района изысканий при числе метеорологических станций: 1. Число годостанций: до 50</t>
  </si>
  <si>
    <t>Справочник базовых цен на инженерные изыскания для строительства. Инженерно-гидрографические работы. Инженерно-гидрометеорологические изыскания на реках. 2000 г. Часть II, Глава 12, Таблица 69. Цены на составление климатической характеристики района изысканий п.1
A=201 руб; 
Количество = 1 (1 записка)</t>
  </si>
  <si>
    <t>201 руб * 1 * 51.69</t>
  </si>
  <si>
    <t xml:space="preserve">Смета № 2 </t>
  </si>
  <si>
    <t>Смета № 3</t>
  </si>
  <si>
    <t>Смета № 4</t>
  </si>
  <si>
    <t>Смета № 5</t>
  </si>
  <si>
    <t>Смета № 6</t>
  </si>
  <si>
    <t>Смета 3</t>
  </si>
  <si>
    <t>Смета 4</t>
  </si>
  <si>
    <t>Смета 5</t>
  </si>
  <si>
    <t>Смета 6</t>
  </si>
  <si>
    <t>на инженерно-геодезические изыскания</t>
  </si>
  <si>
    <t>Инженерно-геодезические изыскания</t>
  </si>
  <si>
    <t>на инженерно-геологические изыскания</t>
  </si>
  <si>
    <t>Инженерно-геологические изыскания</t>
  </si>
  <si>
    <t>на инженерно-геофизические изыскания</t>
  </si>
  <si>
    <t>Инженерно-геофизические изыскания</t>
  </si>
  <si>
    <t>Инженерно-экологические изыскания</t>
  </si>
  <si>
    <t>на инженерно-экологические изыскания</t>
  </si>
  <si>
    <t>на инженерно-гидрометеорологические изыскания</t>
  </si>
  <si>
    <t>Инженерно-гидрометеорологические изыскания</t>
  </si>
  <si>
    <t>ГКУ РД "Дирекция единого госзаказчика-застройщика"</t>
  </si>
  <si>
    <r>
      <t xml:space="preserve">Наименование объекта изысканий:  </t>
    </r>
    <r>
      <rPr>
        <b/>
        <i/>
        <u/>
        <sz val="12"/>
        <rFont val="Times New Roman"/>
        <family val="1"/>
        <charset val="204"/>
      </rPr>
      <t xml:space="preserve">Строительство пристройки на 500 ученических мест к зданию школы №39 в г. Махачкала   </t>
    </r>
  </si>
  <si>
    <r>
      <t xml:space="preserve">Наименование строительства: </t>
    </r>
    <r>
      <rPr>
        <b/>
        <i/>
        <u/>
        <sz val="12"/>
        <rFont val="Times New Roman"/>
        <family val="1"/>
        <charset val="204"/>
      </rPr>
      <t xml:space="preserve">Строительство пристройки на 500 ученических мест к зданию школы №39 в г. Махачкала   </t>
    </r>
  </si>
  <si>
    <t xml:space="preserve">Строительство пристройки на 500 ученических мест к зданию школы №39 в г. Махачкала  </t>
  </si>
  <si>
    <r>
      <t>Общеобразовательные школы, лицеи, гимназии, специализированные школы
где X</t>
    </r>
    <r>
      <rPr>
        <vertAlign val="subscript"/>
        <sz val="11"/>
        <rFont val="Times New Roman"/>
        <family val="1"/>
        <charset val="204"/>
      </rPr>
      <t xml:space="preserve">зад </t>
    </r>
    <r>
      <rPr>
        <sz val="11"/>
        <rFont val="Times New Roman"/>
        <family val="1"/>
        <charset val="204"/>
      </rPr>
      <t xml:space="preserve">- 500 мест*16 м2 = 8000 м2 - </t>
    </r>
    <r>
      <rPr>
        <i/>
        <sz val="10"/>
        <rFont val="Times New Roman"/>
        <family val="1"/>
        <charset val="204"/>
      </rPr>
      <t>значение показателя</t>
    </r>
  </si>
  <si>
    <t xml:space="preserve">  х 6 х 1,2</t>
  </si>
  <si>
    <r>
      <t>C</t>
    </r>
    <r>
      <rPr>
        <vertAlign val="subscript"/>
        <sz val="9"/>
        <rFont val="Times New Roman"/>
        <family val="1"/>
        <charset val="204"/>
      </rPr>
      <t>ПР</t>
    </r>
    <r>
      <rPr>
        <sz val="9"/>
        <rFont val="Times New Roman"/>
        <family val="1"/>
        <charset val="204"/>
      </rPr>
      <t>=(452,02+0,15 * 8000) * 0,4 * 1,3 
C</t>
    </r>
    <r>
      <rPr>
        <vertAlign val="subscript"/>
        <sz val="9"/>
        <rFont val="Times New Roman"/>
        <family val="1"/>
        <charset val="204"/>
      </rPr>
      <t>РД</t>
    </r>
    <r>
      <rPr>
        <sz val="9"/>
        <rFont val="Times New Roman"/>
        <family val="1"/>
        <charset val="204"/>
      </rPr>
      <t xml:space="preserve">=(452,02+0,15* 8000) * 0,6 * 1,3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</si>
</sst>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_-* #,##0\ _₽_-;\-* #,##0\ _₽_-;_-* &quot;-&quot;??\ _₽_-;_-@_-"/>
    <numFmt numFmtId="166" formatCode="#,##0.000"/>
  </numFmts>
  <fonts count="4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ahoma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vertAlign val="subscript"/>
      <sz val="11"/>
      <name val="Times New Roman"/>
      <family val="1"/>
      <charset val="204"/>
    </font>
    <font>
      <vertAlign val="subscript"/>
      <sz val="9"/>
      <name val="Times New Roman"/>
      <family val="1"/>
      <charset val="204"/>
    </font>
    <font>
      <sz val="10"/>
      <name val="Arial Cyr"/>
      <charset val="204"/>
    </font>
    <font>
      <i/>
      <sz val="7"/>
      <name val="Times New Roman"/>
      <family val="1"/>
      <charset val="204"/>
    </font>
    <font>
      <sz val="12"/>
      <name val="Tahoma"/>
      <family val="2"/>
      <charset val="204"/>
    </font>
    <font>
      <b/>
      <vertAlign val="subscript"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Arial"/>
      <family val="2"/>
      <charset val="204"/>
    </font>
    <font>
      <sz val="6"/>
      <name val="Arial"/>
      <family val="2"/>
      <charset val="204"/>
    </font>
    <font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u/>
      <sz val="10"/>
      <name val="Arial"/>
      <family val="2"/>
      <charset val="204"/>
    </font>
    <font>
      <sz val="8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C8FFC8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1">
    <xf numFmtId="0" fontId="0" fillId="0" borderId="0"/>
    <xf numFmtId="164" fontId="3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4" fontId="1" fillId="0" borderId="0" applyFont="0" applyFill="0" applyBorder="0" applyAlignment="0" applyProtection="0"/>
    <xf numFmtId="0" fontId="41" fillId="0" borderId="0"/>
  </cellStyleXfs>
  <cellXfs count="212">
    <xf numFmtId="0" fontId="0" fillId="0" borderId="0" xfId="0"/>
    <xf numFmtId="0" fontId="22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33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 wrapText="1"/>
    </xf>
    <xf numFmtId="0" fontId="30" fillId="0" borderId="10" xfId="0" applyFont="1" applyBorder="1" applyAlignment="1">
      <alignment vertical="center" wrapText="1"/>
    </xf>
    <xf numFmtId="0" fontId="28" fillId="0" borderId="11" xfId="0" applyFont="1" applyBorder="1" applyAlignment="1">
      <alignment vertical="center" wrapText="1"/>
    </xf>
    <xf numFmtId="0" fontId="28" fillId="0" borderId="12" xfId="0" applyFont="1" applyBorder="1" applyAlignment="1">
      <alignment vertical="center" wrapText="1"/>
    </xf>
    <xf numFmtId="0" fontId="30" fillId="0" borderId="12" xfId="0" applyFont="1" applyBorder="1" applyAlignment="1">
      <alignment vertical="center" wrapText="1"/>
    </xf>
    <xf numFmtId="0" fontId="21" fillId="34" borderId="10" xfId="0" applyFont="1" applyFill="1" applyBorder="1" applyAlignment="1">
      <alignment horizontal="center" vertical="center"/>
    </xf>
    <xf numFmtId="1" fontId="22" fillId="0" borderId="0" xfId="0" applyNumberFormat="1" applyFont="1" applyAlignment="1">
      <alignment vertical="center"/>
    </xf>
    <xf numFmtId="164" fontId="26" fillId="33" borderId="10" xfId="1" applyFont="1" applyFill="1" applyBorder="1" applyAlignment="1">
      <alignment horizontal="center" vertical="center" wrapText="1"/>
    </xf>
    <xf numFmtId="164" fontId="23" fillId="0" borderId="0" xfId="44" applyFont="1" applyAlignment="1">
      <alignment horizontal="right" vertical="center"/>
    </xf>
    <xf numFmtId="164" fontId="22" fillId="0" borderId="0" xfId="44" applyFont="1" applyAlignment="1">
      <alignment vertical="center"/>
    </xf>
    <xf numFmtId="164" fontId="26" fillId="33" borderId="10" xfId="44" applyFont="1" applyFill="1" applyBorder="1" applyAlignment="1">
      <alignment horizontal="center" vertical="center" wrapText="1"/>
    </xf>
    <xf numFmtId="165" fontId="26" fillId="0" borderId="10" xfId="44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164" fontId="26" fillId="0" borderId="0" xfId="44" applyFont="1" applyAlignment="1">
      <alignment horizontal="right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 applyAlignment="1">
      <alignment vertical="center" wrapText="1"/>
    </xf>
    <xf numFmtId="164" fontId="22" fillId="0" borderId="10" xfId="44" applyFont="1" applyBorder="1" applyAlignment="1">
      <alignment horizontal="center" vertical="center" shrinkToFit="1"/>
    </xf>
    <xf numFmtId="0" fontId="26" fillId="34" borderId="10" xfId="0" applyFont="1" applyFill="1" applyBorder="1" applyAlignment="1">
      <alignment horizontal="center" vertical="center"/>
    </xf>
    <xf numFmtId="0" fontId="26" fillId="34" borderId="10" xfId="0" applyFont="1" applyFill="1" applyBorder="1" applyAlignment="1">
      <alignment vertical="center"/>
    </xf>
    <xf numFmtId="164" fontId="26" fillId="34" borderId="10" xfId="44" applyFont="1" applyFill="1" applyBorder="1" applyAlignment="1">
      <alignment vertical="center"/>
    </xf>
    <xf numFmtId="164" fontId="22" fillId="0" borderId="0" xfId="0" applyNumberFormat="1" applyFont="1" applyAlignment="1">
      <alignment vertical="center"/>
    </xf>
    <xf numFmtId="0" fontId="29" fillId="34" borderId="10" xfId="0" applyFont="1" applyFill="1" applyBorder="1" applyAlignment="1">
      <alignment vertical="center"/>
    </xf>
    <xf numFmtId="164" fontId="29" fillId="34" borderId="10" xfId="44" applyFont="1" applyFill="1" applyBorder="1" applyAlignment="1">
      <alignment vertical="center"/>
    </xf>
    <xf numFmtId="0" fontId="26" fillId="0" borderId="10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vertical="center"/>
    </xf>
    <xf numFmtId="164" fontId="26" fillId="0" borderId="10" xfId="44" applyFont="1" applyFill="1" applyBorder="1" applyAlignment="1">
      <alignment vertical="center"/>
    </xf>
    <xf numFmtId="164" fontId="22" fillId="0" borderId="10" xfId="44" applyFont="1" applyFill="1" applyBorder="1" applyAlignment="1">
      <alignment vertical="center"/>
    </xf>
    <xf numFmtId="164" fontId="26" fillId="33" borderId="10" xfId="44" applyFont="1" applyFill="1" applyBorder="1" applyAlignment="1">
      <alignment vertical="center"/>
    </xf>
    <xf numFmtId="0" fontId="29" fillId="33" borderId="10" xfId="0" applyFont="1" applyFill="1" applyBorder="1" applyAlignment="1">
      <alignment vertical="center"/>
    </xf>
    <xf numFmtId="164" fontId="29" fillId="33" borderId="10" xfId="44" applyFont="1" applyFill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7" fillId="0" borderId="17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164" fontId="38" fillId="0" borderId="0" xfId="1" applyFont="1" applyAlignment="1">
      <alignment horizontal="right" vertical="center"/>
    </xf>
    <xf numFmtId="164" fontId="24" fillId="0" borderId="0" xfId="1" applyFont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33" fillId="0" borderId="11" xfId="0" applyFont="1" applyBorder="1" applyAlignment="1">
      <alignment vertical="center" wrapText="1"/>
    </xf>
    <xf numFmtId="0" fontId="24" fillId="0" borderId="11" xfId="0" applyFont="1" applyBorder="1" applyAlignment="1">
      <alignment vertical="center" wrapText="1"/>
    </xf>
    <xf numFmtId="0" fontId="24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21" fillId="0" borderId="13" xfId="0" applyFont="1" applyBorder="1" applyAlignment="1">
      <alignment horizontal="center" vertical="center" wrapText="1"/>
    </xf>
    <xf numFmtId="0" fontId="32" fillId="0" borderId="13" xfId="0" applyFont="1" applyBorder="1" applyAlignment="1">
      <alignment vertical="center" wrapText="1"/>
    </xf>
    <xf numFmtId="0" fontId="40" fillId="0" borderId="13" xfId="0" applyFont="1" applyBorder="1" applyAlignment="1">
      <alignment vertical="center" wrapText="1"/>
    </xf>
    <xf numFmtId="0" fontId="32" fillId="0" borderId="13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0" fillId="0" borderId="17" xfId="0" applyFont="1" applyBorder="1" applyAlignment="1">
      <alignment vertical="center"/>
    </xf>
    <xf numFmtId="0" fontId="24" fillId="0" borderId="0" xfId="0" applyFont="1" applyAlignment="1">
      <alignment horizontal="center" wrapText="1"/>
    </xf>
    <xf numFmtId="0" fontId="24" fillId="0" borderId="17" xfId="0" applyFont="1" applyBorder="1" applyAlignment="1">
      <alignment wrapText="1"/>
    </xf>
    <xf numFmtId="164" fontId="22" fillId="0" borderId="10" xfId="44" applyFont="1" applyFill="1" applyBorder="1" applyAlignment="1">
      <alignment horizontal="center" vertical="center"/>
    </xf>
    <xf numFmtId="164" fontId="26" fillId="34" borderId="10" xfId="44" applyFont="1" applyFill="1" applyBorder="1" applyAlignment="1">
      <alignment horizontal="center" vertical="center"/>
    </xf>
    <xf numFmtId="164" fontId="29" fillId="34" borderId="10" xfId="44" applyFont="1" applyFill="1" applyBorder="1" applyAlignment="1">
      <alignment horizontal="center" vertical="center"/>
    </xf>
    <xf numFmtId="164" fontId="26" fillId="0" borderId="10" xfId="44" applyFont="1" applyFill="1" applyBorder="1" applyAlignment="1">
      <alignment horizontal="center" vertical="center"/>
    </xf>
    <xf numFmtId="164" fontId="26" fillId="33" borderId="10" xfId="44" applyFont="1" applyFill="1" applyBorder="1" applyAlignment="1">
      <alignment horizontal="center" vertical="center"/>
    </xf>
    <xf numFmtId="0" fontId="28" fillId="0" borderId="18" xfId="0" applyFont="1" applyBorder="1" applyAlignment="1">
      <alignment vertical="center" wrapText="1"/>
    </xf>
    <xf numFmtId="0" fontId="28" fillId="0" borderId="19" xfId="0" applyFont="1" applyBorder="1" applyAlignment="1">
      <alignment vertical="center" wrapText="1"/>
    </xf>
    <xf numFmtId="164" fontId="24" fillId="0" borderId="11" xfId="1" applyNumberFormat="1" applyFont="1" applyBorder="1" applyAlignment="1">
      <alignment horizontal="center" vertical="center" shrinkToFit="1"/>
    </xf>
    <xf numFmtId="164" fontId="24" fillId="0" borderId="12" xfId="1" applyNumberFormat="1" applyFont="1" applyBorder="1" applyAlignment="1">
      <alignment horizontal="center" vertical="center" shrinkToFit="1"/>
    </xf>
    <xf numFmtId="164" fontId="24" fillId="0" borderId="10" xfId="1" applyNumberFormat="1" applyFont="1" applyFill="1" applyBorder="1" applyAlignment="1">
      <alignment horizontal="center" vertical="center" shrinkToFit="1"/>
    </xf>
    <xf numFmtId="164" fontId="21" fillId="0" borderId="13" xfId="1" applyNumberFormat="1" applyFont="1" applyBorder="1" applyAlignment="1">
      <alignment horizontal="center" vertical="center" shrinkToFit="1"/>
    </xf>
    <xf numFmtId="164" fontId="21" fillId="33" borderId="10" xfId="1" applyNumberFormat="1" applyFont="1" applyFill="1" applyBorder="1" applyAlignment="1">
      <alignment horizontal="center" vertical="center" shrinkToFit="1"/>
    </xf>
    <xf numFmtId="0" fontId="29" fillId="0" borderId="10" xfId="0" applyFont="1" applyBorder="1" applyAlignment="1">
      <alignment horizontal="center" vertical="center" wrapText="1"/>
    </xf>
    <xf numFmtId="0" fontId="29" fillId="34" borderId="10" xfId="0" applyFont="1" applyFill="1" applyBorder="1" applyAlignment="1">
      <alignment horizontal="center" vertical="center"/>
    </xf>
    <xf numFmtId="0" fontId="26" fillId="34" borderId="10" xfId="0" applyFont="1" applyFill="1" applyBorder="1" applyAlignment="1">
      <alignment horizontal="center" vertical="center"/>
    </xf>
    <xf numFmtId="164" fontId="22" fillId="0" borderId="10" xfId="44" applyFont="1" applyBorder="1" applyAlignment="1">
      <alignment vertical="center" wrapText="1"/>
    </xf>
    <xf numFmtId="164" fontId="37" fillId="0" borderId="10" xfId="44" applyFont="1" applyFill="1" applyBorder="1" applyAlignment="1">
      <alignment horizontal="center" vertical="center" wrapText="1"/>
    </xf>
    <xf numFmtId="2" fontId="22" fillId="0" borderId="0" xfId="0" applyNumberFormat="1" applyFont="1" applyAlignment="1">
      <alignment vertical="center"/>
    </xf>
    <xf numFmtId="0" fontId="28" fillId="0" borderId="10" xfId="0" applyFont="1" applyBorder="1" applyAlignment="1">
      <alignment vertical="center" wrapText="1"/>
    </xf>
    <xf numFmtId="164" fontId="20" fillId="0" borderId="10" xfId="1" applyNumberFormat="1" applyFont="1" applyBorder="1" applyAlignment="1">
      <alignment horizontal="center" vertical="center" shrinkToFit="1"/>
    </xf>
    <xf numFmtId="0" fontId="41" fillId="0" borderId="0" xfId="60"/>
    <xf numFmtId="0" fontId="41" fillId="0" borderId="0" xfId="60" applyAlignment="1">
      <alignment horizontal="right"/>
    </xf>
    <xf numFmtId="0" fontId="44" fillId="0" borderId="0" xfId="60" applyFont="1" applyAlignment="1">
      <alignment horizontal="right" vertical="top"/>
    </xf>
    <xf numFmtId="0" fontId="22" fillId="0" borderId="0" xfId="60" applyFont="1" applyAlignment="1">
      <alignment horizontal="right"/>
    </xf>
    <xf numFmtId="0" fontId="41" fillId="0" borderId="0" xfId="60" applyAlignment="1">
      <alignment vertical="top"/>
    </xf>
    <xf numFmtId="0" fontId="41" fillId="0" borderId="0" xfId="60" applyAlignment="1">
      <alignment vertical="top" wrapText="1"/>
    </xf>
    <xf numFmtId="0" fontId="46" fillId="0" borderId="0" xfId="60" applyFont="1" applyAlignment="1">
      <alignment vertical="top"/>
    </xf>
    <xf numFmtId="0" fontId="41" fillId="0" borderId="0" xfId="60" applyAlignment="1">
      <alignment wrapText="1"/>
    </xf>
    <xf numFmtId="0" fontId="41" fillId="0" borderId="20" xfId="60" applyBorder="1" applyAlignment="1">
      <alignment horizontal="center" vertical="top" wrapText="1"/>
    </xf>
    <xf numFmtId="49" fontId="41" fillId="0" borderId="20" xfId="60" applyNumberFormat="1" applyBorder="1" applyAlignment="1">
      <alignment horizontal="center" wrapText="1"/>
    </xf>
    <xf numFmtId="0" fontId="41" fillId="0" borderId="20" xfId="60" applyBorder="1" applyAlignment="1">
      <alignment horizontal="center" wrapText="1"/>
    </xf>
    <xf numFmtId="49" fontId="45" fillId="0" borderId="21" xfId="60" applyNumberFormat="1" applyFont="1" applyBorder="1" applyAlignment="1">
      <alignment horizontal="right" vertical="top" wrapText="1"/>
    </xf>
    <xf numFmtId="0" fontId="45" fillId="0" borderId="21" xfId="60" applyFont="1" applyBorder="1" applyAlignment="1">
      <alignment horizontal="left" vertical="top" wrapText="1"/>
    </xf>
    <xf numFmtId="0" fontId="45" fillId="0" borderId="21" xfId="60" applyFont="1" applyBorder="1" applyAlignment="1">
      <alignment horizontal="right" vertical="top" wrapText="1"/>
    </xf>
    <xf numFmtId="49" fontId="45" fillId="0" borderId="22" xfId="60" applyNumberFormat="1" applyFont="1" applyBorder="1" applyAlignment="1">
      <alignment horizontal="right" vertical="top" wrapText="1"/>
    </xf>
    <xf numFmtId="0" fontId="45" fillId="0" borderId="22" xfId="60" applyFont="1" applyBorder="1" applyAlignment="1">
      <alignment horizontal="left" vertical="top" wrapText="1"/>
    </xf>
    <xf numFmtId="0" fontId="41" fillId="0" borderId="22" xfId="60" applyBorder="1" applyAlignment="1">
      <alignment horizontal="left" vertical="top" wrapText="1"/>
    </xf>
    <xf numFmtId="166" fontId="41" fillId="0" borderId="22" xfId="60" applyNumberFormat="1" applyBorder="1" applyAlignment="1">
      <alignment horizontal="right" vertical="top" wrapText="1"/>
    </xf>
    <xf numFmtId="49" fontId="45" fillId="0" borderId="23" xfId="60" applyNumberFormat="1" applyFont="1" applyBorder="1" applyAlignment="1">
      <alignment horizontal="right" vertical="top" wrapText="1"/>
    </xf>
    <xf numFmtId="0" fontId="45" fillId="0" borderId="23" xfId="60" applyFont="1" applyBorder="1" applyAlignment="1">
      <alignment horizontal="left" vertical="top" wrapText="1"/>
    </xf>
    <xf numFmtId="0" fontId="45" fillId="0" borderId="23" xfId="60" applyFont="1" applyBorder="1" applyAlignment="1">
      <alignment horizontal="right" vertical="top" wrapText="1"/>
    </xf>
    <xf numFmtId="49" fontId="45" fillId="0" borderId="24" xfId="60" applyNumberFormat="1" applyFont="1" applyBorder="1" applyAlignment="1">
      <alignment horizontal="right" vertical="top" wrapText="1"/>
    </xf>
    <xf numFmtId="0" fontId="41" fillId="0" borderId="24" xfId="60" applyBorder="1" applyAlignment="1">
      <alignment horizontal="left" vertical="top" wrapText="1"/>
    </xf>
    <xf numFmtId="0" fontId="41" fillId="0" borderId="24" xfId="60" applyBorder="1" applyAlignment="1">
      <alignment horizontal="right" vertical="top" wrapText="1"/>
    </xf>
    <xf numFmtId="0" fontId="45" fillId="0" borderId="24" xfId="60" applyFont="1" applyBorder="1" applyAlignment="1">
      <alignment horizontal="left" vertical="top" wrapText="1"/>
    </xf>
    <xf numFmtId="0" fontId="45" fillId="0" borderId="24" xfId="60" applyFont="1" applyBorder="1" applyAlignment="1">
      <alignment horizontal="right" vertical="top" wrapText="1"/>
    </xf>
    <xf numFmtId="49" fontId="45" fillId="0" borderId="13" xfId="60" applyNumberFormat="1" applyFont="1" applyBorder="1" applyAlignment="1">
      <alignment horizontal="right" vertical="top" wrapText="1"/>
    </xf>
    <xf numFmtId="0" fontId="41" fillId="0" borderId="13" xfId="60" applyBorder="1" applyAlignment="1">
      <alignment horizontal="left" vertical="top" wrapText="1"/>
    </xf>
    <xf numFmtId="9" fontId="41" fillId="0" borderId="13" xfId="60" applyNumberFormat="1" applyBorder="1" applyAlignment="1">
      <alignment horizontal="left" vertical="top" wrapText="1"/>
    </xf>
    <xf numFmtId="0" fontId="41" fillId="0" borderId="13" xfId="60" applyBorder="1" applyAlignment="1">
      <alignment horizontal="right" vertical="top" wrapText="1"/>
    </xf>
    <xf numFmtId="49" fontId="45" fillId="0" borderId="12" xfId="60" applyNumberFormat="1" applyFont="1" applyBorder="1" applyAlignment="1">
      <alignment horizontal="right" vertical="top" wrapText="1"/>
    </xf>
    <xf numFmtId="0" fontId="45" fillId="0" borderId="12" xfId="60" applyFont="1" applyBorder="1" applyAlignment="1">
      <alignment horizontal="left" vertical="top" wrapText="1"/>
    </xf>
    <xf numFmtId="0" fontId="41" fillId="0" borderId="12" xfId="60" applyBorder="1" applyAlignment="1">
      <alignment horizontal="left" vertical="top" wrapText="1"/>
    </xf>
    <xf numFmtId="166" fontId="41" fillId="0" borderId="12" xfId="60" applyNumberFormat="1" applyBorder="1" applyAlignment="1">
      <alignment horizontal="right" vertical="top" wrapText="1"/>
    </xf>
    <xf numFmtId="0" fontId="45" fillId="0" borderId="13" xfId="60" applyFont="1" applyBorder="1" applyAlignment="1">
      <alignment horizontal="left" vertical="top" wrapText="1"/>
    </xf>
    <xf numFmtId="166" fontId="45" fillId="0" borderId="13" xfId="60" applyNumberFormat="1" applyFont="1" applyBorder="1" applyAlignment="1">
      <alignment horizontal="right" vertical="top" wrapText="1"/>
    </xf>
    <xf numFmtId="166" fontId="45" fillId="0" borderId="21" xfId="60" applyNumberFormat="1" applyFont="1" applyBorder="1" applyAlignment="1">
      <alignment horizontal="right" vertical="top" wrapText="1"/>
    </xf>
    <xf numFmtId="49" fontId="45" fillId="0" borderId="25" xfId="60" applyNumberFormat="1" applyFont="1" applyBorder="1" applyAlignment="1">
      <alignment horizontal="right" vertical="top" wrapText="1"/>
    </xf>
    <xf numFmtId="0" fontId="41" fillId="0" borderId="25" xfId="60" applyBorder="1" applyAlignment="1">
      <alignment horizontal="left" vertical="top" wrapText="1"/>
    </xf>
    <xf numFmtId="0" fontId="41" fillId="0" borderId="25" xfId="60" applyBorder="1" applyAlignment="1">
      <alignment horizontal="right" vertical="top" wrapText="1"/>
    </xf>
    <xf numFmtId="0" fontId="45" fillId="0" borderId="25" xfId="60" applyFont="1" applyBorder="1" applyAlignment="1">
      <alignment horizontal="left" vertical="top" wrapText="1"/>
    </xf>
    <xf numFmtId="0" fontId="45" fillId="0" borderId="25" xfId="60" applyFont="1" applyBorder="1" applyAlignment="1">
      <alignment horizontal="right" vertical="top" wrapText="1"/>
    </xf>
    <xf numFmtId="49" fontId="45" fillId="0" borderId="26" xfId="60" applyNumberFormat="1" applyFont="1" applyBorder="1" applyAlignment="1">
      <alignment horizontal="right" vertical="top" wrapText="1"/>
    </xf>
    <xf numFmtId="0" fontId="41" fillId="0" borderId="26" xfId="60" applyBorder="1" applyAlignment="1">
      <alignment horizontal="left" vertical="top" wrapText="1"/>
    </xf>
    <xf numFmtId="9" fontId="41" fillId="0" borderId="26" xfId="60" applyNumberFormat="1" applyBorder="1" applyAlignment="1">
      <alignment horizontal="left" vertical="top" wrapText="1"/>
    </xf>
    <xf numFmtId="0" fontId="41" fillId="0" borderId="26" xfId="60" applyBorder="1" applyAlignment="1">
      <alignment horizontal="right" vertical="top" wrapText="1"/>
    </xf>
    <xf numFmtId="0" fontId="45" fillId="0" borderId="26" xfId="60" applyFont="1" applyBorder="1" applyAlignment="1">
      <alignment horizontal="left" vertical="top" wrapText="1"/>
    </xf>
    <xf numFmtId="166" fontId="45" fillId="0" borderId="26" xfId="60" applyNumberFormat="1" applyFont="1" applyBorder="1" applyAlignment="1">
      <alignment horizontal="right" vertical="top" wrapText="1"/>
    </xf>
    <xf numFmtId="0" fontId="41" fillId="0" borderId="21" xfId="60" applyBorder="1" applyAlignment="1">
      <alignment horizontal="left" vertical="top" wrapText="1"/>
    </xf>
    <xf numFmtId="166" fontId="41" fillId="0" borderId="21" xfId="60" applyNumberFormat="1" applyBorder="1" applyAlignment="1">
      <alignment horizontal="right" vertical="top" wrapText="1"/>
    </xf>
    <xf numFmtId="49" fontId="45" fillId="0" borderId="33" xfId="60" applyNumberFormat="1" applyFont="1" applyBorder="1" applyAlignment="1">
      <alignment horizontal="right" vertical="top" wrapText="1"/>
    </xf>
    <xf numFmtId="0" fontId="41" fillId="0" borderId="33" xfId="60" applyBorder="1" applyAlignment="1">
      <alignment horizontal="left" vertical="top" wrapText="1"/>
    </xf>
    <xf numFmtId="166" fontId="41" fillId="0" borderId="33" xfId="60" applyNumberFormat="1" applyBorder="1" applyAlignment="1">
      <alignment horizontal="right" vertical="top" wrapText="1"/>
    </xf>
    <xf numFmtId="49" fontId="45" fillId="0" borderId="46" xfId="60" applyNumberFormat="1" applyFont="1" applyBorder="1" applyAlignment="1">
      <alignment horizontal="right" vertical="top" wrapText="1"/>
    </xf>
    <xf numFmtId="0" fontId="45" fillId="0" borderId="46" xfId="60" applyFont="1" applyBorder="1" applyAlignment="1">
      <alignment horizontal="left" vertical="top" wrapText="1"/>
    </xf>
    <xf numFmtId="166" fontId="45" fillId="0" borderId="46" xfId="60" applyNumberFormat="1" applyFont="1" applyBorder="1" applyAlignment="1">
      <alignment horizontal="right" vertical="top" wrapText="1"/>
    </xf>
    <xf numFmtId="0" fontId="45" fillId="0" borderId="46" xfId="60" applyFont="1" applyBorder="1" applyAlignment="1">
      <alignment horizontal="right" vertical="top" wrapText="1"/>
    </xf>
    <xf numFmtId="0" fontId="41" fillId="0" borderId="46" xfId="60" applyBorder="1" applyAlignment="1">
      <alignment horizontal="left" vertical="top" wrapText="1"/>
    </xf>
    <xf numFmtId="166" fontId="41" fillId="0" borderId="46" xfId="60" applyNumberFormat="1" applyBorder="1" applyAlignment="1">
      <alignment horizontal="right" vertical="top" wrapText="1"/>
    </xf>
    <xf numFmtId="4" fontId="41" fillId="0" borderId="33" xfId="60" applyNumberFormat="1" applyBorder="1" applyAlignment="1">
      <alignment horizontal="right" vertical="top" wrapText="1"/>
    </xf>
    <xf numFmtId="4" fontId="45" fillId="0" borderId="46" xfId="60" applyNumberFormat="1" applyFont="1" applyBorder="1" applyAlignment="1">
      <alignment horizontal="right" vertical="top" wrapText="1"/>
    </xf>
    <xf numFmtId="4" fontId="41" fillId="0" borderId="46" xfId="60" applyNumberFormat="1" applyBorder="1" applyAlignment="1">
      <alignment horizontal="right" vertical="top" wrapText="1"/>
    </xf>
    <xf numFmtId="0" fontId="26" fillId="34" borderId="10" xfId="0" applyFont="1" applyFill="1" applyBorder="1" applyAlignment="1">
      <alignment horizontal="center" vertical="center"/>
    </xf>
    <xf numFmtId="0" fontId="26" fillId="33" borderId="10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2" fillId="34" borderId="14" xfId="0" applyFont="1" applyFill="1" applyBorder="1" applyAlignment="1">
      <alignment horizontal="left" vertical="center"/>
    </xf>
    <xf numFmtId="0" fontId="32" fillId="34" borderId="16" xfId="0" applyFont="1" applyFill="1" applyBorder="1" applyAlignment="1">
      <alignment horizontal="left" vertical="center"/>
    </xf>
    <xf numFmtId="0" fontId="32" fillId="34" borderId="15" xfId="0" applyFont="1" applyFill="1" applyBorder="1" applyAlignment="1">
      <alignment horizontal="left" vertical="center"/>
    </xf>
    <xf numFmtId="0" fontId="24" fillId="0" borderId="14" xfId="0" applyFont="1" applyFill="1" applyBorder="1" applyAlignment="1">
      <alignment horizontal="left" vertical="center"/>
    </xf>
    <xf numFmtId="0" fontId="24" fillId="0" borderId="16" xfId="0" applyFont="1" applyFill="1" applyBorder="1" applyAlignment="1">
      <alignment horizontal="left" vertical="center"/>
    </xf>
    <xf numFmtId="0" fontId="24" fillId="0" borderId="15" xfId="0" applyFont="1" applyFill="1" applyBorder="1" applyAlignment="1">
      <alignment horizontal="left" vertical="center"/>
    </xf>
    <xf numFmtId="0" fontId="21" fillId="33" borderId="14" xfId="0" applyFont="1" applyFill="1" applyBorder="1" applyAlignment="1">
      <alignment horizontal="left" vertical="center"/>
    </xf>
    <xf numFmtId="0" fontId="21" fillId="33" borderId="16" xfId="0" applyFont="1" applyFill="1" applyBorder="1" applyAlignment="1">
      <alignment horizontal="left" vertical="center"/>
    </xf>
    <xf numFmtId="0" fontId="21" fillId="33" borderId="15" xfId="0" applyFont="1" applyFill="1" applyBorder="1" applyAlignment="1">
      <alignment horizontal="left" vertical="center"/>
    </xf>
    <xf numFmtId="0" fontId="30" fillId="0" borderId="1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top" wrapText="1"/>
    </xf>
    <xf numFmtId="0" fontId="41" fillId="0" borderId="0" xfId="60" applyAlignment="1">
      <alignment horizontal="left" vertical="top" wrapText="1"/>
    </xf>
    <xf numFmtId="0" fontId="46" fillId="0" borderId="0" xfId="60" applyFont="1" applyFill="1" applyAlignment="1">
      <alignment horizontal="left" vertical="top" wrapText="1"/>
    </xf>
    <xf numFmtId="0" fontId="42" fillId="0" borderId="0" xfId="60" applyFont="1" applyAlignment="1">
      <alignment vertical="top" wrapText="1"/>
    </xf>
    <xf numFmtId="0" fontId="43" fillId="0" borderId="0" xfId="60" applyFont="1" applyAlignment="1">
      <alignment horizontal="right" vertical="top" wrapText="1"/>
    </xf>
    <xf numFmtId="0" fontId="45" fillId="0" borderId="0" xfId="60" applyFont="1" applyAlignment="1">
      <alignment horizontal="center" vertical="top" wrapText="1"/>
    </xf>
    <xf numFmtId="0" fontId="23" fillId="0" borderId="0" xfId="60" applyFont="1" applyAlignment="1">
      <alignment horizontal="center" vertical="center"/>
    </xf>
    <xf numFmtId="0" fontId="46" fillId="0" borderId="0" xfId="60" applyFont="1" applyAlignment="1">
      <alignment horizontal="left" vertical="top" wrapText="1"/>
    </xf>
    <xf numFmtId="0" fontId="45" fillId="0" borderId="47" xfId="60" applyFont="1" applyBorder="1" applyAlignment="1">
      <alignment horizontal="left" vertical="top" wrapText="1"/>
    </xf>
    <xf numFmtId="0" fontId="45" fillId="0" borderId="48" xfId="60" applyFont="1" applyBorder="1" applyAlignment="1">
      <alignment horizontal="left" vertical="top" wrapText="1"/>
    </xf>
    <xf numFmtId="0" fontId="45" fillId="0" borderId="49" xfId="60" applyFont="1" applyBorder="1" applyAlignment="1">
      <alignment horizontal="left" vertical="top" wrapText="1"/>
    </xf>
    <xf numFmtId="0" fontId="41" fillId="0" borderId="35" xfId="60" applyBorder="1" applyAlignment="1">
      <alignment wrapText="1"/>
    </xf>
    <xf numFmtId="0" fontId="41" fillId="0" borderId="47" xfId="60" applyBorder="1" applyAlignment="1">
      <alignment horizontal="left" vertical="top" wrapText="1"/>
    </xf>
    <xf numFmtId="0" fontId="41" fillId="0" borderId="48" xfId="60" applyBorder="1" applyAlignment="1">
      <alignment horizontal="left" vertical="top" wrapText="1"/>
    </xf>
    <xf numFmtId="0" fontId="41" fillId="0" borderId="49" xfId="60" applyBorder="1" applyAlignment="1">
      <alignment horizontal="left" vertical="top" wrapText="1"/>
    </xf>
    <xf numFmtId="0" fontId="41" fillId="0" borderId="40" xfId="60" applyBorder="1" applyAlignment="1">
      <alignment horizontal="left" vertical="top" wrapText="1"/>
    </xf>
    <xf numFmtId="0" fontId="41" fillId="0" borderId="41" xfId="60" applyBorder="1" applyAlignment="1">
      <alignment horizontal="left" vertical="top" wrapText="1"/>
    </xf>
    <xf numFmtId="0" fontId="41" fillId="0" borderId="42" xfId="60" applyBorder="1" applyAlignment="1">
      <alignment horizontal="left" vertical="top" wrapText="1"/>
    </xf>
    <xf numFmtId="0" fontId="41" fillId="0" borderId="43" xfId="60" applyBorder="1" applyAlignment="1">
      <alignment horizontal="left" vertical="top" wrapText="1"/>
    </xf>
    <xf numFmtId="0" fontId="41" fillId="0" borderId="44" xfId="60" applyBorder="1" applyAlignment="1">
      <alignment horizontal="left" vertical="top" wrapText="1"/>
    </xf>
    <xf numFmtId="0" fontId="41" fillId="0" borderId="45" xfId="60" applyBorder="1" applyAlignment="1">
      <alignment horizontal="left" vertical="top" wrapText="1"/>
    </xf>
    <xf numFmtId="0" fontId="45" fillId="0" borderId="34" xfId="60" applyFont="1" applyBorder="1" applyAlignment="1">
      <alignment horizontal="left" vertical="top" wrapText="1"/>
    </xf>
    <xf numFmtId="0" fontId="45" fillId="0" borderId="35" xfId="60" applyFont="1" applyBorder="1" applyAlignment="1">
      <alignment horizontal="left" vertical="top" wrapText="1"/>
    </xf>
    <xf numFmtId="0" fontId="45" fillId="0" borderId="36" xfId="60" applyFont="1" applyBorder="1" applyAlignment="1">
      <alignment horizontal="left" vertical="top" wrapText="1"/>
    </xf>
    <xf numFmtId="0" fontId="45" fillId="0" borderId="37" xfId="60" applyFont="1" applyBorder="1" applyAlignment="1">
      <alignment horizontal="left" vertical="top" wrapText="1"/>
    </xf>
    <xf numFmtId="0" fontId="45" fillId="0" borderId="38" xfId="60" applyFont="1" applyBorder="1" applyAlignment="1">
      <alignment horizontal="left" vertical="top" wrapText="1"/>
    </xf>
    <xf numFmtId="0" fontId="45" fillId="0" borderId="39" xfId="60" applyFont="1" applyBorder="1" applyAlignment="1">
      <alignment horizontal="left" vertical="top" wrapText="1"/>
    </xf>
    <xf numFmtId="0" fontId="45" fillId="0" borderId="40" xfId="60" applyFont="1" applyBorder="1" applyAlignment="1">
      <alignment horizontal="left" vertical="top" wrapText="1"/>
    </xf>
    <xf numFmtId="0" fontId="45" fillId="0" borderId="41" xfId="60" applyFont="1" applyBorder="1" applyAlignment="1">
      <alignment horizontal="left" vertical="top" wrapText="1"/>
    </xf>
    <xf numFmtId="0" fontId="45" fillId="0" borderId="42" xfId="60" applyFont="1" applyBorder="1" applyAlignment="1">
      <alignment horizontal="left" vertical="top" wrapText="1"/>
    </xf>
    <xf numFmtId="0" fontId="41" fillId="0" borderId="12" xfId="60" applyBorder="1" applyAlignment="1">
      <alignment horizontal="left" vertical="top" wrapText="1"/>
    </xf>
    <xf numFmtId="166" fontId="41" fillId="0" borderId="12" xfId="60" applyNumberFormat="1" applyBorder="1" applyAlignment="1">
      <alignment horizontal="right" vertical="top" wrapText="1"/>
    </xf>
    <xf numFmtId="49" fontId="45" fillId="0" borderId="12" xfId="60" applyNumberFormat="1" applyFont="1" applyBorder="1" applyAlignment="1">
      <alignment horizontal="right" vertical="top" wrapText="1"/>
    </xf>
    <xf numFmtId="0" fontId="45" fillId="0" borderId="18" xfId="60" applyFont="1" applyBorder="1" applyAlignment="1">
      <alignment horizontal="left" vertical="top" wrapText="1"/>
    </xf>
    <xf numFmtId="0" fontId="45" fillId="0" borderId="0" xfId="60" applyFont="1" applyAlignment="1">
      <alignment horizontal="left" vertical="top" wrapText="1"/>
    </xf>
    <xf numFmtId="0" fontId="45" fillId="0" borderId="19" xfId="60" applyFont="1" applyBorder="1" applyAlignment="1">
      <alignment horizontal="left" vertical="top" wrapText="1"/>
    </xf>
    <xf numFmtId="0" fontId="41" fillId="0" borderId="22" xfId="60" applyBorder="1" applyAlignment="1">
      <alignment horizontal="left" vertical="top" wrapText="1"/>
    </xf>
    <xf numFmtId="166" fontId="41" fillId="0" borderId="22" xfId="60" applyNumberFormat="1" applyBorder="1" applyAlignment="1">
      <alignment horizontal="right" vertical="top" wrapText="1"/>
    </xf>
    <xf numFmtId="49" fontId="45" fillId="0" borderId="22" xfId="60" applyNumberFormat="1" applyFont="1" applyBorder="1" applyAlignment="1">
      <alignment horizontal="right" vertical="top" wrapText="1"/>
    </xf>
    <xf numFmtId="0" fontId="41" fillId="0" borderId="27" xfId="60" applyBorder="1" applyAlignment="1">
      <alignment horizontal="center" wrapText="1"/>
    </xf>
    <xf numFmtId="0" fontId="41" fillId="0" borderId="28" xfId="60" applyBorder="1" applyAlignment="1">
      <alignment horizontal="center" wrapText="1"/>
    </xf>
    <xf numFmtId="0" fontId="41" fillId="0" borderId="29" xfId="60" applyBorder="1" applyAlignment="1">
      <alignment horizontal="center" wrapText="1"/>
    </xf>
    <xf numFmtId="0" fontId="45" fillId="0" borderId="30" xfId="60" applyFont="1" applyBorder="1" applyAlignment="1">
      <alignment horizontal="left" vertical="top" wrapText="1"/>
    </xf>
    <xf numFmtId="0" fontId="45" fillId="0" borderId="31" xfId="60" applyFont="1" applyBorder="1" applyAlignment="1">
      <alignment horizontal="left" vertical="top" wrapText="1"/>
    </xf>
    <xf numFmtId="0" fontId="45" fillId="0" borderId="32" xfId="60" applyFont="1" applyBorder="1" applyAlignment="1">
      <alignment horizontal="left" vertical="top" wrapText="1"/>
    </xf>
    <xf numFmtId="0" fontId="41" fillId="0" borderId="27" xfId="60" applyBorder="1" applyAlignment="1">
      <alignment horizontal="center" vertical="top" wrapText="1"/>
    </xf>
    <xf numFmtId="0" fontId="41" fillId="0" borderId="28" xfId="60" applyBorder="1" applyAlignment="1">
      <alignment horizontal="center" vertical="top" wrapText="1"/>
    </xf>
    <xf numFmtId="0" fontId="41" fillId="0" borderId="29" xfId="60" applyBorder="1" applyAlignment="1">
      <alignment horizontal="center" vertical="top" wrapText="1"/>
    </xf>
    <xf numFmtId="49" fontId="45" fillId="0" borderId="30" xfId="60" applyNumberFormat="1" applyFont="1" applyBorder="1" applyAlignment="1">
      <alignment horizontal="left" vertical="top" wrapText="1"/>
    </xf>
    <xf numFmtId="49" fontId="45" fillId="0" borderId="31" xfId="60" applyNumberFormat="1" applyFont="1" applyBorder="1" applyAlignment="1">
      <alignment horizontal="left" vertical="top" wrapText="1"/>
    </xf>
    <xf numFmtId="49" fontId="45" fillId="0" borderId="32" xfId="60" applyNumberFormat="1" applyFont="1" applyBorder="1" applyAlignment="1">
      <alignment horizontal="left" vertical="top" wrapText="1"/>
    </xf>
    <xf numFmtId="49" fontId="45" fillId="0" borderId="34" xfId="60" applyNumberFormat="1" applyFont="1" applyBorder="1" applyAlignment="1">
      <alignment horizontal="left" vertical="top" wrapText="1"/>
    </xf>
    <xf numFmtId="49" fontId="45" fillId="0" borderId="35" xfId="60" applyNumberFormat="1" applyFont="1" applyBorder="1" applyAlignment="1">
      <alignment horizontal="left" vertical="top" wrapText="1"/>
    </xf>
    <xf numFmtId="49" fontId="45" fillId="0" borderId="36" xfId="60" applyNumberFormat="1" applyFont="1" applyBorder="1" applyAlignment="1">
      <alignment horizontal="left" vertical="top" wrapText="1"/>
    </xf>
  </cellXfs>
  <cellStyles count="61">
    <cellStyle name="20% — акцент1" xfId="21" builtinId="30" customBuiltin="1"/>
    <cellStyle name="20% — акцент1 2" xfId="47" xr:uid="{00000000-0005-0000-0000-000001000000}"/>
    <cellStyle name="20% — акцент2" xfId="25" builtinId="34" customBuiltin="1"/>
    <cellStyle name="20% — акцент2 2" xfId="49" xr:uid="{00000000-0005-0000-0000-000003000000}"/>
    <cellStyle name="20% — акцент3" xfId="29" builtinId="38" customBuiltin="1"/>
    <cellStyle name="20% — акцент3 2" xfId="51" xr:uid="{00000000-0005-0000-0000-000005000000}"/>
    <cellStyle name="20% — акцент4" xfId="33" builtinId="42" customBuiltin="1"/>
    <cellStyle name="20% — акцент4 2" xfId="53" xr:uid="{00000000-0005-0000-0000-000007000000}"/>
    <cellStyle name="20% — акцент5" xfId="37" builtinId="46" customBuiltin="1"/>
    <cellStyle name="20% — акцент5 2" xfId="55" xr:uid="{00000000-0005-0000-0000-000009000000}"/>
    <cellStyle name="20% — акцент6" xfId="41" builtinId="50" customBuiltin="1"/>
    <cellStyle name="20% — акцент6 2" xfId="57" xr:uid="{00000000-0005-0000-0000-00000B000000}"/>
    <cellStyle name="40% — акцент1" xfId="22" builtinId="31" customBuiltin="1"/>
    <cellStyle name="40% — акцент1 2" xfId="48" xr:uid="{00000000-0005-0000-0000-00000D000000}"/>
    <cellStyle name="40% — акцент2" xfId="26" builtinId="35" customBuiltin="1"/>
    <cellStyle name="40% — акцент2 2" xfId="50" xr:uid="{00000000-0005-0000-0000-00000F000000}"/>
    <cellStyle name="40% — акцент3" xfId="30" builtinId="39" customBuiltin="1"/>
    <cellStyle name="40% — акцент3 2" xfId="52" xr:uid="{00000000-0005-0000-0000-000011000000}"/>
    <cellStyle name="40% — акцент4" xfId="34" builtinId="43" customBuiltin="1"/>
    <cellStyle name="40% — акцент4 2" xfId="54" xr:uid="{00000000-0005-0000-0000-000013000000}"/>
    <cellStyle name="40% — акцент5" xfId="38" builtinId="47" customBuiltin="1"/>
    <cellStyle name="40% — акцент5 2" xfId="56" xr:uid="{00000000-0005-0000-0000-000015000000}"/>
    <cellStyle name="40% — акцент6" xfId="42" builtinId="51" customBuiltin="1"/>
    <cellStyle name="40% — акцент6 2" xfId="58" xr:uid="{00000000-0005-0000-0000-000017000000}"/>
    <cellStyle name="60% — акцент1" xfId="23" builtinId="32" customBuiltin="1"/>
    <cellStyle name="60% — акцент2" xfId="27" builtinId="36" customBuiltin="1"/>
    <cellStyle name="60% — акцент3" xfId="31" builtinId="40" customBuiltin="1"/>
    <cellStyle name="60% — акцент4" xfId="35" builtinId="44" customBuiltin="1"/>
    <cellStyle name="60% — акцент5" xfId="39" builtinId="48" customBuiltin="1"/>
    <cellStyle name="60% — акцент6" xfId="43" builtinId="52" customBuiltin="1"/>
    <cellStyle name="Акцент1" xfId="20" builtinId="29" customBuiltin="1"/>
    <cellStyle name="Акцент2" xfId="24" builtinId="33" customBuiltin="1"/>
    <cellStyle name="Акцент3" xfId="28" builtinId="37" customBuiltin="1"/>
    <cellStyle name="Акцент4" xfId="32" builtinId="41" customBuiltin="1"/>
    <cellStyle name="Акцент5" xfId="36" builtinId="45" customBuiltin="1"/>
    <cellStyle name="Акцент6" xfId="40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9" builtinId="25" customBuiltin="1"/>
    <cellStyle name="Контрольная ячейка" xfId="15" builtinId="23" customBuiltin="1"/>
    <cellStyle name="Название" xfId="3" builtinId="15" customBuiltin="1"/>
    <cellStyle name="Нейтральный" xfId="10" builtinId="28" customBuiltin="1"/>
    <cellStyle name="Обычный" xfId="0" builtinId="0" customBuiltin="1"/>
    <cellStyle name="Обычный 2" xfId="60" xr:uid="{DA668A00-0DEE-4E1F-8C48-551649FCCBA9}"/>
    <cellStyle name="Плохой" xfId="9" builtinId="27" customBuiltin="1"/>
    <cellStyle name="Пояснение" xfId="18" builtinId="53" customBuiltin="1"/>
    <cellStyle name="Примечание" xfId="17" builtinId="10" customBuiltin="1"/>
    <cellStyle name="Примечание 2" xfId="46" xr:uid="{00000000-0005-0000-0000-000033000000}"/>
    <cellStyle name="Процентный" xfId="2" builtinId="5" customBuiltin="1"/>
    <cellStyle name="Связанная ячейка" xfId="14" builtinId="24" customBuiltin="1"/>
    <cellStyle name="Текст предупреждения" xfId="16" builtinId="11" customBuiltin="1"/>
    <cellStyle name="Финансовый" xfId="1" builtinId="3"/>
    <cellStyle name="Финансовый 2" xfId="44" xr:uid="{00000000-0005-0000-0000-000038000000}"/>
    <cellStyle name="Финансовый 2 2" xfId="59" xr:uid="{00000000-0005-0000-0000-000039000000}"/>
    <cellStyle name="Финансовый 3" xfId="45" xr:uid="{00000000-0005-0000-0000-00003A000000}"/>
    <cellStyle name="Хороший" xfId="8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view="pageBreakPreview" topLeftCell="B12" zoomScale="160" zoomScaleNormal="160" zoomScaleSheetLayoutView="160" workbookViewId="0">
      <selection activeCell="G23" sqref="G23"/>
    </sheetView>
  </sheetViews>
  <sheetFormatPr defaultColWidth="9.140625" defaultRowHeight="12.75" x14ac:dyDescent="0.2"/>
  <cols>
    <col min="1" max="1" width="5.7109375" style="1" customWidth="1"/>
    <col min="2" max="2" width="34.42578125" style="1" customWidth="1"/>
    <col min="3" max="3" width="0.140625" style="1" hidden="1" customWidth="1"/>
    <col min="4" max="4" width="1.28515625" style="1" hidden="1" customWidth="1"/>
    <col min="5" max="5" width="18.42578125" style="1" customWidth="1"/>
    <col min="6" max="6" width="17.85546875" style="1" customWidth="1"/>
    <col min="7" max="7" width="15.5703125" style="14" customWidth="1"/>
    <col min="8" max="8" width="12.140625" style="1" customWidth="1"/>
    <col min="9" max="10" width="9.140625" style="1"/>
    <col min="11" max="11" width="10.28515625" style="1" bestFit="1" customWidth="1"/>
    <col min="12" max="16384" width="9.140625" style="1"/>
  </cols>
  <sheetData>
    <row r="1" spans="1:8" ht="15" customHeight="1" x14ac:dyDescent="0.2">
      <c r="G1" s="13" t="s">
        <v>0</v>
      </c>
    </row>
    <row r="2" spans="1:8" ht="20.25" customHeight="1" x14ac:dyDescent="0.2">
      <c r="A2" s="143" t="s">
        <v>24</v>
      </c>
      <c r="B2" s="143"/>
      <c r="C2" s="143"/>
      <c r="D2" s="143"/>
      <c r="E2" s="143"/>
      <c r="F2" s="143"/>
      <c r="G2" s="143"/>
    </row>
    <row r="3" spans="1:8" ht="14.25" x14ac:dyDescent="0.2">
      <c r="A3" s="144" t="s">
        <v>25</v>
      </c>
      <c r="B3" s="144"/>
      <c r="C3" s="144"/>
      <c r="D3" s="144"/>
      <c r="E3" s="144"/>
      <c r="F3" s="144"/>
      <c r="G3" s="144"/>
    </row>
    <row r="4" spans="1:8" ht="15" customHeight="1" x14ac:dyDescent="0.2"/>
    <row r="5" spans="1:8" ht="46.5" customHeight="1" x14ac:dyDescent="0.2">
      <c r="A5" s="145" t="s">
        <v>381</v>
      </c>
      <c r="B5" s="145"/>
      <c r="C5" s="145"/>
      <c r="D5" s="145"/>
      <c r="E5" s="145"/>
      <c r="F5" s="145"/>
      <c r="G5" s="145"/>
    </row>
    <row r="6" spans="1:8" ht="15" customHeight="1" x14ac:dyDescent="0.2">
      <c r="A6" s="146" t="s">
        <v>14</v>
      </c>
      <c r="B6" s="146"/>
      <c r="C6" s="146"/>
      <c r="D6" s="146"/>
      <c r="E6" s="146"/>
      <c r="F6" s="146"/>
      <c r="G6" s="146"/>
    </row>
    <row r="7" spans="1:8" ht="15" customHeight="1" x14ac:dyDescent="0.2">
      <c r="A7" s="2" t="s">
        <v>37</v>
      </c>
      <c r="B7" s="36"/>
      <c r="C7" s="36"/>
      <c r="D7" s="36"/>
      <c r="E7" s="36"/>
      <c r="F7" s="37"/>
      <c r="G7" s="37"/>
    </row>
    <row r="8" spans="1:8" ht="50.25" customHeight="1" x14ac:dyDescent="0.2">
      <c r="A8" s="145" t="s">
        <v>45</v>
      </c>
      <c r="B8" s="145"/>
      <c r="C8" s="145"/>
      <c r="D8" s="145"/>
      <c r="E8" s="145"/>
      <c r="F8" s="145"/>
      <c r="G8" s="145"/>
    </row>
    <row r="9" spans="1:8" ht="15" customHeight="1" x14ac:dyDescent="0.2">
      <c r="G9" s="18" t="s">
        <v>26</v>
      </c>
    </row>
    <row r="10" spans="1:8" ht="89.25" customHeight="1" x14ac:dyDescent="0.2">
      <c r="A10" s="3" t="s">
        <v>3</v>
      </c>
      <c r="B10" s="3" t="s">
        <v>15</v>
      </c>
      <c r="C10" s="3" t="s">
        <v>16</v>
      </c>
      <c r="D10" s="3" t="s">
        <v>17</v>
      </c>
      <c r="E10" s="3" t="s">
        <v>18</v>
      </c>
      <c r="F10" s="3" t="s">
        <v>27</v>
      </c>
      <c r="G10" s="15" t="s">
        <v>50</v>
      </c>
    </row>
    <row r="11" spans="1:8" x14ac:dyDescent="0.2">
      <c r="A11" s="4">
        <v>1</v>
      </c>
      <c r="B11" s="4">
        <v>2</v>
      </c>
      <c r="C11" s="4">
        <v>3</v>
      </c>
      <c r="D11" s="4">
        <v>4</v>
      </c>
      <c r="E11" s="4">
        <v>3</v>
      </c>
      <c r="F11" s="4">
        <v>4</v>
      </c>
      <c r="G11" s="16">
        <v>5</v>
      </c>
    </row>
    <row r="12" spans="1:8" x14ac:dyDescent="0.2">
      <c r="A12" s="141" t="s">
        <v>28</v>
      </c>
      <c r="B12" s="141"/>
      <c r="C12" s="141"/>
      <c r="D12" s="141"/>
      <c r="E12" s="141"/>
      <c r="F12" s="141"/>
      <c r="G12" s="141"/>
    </row>
    <row r="13" spans="1:8" ht="38.25" x14ac:dyDescent="0.2">
      <c r="A13" s="19" t="s">
        <v>7</v>
      </c>
      <c r="B13" s="20" t="s">
        <v>29</v>
      </c>
      <c r="C13" s="19" t="s">
        <v>19</v>
      </c>
      <c r="D13" s="19">
        <v>0.52</v>
      </c>
      <c r="E13" s="71" t="s">
        <v>30</v>
      </c>
      <c r="F13" s="74">
        <f>'форма 2П_проектные'!E17</f>
        <v>2147.63</v>
      </c>
      <c r="G13" s="21">
        <f>'форма 2П_проектные'!E20</f>
        <v>11674.51</v>
      </c>
      <c r="H13" s="25">
        <f>SUM(G14:G18)</f>
        <v>1947.12</v>
      </c>
    </row>
    <row r="14" spans="1:8" ht="33.75" customHeight="1" x14ac:dyDescent="0.2">
      <c r="A14" s="19" t="s">
        <v>10</v>
      </c>
      <c r="B14" s="20" t="s">
        <v>371</v>
      </c>
      <c r="C14" s="19" t="s">
        <v>20</v>
      </c>
      <c r="D14" s="19">
        <v>1.30884</v>
      </c>
      <c r="E14" s="71" t="s">
        <v>31</v>
      </c>
      <c r="F14" s="74">
        <f>G14/4.55</f>
        <v>18.48</v>
      </c>
      <c r="G14" s="21">
        <f>Геодезия!G43</f>
        <v>84.07</v>
      </c>
    </row>
    <row r="15" spans="1:8" ht="33.75" customHeight="1" x14ac:dyDescent="0.2">
      <c r="A15" s="19" t="s">
        <v>87</v>
      </c>
      <c r="B15" s="20" t="s">
        <v>373</v>
      </c>
      <c r="C15" s="19" t="s">
        <v>20</v>
      </c>
      <c r="D15" s="19">
        <v>1.30884</v>
      </c>
      <c r="E15" s="71" t="s">
        <v>366</v>
      </c>
      <c r="F15" s="74">
        <f t="shared" ref="F15:F18" si="0">G15/4.55</f>
        <v>220.68</v>
      </c>
      <c r="G15" s="21">
        <f>Геология!G176</f>
        <v>1004.11</v>
      </c>
    </row>
    <row r="16" spans="1:8" ht="33.75" customHeight="1" x14ac:dyDescent="0.2">
      <c r="A16" s="19" t="s">
        <v>95</v>
      </c>
      <c r="B16" s="20" t="s">
        <v>375</v>
      </c>
      <c r="C16" s="19" t="s">
        <v>20</v>
      </c>
      <c r="D16" s="19">
        <v>1.30884</v>
      </c>
      <c r="E16" s="71" t="s">
        <v>367</v>
      </c>
      <c r="F16" s="74">
        <f t="shared" si="0"/>
        <v>47.78</v>
      </c>
      <c r="G16" s="21">
        <f>Геофизика!G70</f>
        <v>217.4</v>
      </c>
    </row>
    <row r="17" spans="1:11" ht="33.75" customHeight="1" x14ac:dyDescent="0.2">
      <c r="A17" s="19" t="s">
        <v>97</v>
      </c>
      <c r="B17" s="20" t="s">
        <v>376</v>
      </c>
      <c r="C17" s="19" t="s">
        <v>20</v>
      </c>
      <c r="D17" s="19">
        <v>1.30884</v>
      </c>
      <c r="E17" s="71" t="s">
        <v>368</v>
      </c>
      <c r="F17" s="74">
        <f t="shared" si="0"/>
        <v>104.52</v>
      </c>
      <c r="G17" s="21">
        <f>Экология!G203</f>
        <v>475.57</v>
      </c>
    </row>
    <row r="18" spans="1:11" ht="33.75" customHeight="1" x14ac:dyDescent="0.2">
      <c r="A18" s="19" t="s">
        <v>100</v>
      </c>
      <c r="B18" s="20" t="s">
        <v>379</v>
      </c>
      <c r="C18" s="19" t="s">
        <v>20</v>
      </c>
      <c r="D18" s="19">
        <v>1.30884</v>
      </c>
      <c r="E18" s="71" t="s">
        <v>369</v>
      </c>
      <c r="F18" s="74">
        <f t="shared" si="0"/>
        <v>36.479999999999997</v>
      </c>
      <c r="G18" s="21">
        <f>Гидрометрология!G52</f>
        <v>165.97</v>
      </c>
    </row>
    <row r="19" spans="1:11" x14ac:dyDescent="0.2">
      <c r="A19" s="22"/>
      <c r="B19" s="23" t="s">
        <v>32</v>
      </c>
      <c r="C19" s="23"/>
      <c r="D19" s="23"/>
      <c r="E19" s="73"/>
      <c r="F19" s="60">
        <f>F13+F14+F15+F16+F17+F18</f>
        <v>2575.5700000000002</v>
      </c>
      <c r="G19" s="60">
        <f>G13+G14+G15+G16+G17+G18</f>
        <v>13621.63</v>
      </c>
      <c r="H19" s="25"/>
      <c r="I19" s="25"/>
    </row>
    <row r="20" spans="1:11" x14ac:dyDescent="0.2">
      <c r="A20" s="22"/>
      <c r="B20" s="26" t="s">
        <v>33</v>
      </c>
      <c r="C20" s="26"/>
      <c r="D20" s="26"/>
      <c r="E20" s="72"/>
      <c r="F20" s="61"/>
      <c r="G20" s="61">
        <f>G19*20/120</f>
        <v>2270.27</v>
      </c>
      <c r="K20" s="25">
        <f>((F13*0.4)+F14+F15+F16+F17+F18)</f>
        <v>1286.99</v>
      </c>
    </row>
    <row r="21" spans="1:11" ht="6.75" customHeight="1" x14ac:dyDescent="0.2">
      <c r="A21" s="28"/>
      <c r="B21" s="29"/>
      <c r="C21" s="29"/>
      <c r="D21" s="29"/>
      <c r="E21" s="29"/>
      <c r="F21" s="30"/>
      <c r="G21" s="30"/>
    </row>
    <row r="22" spans="1:11" x14ac:dyDescent="0.2">
      <c r="A22" s="141" t="s">
        <v>34</v>
      </c>
      <c r="B22" s="141"/>
      <c r="C22" s="141"/>
      <c r="D22" s="141"/>
      <c r="E22" s="141"/>
      <c r="F22" s="141"/>
      <c r="G22" s="141"/>
      <c r="K22" s="1" t="str">
        <f>CONCATENATE("((",F13,"*0,4)+",F14,")")</f>
        <v>((2147,63*0,4)+18,48)</v>
      </c>
    </row>
    <row r="23" spans="1:11" ht="57" customHeight="1" x14ac:dyDescent="0.2">
      <c r="A23" s="19">
        <v>3</v>
      </c>
      <c r="B23" s="20" t="s">
        <v>35</v>
      </c>
      <c r="C23" s="29"/>
      <c r="D23" s="29"/>
      <c r="E23" s="75" t="str">
        <f>CONCATENATE(K23,K22,"*",I23,"%",J23)</f>
        <v xml:space="preserve"> Постановление Правительства РФ от 05.03.2007 N 145. Приложение ((2147,63*0,4)+18,48)*12,69%  х 6 х 1,2</v>
      </c>
      <c r="F23" s="59">
        <f>((F13*0.4)+F14+F15+F16+F17+F18)*I23%</f>
        <v>163.32</v>
      </c>
      <c r="G23" s="31">
        <f>F23*6*1.2</f>
        <v>1175.9000000000001</v>
      </c>
      <c r="I23" s="76">
        <v>12.69</v>
      </c>
      <c r="J23" s="1" t="s">
        <v>385</v>
      </c>
      <c r="K23" s="1" t="s">
        <v>46</v>
      </c>
    </row>
    <row r="24" spans="1:11" x14ac:dyDescent="0.2">
      <c r="A24" s="22"/>
      <c r="B24" s="23" t="s">
        <v>36</v>
      </c>
      <c r="C24" s="23"/>
      <c r="D24" s="23"/>
      <c r="E24" s="23"/>
      <c r="F24" s="60">
        <f>F23</f>
        <v>163.32</v>
      </c>
      <c r="G24" s="24">
        <f>G23</f>
        <v>1175.9000000000001</v>
      </c>
    </row>
    <row r="25" spans="1:11" x14ac:dyDescent="0.2">
      <c r="A25" s="22"/>
      <c r="B25" s="26" t="s">
        <v>33</v>
      </c>
      <c r="C25" s="26"/>
      <c r="D25" s="26"/>
      <c r="E25" s="26"/>
      <c r="F25" s="61"/>
      <c r="G25" s="27">
        <f>G24/1.2*0.2</f>
        <v>195.98</v>
      </c>
    </row>
    <row r="26" spans="1:11" ht="6.75" customHeight="1" x14ac:dyDescent="0.2">
      <c r="A26" s="28"/>
      <c r="B26" s="29"/>
      <c r="C26" s="29"/>
      <c r="D26" s="29"/>
      <c r="E26" s="29"/>
      <c r="F26" s="62"/>
      <c r="G26" s="30"/>
    </row>
    <row r="27" spans="1:11" x14ac:dyDescent="0.2">
      <c r="A27" s="142" t="s">
        <v>12</v>
      </c>
      <c r="B27" s="142"/>
      <c r="C27" s="142"/>
      <c r="D27" s="142"/>
      <c r="E27" s="142"/>
      <c r="F27" s="63">
        <f>F24+F19</f>
        <v>2738.89</v>
      </c>
      <c r="G27" s="32">
        <f>G24+G19</f>
        <v>14797.53</v>
      </c>
    </row>
    <row r="28" spans="1:11" s="17" customFormat="1" x14ac:dyDescent="0.2">
      <c r="A28" s="33"/>
      <c r="B28" s="33" t="s">
        <v>33</v>
      </c>
      <c r="C28" s="33"/>
      <c r="D28" s="33"/>
      <c r="E28" s="33"/>
      <c r="F28" s="33"/>
      <c r="G28" s="34">
        <f>G25+G20</f>
        <v>2466.25</v>
      </c>
    </row>
    <row r="29" spans="1:11" ht="48" customHeight="1" x14ac:dyDescent="0.25">
      <c r="A29" s="53"/>
      <c r="B29" s="53"/>
      <c r="C29" s="53"/>
      <c r="D29" s="53"/>
      <c r="E29" s="53"/>
      <c r="F29" s="53"/>
      <c r="G29" s="53"/>
      <c r="H29" s="11"/>
    </row>
    <row r="30" spans="1:11" ht="15" x14ac:dyDescent="0.2">
      <c r="B30" s="54" t="s">
        <v>42</v>
      </c>
      <c r="C30" s="55"/>
      <c r="D30" s="55"/>
      <c r="E30" s="56"/>
      <c r="F30" s="55" t="s">
        <v>51</v>
      </c>
    </row>
  </sheetData>
  <mergeCells count="8">
    <mergeCell ref="A22:G22"/>
    <mergeCell ref="A27:E27"/>
    <mergeCell ref="A2:G2"/>
    <mergeCell ref="A3:G3"/>
    <mergeCell ref="A5:G5"/>
    <mergeCell ref="A6:G6"/>
    <mergeCell ref="A8:G8"/>
    <mergeCell ref="A12:G12"/>
  </mergeCells>
  <phoneticPr fontId="47" type="noConversion"/>
  <pageMargins left="0.78740157480314965" right="0.39370078740157483" top="0.34" bottom="0.73" header="0.27559055118110237" footer="0.17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4"/>
  <sheetViews>
    <sheetView view="pageBreakPreview" topLeftCell="A15" zoomScale="160" zoomScaleNormal="100" zoomScaleSheetLayoutView="160" workbookViewId="0">
      <selection activeCell="D15" sqref="D15"/>
    </sheetView>
  </sheetViews>
  <sheetFormatPr defaultColWidth="9.140625" defaultRowHeight="15.75" x14ac:dyDescent="0.2"/>
  <cols>
    <col min="1" max="1" width="6.42578125" style="2" customWidth="1"/>
    <col min="2" max="2" width="38.5703125" style="2" customWidth="1"/>
    <col min="3" max="3" width="19.85546875" style="2" customWidth="1"/>
    <col min="4" max="4" width="18.7109375" style="2" customWidth="1"/>
    <col min="5" max="5" width="12.140625" style="40" customWidth="1"/>
    <col min="6" max="6" width="30.85546875" style="2" customWidth="1"/>
    <col min="7" max="7" width="18" style="2" customWidth="1"/>
    <col min="8" max="8" width="13.28515625" style="2" customWidth="1"/>
    <col min="9" max="16384" width="9.140625" style="2"/>
  </cols>
  <sheetData>
    <row r="1" spans="1:8" ht="20.25" customHeight="1" x14ac:dyDescent="0.2">
      <c r="E1" s="39" t="s">
        <v>0</v>
      </c>
    </row>
    <row r="2" spans="1:8" ht="20.25" customHeight="1" x14ac:dyDescent="0.2">
      <c r="A2" s="157" t="s">
        <v>13</v>
      </c>
      <c r="B2" s="157"/>
      <c r="C2" s="157"/>
      <c r="D2" s="157"/>
      <c r="E2" s="157"/>
    </row>
    <row r="3" spans="1:8" ht="19.5" customHeight="1" x14ac:dyDescent="0.2">
      <c r="A3" s="157" t="s">
        <v>1</v>
      </c>
      <c r="B3" s="157"/>
      <c r="C3" s="157"/>
      <c r="D3" s="157"/>
      <c r="E3" s="157"/>
    </row>
    <row r="4" spans="1:8" ht="15" customHeight="1" x14ac:dyDescent="0.2"/>
    <row r="5" spans="1:8" ht="15.75" customHeight="1" x14ac:dyDescent="0.2">
      <c r="A5" s="158" t="s">
        <v>2</v>
      </c>
      <c r="B5" s="158"/>
      <c r="C5" s="158"/>
      <c r="D5" s="158"/>
      <c r="E5" s="158"/>
    </row>
    <row r="6" spans="1:8" ht="41.25" customHeight="1" x14ac:dyDescent="0.2">
      <c r="A6" s="145" t="s">
        <v>382</v>
      </c>
      <c r="B6" s="145"/>
      <c r="C6" s="145"/>
      <c r="D6" s="145"/>
      <c r="E6" s="145"/>
    </row>
    <row r="7" spans="1:8" ht="28.5" customHeight="1" x14ac:dyDescent="0.2">
      <c r="A7" s="2" t="s">
        <v>37</v>
      </c>
      <c r="B7" s="35"/>
      <c r="C7" s="38"/>
      <c r="D7" s="38"/>
      <c r="E7" s="38"/>
    </row>
    <row r="8" spans="1:8" ht="43.5" customHeight="1" x14ac:dyDescent="0.2">
      <c r="A8" s="145" t="s">
        <v>44</v>
      </c>
      <c r="B8" s="145"/>
      <c r="C8" s="145"/>
      <c r="D8" s="145"/>
      <c r="E8" s="145"/>
      <c r="H8">
        <f>500*16</f>
        <v>8000</v>
      </c>
    </row>
    <row r="9" spans="1:8" ht="15" customHeight="1" x14ac:dyDescent="0.2"/>
    <row r="10" spans="1:8" ht="75.75" customHeight="1" x14ac:dyDescent="0.2">
      <c r="A10" s="3" t="s">
        <v>3</v>
      </c>
      <c r="B10" s="3" t="s">
        <v>4</v>
      </c>
      <c r="C10" s="3" t="s">
        <v>38</v>
      </c>
      <c r="D10" s="3" t="s">
        <v>5</v>
      </c>
      <c r="E10" s="12" t="s">
        <v>6</v>
      </c>
    </row>
    <row r="11" spans="1:8" x14ac:dyDescent="0.2">
      <c r="A11" s="41">
        <v>1</v>
      </c>
      <c r="B11" s="41">
        <v>2</v>
      </c>
      <c r="C11" s="41">
        <v>3</v>
      </c>
      <c r="D11" s="41">
        <v>4</v>
      </c>
      <c r="E11" s="41">
        <v>5</v>
      </c>
    </row>
    <row r="12" spans="1:8" ht="103.5" customHeight="1" x14ac:dyDescent="0.2">
      <c r="A12" s="42" t="s">
        <v>7</v>
      </c>
      <c r="B12" s="5" t="s">
        <v>384</v>
      </c>
      <c r="C12" s="6" t="s">
        <v>47</v>
      </c>
      <c r="D12" s="77" t="s">
        <v>386</v>
      </c>
      <c r="E12" s="78">
        <f>ROUND(((452.02+0.15*H8)*0.4*1.3)+((452.02+0.15*H8)*0.6*1.3),2)</f>
        <v>2147.63</v>
      </c>
    </row>
    <row r="13" spans="1:8" ht="19.5" customHeight="1" x14ac:dyDescent="0.2">
      <c r="A13" s="43"/>
      <c r="B13" s="44" t="s">
        <v>8</v>
      </c>
      <c r="C13" s="7"/>
      <c r="D13" s="45"/>
      <c r="E13" s="66"/>
    </row>
    <row r="14" spans="1:8" ht="19.5" customHeight="1" x14ac:dyDescent="0.2">
      <c r="A14" s="46"/>
      <c r="B14" s="8" t="s">
        <v>39</v>
      </c>
      <c r="C14" s="9"/>
      <c r="D14" s="8"/>
      <c r="E14" s="67"/>
    </row>
    <row r="15" spans="1:8" ht="26.25" customHeight="1" x14ac:dyDescent="0.2">
      <c r="A15" s="46"/>
      <c r="B15" s="64" t="s">
        <v>40</v>
      </c>
      <c r="C15" s="156" t="s">
        <v>9</v>
      </c>
      <c r="D15" s="65"/>
      <c r="E15" s="67"/>
    </row>
    <row r="16" spans="1:8" ht="57" customHeight="1" x14ac:dyDescent="0.2">
      <c r="A16" s="46"/>
      <c r="B16" s="64" t="s">
        <v>41</v>
      </c>
      <c r="C16" s="156"/>
      <c r="D16" s="65"/>
      <c r="E16" s="67"/>
    </row>
    <row r="17" spans="1:5" x14ac:dyDescent="0.2">
      <c r="A17" s="10"/>
      <c r="B17" s="147" t="s">
        <v>11</v>
      </c>
      <c r="C17" s="148"/>
      <c r="D17" s="149"/>
      <c r="E17" s="68">
        <f>E12</f>
        <v>2147.63</v>
      </c>
    </row>
    <row r="18" spans="1:5" s="47" customFormat="1" ht="44.25" customHeight="1" x14ac:dyDescent="0.2">
      <c r="A18" s="49"/>
      <c r="B18" s="50" t="s">
        <v>48</v>
      </c>
      <c r="C18" s="51" t="s">
        <v>49</v>
      </c>
      <c r="D18" s="52"/>
      <c r="E18" s="69">
        <f>ROUND(E12*4.53,5)</f>
        <v>9728.76</v>
      </c>
    </row>
    <row r="19" spans="1:5" ht="19.5" customHeight="1" x14ac:dyDescent="0.2">
      <c r="A19" s="150" t="s">
        <v>43</v>
      </c>
      <c r="B19" s="151"/>
      <c r="C19" s="151"/>
      <c r="D19" s="152"/>
      <c r="E19" s="68">
        <f>ROUND(E18*0.2,5)</f>
        <v>1945.75</v>
      </c>
    </row>
    <row r="20" spans="1:5" ht="18" customHeight="1" x14ac:dyDescent="0.2">
      <c r="A20" s="153" t="s">
        <v>12</v>
      </c>
      <c r="B20" s="154"/>
      <c r="C20" s="154"/>
      <c r="D20" s="155"/>
      <c r="E20" s="70">
        <f>SUM(E18:E19)</f>
        <v>11674.51</v>
      </c>
    </row>
    <row r="22" spans="1:5" x14ac:dyDescent="0.2">
      <c r="A22" s="48"/>
    </row>
    <row r="23" spans="1:5" ht="15.75" customHeight="1" x14ac:dyDescent="0.25">
      <c r="B23" s="57" t="s">
        <v>42</v>
      </c>
      <c r="C23" s="58"/>
      <c r="D23" s="53" t="s">
        <v>51</v>
      </c>
      <c r="E23" s="53"/>
    </row>
    <row r="24" spans="1:5" x14ac:dyDescent="0.2">
      <c r="E24" s="2"/>
    </row>
  </sheetData>
  <mergeCells count="9">
    <mergeCell ref="B17:D17"/>
    <mergeCell ref="A19:D19"/>
    <mergeCell ref="A20:D20"/>
    <mergeCell ref="C15:C16"/>
    <mergeCell ref="A2:E2"/>
    <mergeCell ref="A3:E3"/>
    <mergeCell ref="A5:E5"/>
    <mergeCell ref="A6:E6"/>
    <mergeCell ref="A8:E8"/>
  </mergeCells>
  <pageMargins left="0.59055118110236227" right="0.11811023622047245" top="1.0629921259842521" bottom="0.62992125984251968" header="0.27559055118110237" footer="0.31496062992125984"/>
  <pageSetup paperSize="9" scale="99" fitToHeight="0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2B5FC-73D3-41D1-8E56-33EFF84B2410}">
  <sheetPr codeName="Лист1"/>
  <dimension ref="A1:G44"/>
  <sheetViews>
    <sheetView view="pageBreakPreview" zoomScale="130" zoomScaleNormal="55" zoomScaleSheetLayoutView="130" workbookViewId="0">
      <selection activeCell="E11" sqref="E11"/>
    </sheetView>
  </sheetViews>
  <sheetFormatPr defaultColWidth="11.5703125" defaultRowHeight="12.75" x14ac:dyDescent="0.2"/>
  <cols>
    <col min="1" max="1" width="3.7109375" style="86" customWidth="1"/>
    <col min="2" max="2" width="26.7109375" style="86" customWidth="1"/>
    <col min="3" max="3" width="7.7109375" style="86" customWidth="1"/>
    <col min="4" max="4" width="5" style="86" customWidth="1"/>
    <col min="5" max="5" width="27.7109375" style="86" customWidth="1"/>
    <col min="6" max="6" width="14.42578125" style="86" customWidth="1"/>
    <col min="7" max="7" width="11.5703125" style="86"/>
    <col min="8" max="256" width="11.5703125" style="79"/>
    <col min="257" max="257" width="3.7109375" style="79" customWidth="1"/>
    <col min="258" max="258" width="26.7109375" style="79" customWidth="1"/>
    <col min="259" max="259" width="7.7109375" style="79" customWidth="1"/>
    <col min="260" max="260" width="5" style="79" customWidth="1"/>
    <col min="261" max="261" width="27.7109375" style="79" customWidth="1"/>
    <col min="262" max="262" width="14.42578125" style="79" customWidth="1"/>
    <col min="263" max="512" width="11.5703125" style="79"/>
    <col min="513" max="513" width="3.7109375" style="79" customWidth="1"/>
    <col min="514" max="514" width="26.7109375" style="79" customWidth="1"/>
    <col min="515" max="515" width="7.7109375" style="79" customWidth="1"/>
    <col min="516" max="516" width="5" style="79" customWidth="1"/>
    <col min="517" max="517" width="27.7109375" style="79" customWidth="1"/>
    <col min="518" max="518" width="14.42578125" style="79" customWidth="1"/>
    <col min="519" max="768" width="11.5703125" style="79"/>
    <col min="769" max="769" width="3.7109375" style="79" customWidth="1"/>
    <col min="770" max="770" width="26.7109375" style="79" customWidth="1"/>
    <col min="771" max="771" width="7.7109375" style="79" customWidth="1"/>
    <col min="772" max="772" width="5" style="79" customWidth="1"/>
    <col min="773" max="773" width="27.7109375" style="79" customWidth="1"/>
    <col min="774" max="774" width="14.42578125" style="79" customWidth="1"/>
    <col min="775" max="1024" width="11.5703125" style="79"/>
    <col min="1025" max="1025" width="3.7109375" style="79" customWidth="1"/>
    <col min="1026" max="1026" width="26.7109375" style="79" customWidth="1"/>
    <col min="1027" max="1027" width="7.7109375" style="79" customWidth="1"/>
    <col min="1028" max="1028" width="5" style="79" customWidth="1"/>
    <col min="1029" max="1029" width="27.7109375" style="79" customWidth="1"/>
    <col min="1030" max="1030" width="14.42578125" style="79" customWidth="1"/>
    <col min="1031" max="1280" width="11.5703125" style="79"/>
    <col min="1281" max="1281" width="3.7109375" style="79" customWidth="1"/>
    <col min="1282" max="1282" width="26.7109375" style="79" customWidth="1"/>
    <col min="1283" max="1283" width="7.7109375" style="79" customWidth="1"/>
    <col min="1284" max="1284" width="5" style="79" customWidth="1"/>
    <col min="1285" max="1285" width="27.7109375" style="79" customWidth="1"/>
    <col min="1286" max="1286" width="14.42578125" style="79" customWidth="1"/>
    <col min="1287" max="1536" width="11.5703125" style="79"/>
    <col min="1537" max="1537" width="3.7109375" style="79" customWidth="1"/>
    <col min="1538" max="1538" width="26.7109375" style="79" customWidth="1"/>
    <col min="1539" max="1539" width="7.7109375" style="79" customWidth="1"/>
    <col min="1540" max="1540" width="5" style="79" customWidth="1"/>
    <col min="1541" max="1541" width="27.7109375" style="79" customWidth="1"/>
    <col min="1542" max="1542" width="14.42578125" style="79" customWidth="1"/>
    <col min="1543" max="1792" width="11.5703125" style="79"/>
    <col min="1793" max="1793" width="3.7109375" style="79" customWidth="1"/>
    <col min="1794" max="1794" width="26.7109375" style="79" customWidth="1"/>
    <col min="1795" max="1795" width="7.7109375" style="79" customWidth="1"/>
    <col min="1796" max="1796" width="5" style="79" customWidth="1"/>
    <col min="1797" max="1797" width="27.7109375" style="79" customWidth="1"/>
    <col min="1798" max="1798" width="14.42578125" style="79" customWidth="1"/>
    <col min="1799" max="2048" width="11.5703125" style="79"/>
    <col min="2049" max="2049" width="3.7109375" style="79" customWidth="1"/>
    <col min="2050" max="2050" width="26.7109375" style="79" customWidth="1"/>
    <col min="2051" max="2051" width="7.7109375" style="79" customWidth="1"/>
    <col min="2052" max="2052" width="5" style="79" customWidth="1"/>
    <col min="2053" max="2053" width="27.7109375" style="79" customWidth="1"/>
    <col min="2054" max="2054" width="14.42578125" style="79" customWidth="1"/>
    <col min="2055" max="2304" width="11.5703125" style="79"/>
    <col min="2305" max="2305" width="3.7109375" style="79" customWidth="1"/>
    <col min="2306" max="2306" width="26.7109375" style="79" customWidth="1"/>
    <col min="2307" max="2307" width="7.7109375" style="79" customWidth="1"/>
    <col min="2308" max="2308" width="5" style="79" customWidth="1"/>
    <col min="2309" max="2309" width="27.7109375" style="79" customWidth="1"/>
    <col min="2310" max="2310" width="14.42578125" style="79" customWidth="1"/>
    <col min="2311" max="2560" width="11.5703125" style="79"/>
    <col min="2561" max="2561" width="3.7109375" style="79" customWidth="1"/>
    <col min="2562" max="2562" width="26.7109375" style="79" customWidth="1"/>
    <col min="2563" max="2563" width="7.7109375" style="79" customWidth="1"/>
    <col min="2564" max="2564" width="5" style="79" customWidth="1"/>
    <col min="2565" max="2565" width="27.7109375" style="79" customWidth="1"/>
    <col min="2566" max="2566" width="14.42578125" style="79" customWidth="1"/>
    <col min="2567" max="2816" width="11.5703125" style="79"/>
    <col min="2817" max="2817" width="3.7109375" style="79" customWidth="1"/>
    <col min="2818" max="2818" width="26.7109375" style="79" customWidth="1"/>
    <col min="2819" max="2819" width="7.7109375" style="79" customWidth="1"/>
    <col min="2820" max="2820" width="5" style="79" customWidth="1"/>
    <col min="2821" max="2821" width="27.7109375" style="79" customWidth="1"/>
    <col min="2822" max="2822" width="14.42578125" style="79" customWidth="1"/>
    <col min="2823" max="3072" width="11.5703125" style="79"/>
    <col min="3073" max="3073" width="3.7109375" style="79" customWidth="1"/>
    <col min="3074" max="3074" width="26.7109375" style="79" customWidth="1"/>
    <col min="3075" max="3075" width="7.7109375" style="79" customWidth="1"/>
    <col min="3076" max="3076" width="5" style="79" customWidth="1"/>
    <col min="3077" max="3077" width="27.7109375" style="79" customWidth="1"/>
    <col min="3078" max="3078" width="14.42578125" style="79" customWidth="1"/>
    <col min="3079" max="3328" width="11.5703125" style="79"/>
    <col min="3329" max="3329" width="3.7109375" style="79" customWidth="1"/>
    <col min="3330" max="3330" width="26.7109375" style="79" customWidth="1"/>
    <col min="3331" max="3331" width="7.7109375" style="79" customWidth="1"/>
    <col min="3332" max="3332" width="5" style="79" customWidth="1"/>
    <col min="3333" max="3333" width="27.7109375" style="79" customWidth="1"/>
    <col min="3334" max="3334" width="14.42578125" style="79" customWidth="1"/>
    <col min="3335" max="3584" width="11.5703125" style="79"/>
    <col min="3585" max="3585" width="3.7109375" style="79" customWidth="1"/>
    <col min="3586" max="3586" width="26.7109375" style="79" customWidth="1"/>
    <col min="3587" max="3587" width="7.7109375" style="79" customWidth="1"/>
    <col min="3588" max="3588" width="5" style="79" customWidth="1"/>
    <col min="3589" max="3589" width="27.7109375" style="79" customWidth="1"/>
    <col min="3590" max="3590" width="14.42578125" style="79" customWidth="1"/>
    <col min="3591" max="3840" width="11.5703125" style="79"/>
    <col min="3841" max="3841" width="3.7109375" style="79" customWidth="1"/>
    <col min="3842" max="3842" width="26.7109375" style="79" customWidth="1"/>
    <col min="3843" max="3843" width="7.7109375" style="79" customWidth="1"/>
    <col min="3844" max="3844" width="5" style="79" customWidth="1"/>
    <col min="3845" max="3845" width="27.7109375" style="79" customWidth="1"/>
    <col min="3846" max="3846" width="14.42578125" style="79" customWidth="1"/>
    <col min="3847" max="4096" width="11.5703125" style="79"/>
    <col min="4097" max="4097" width="3.7109375" style="79" customWidth="1"/>
    <col min="4098" max="4098" width="26.7109375" style="79" customWidth="1"/>
    <col min="4099" max="4099" width="7.7109375" style="79" customWidth="1"/>
    <col min="4100" max="4100" width="5" style="79" customWidth="1"/>
    <col min="4101" max="4101" width="27.7109375" style="79" customWidth="1"/>
    <col min="4102" max="4102" width="14.42578125" style="79" customWidth="1"/>
    <col min="4103" max="4352" width="11.5703125" style="79"/>
    <col min="4353" max="4353" width="3.7109375" style="79" customWidth="1"/>
    <col min="4354" max="4354" width="26.7109375" style="79" customWidth="1"/>
    <col min="4355" max="4355" width="7.7109375" style="79" customWidth="1"/>
    <col min="4356" max="4356" width="5" style="79" customWidth="1"/>
    <col min="4357" max="4357" width="27.7109375" style="79" customWidth="1"/>
    <col min="4358" max="4358" width="14.42578125" style="79" customWidth="1"/>
    <col min="4359" max="4608" width="11.5703125" style="79"/>
    <col min="4609" max="4609" width="3.7109375" style="79" customWidth="1"/>
    <col min="4610" max="4610" width="26.7109375" style="79" customWidth="1"/>
    <col min="4611" max="4611" width="7.7109375" style="79" customWidth="1"/>
    <col min="4612" max="4612" width="5" style="79" customWidth="1"/>
    <col min="4613" max="4613" width="27.7109375" style="79" customWidth="1"/>
    <col min="4614" max="4614" width="14.42578125" style="79" customWidth="1"/>
    <col min="4615" max="4864" width="11.5703125" style="79"/>
    <col min="4865" max="4865" width="3.7109375" style="79" customWidth="1"/>
    <col min="4866" max="4866" width="26.7109375" style="79" customWidth="1"/>
    <col min="4867" max="4867" width="7.7109375" style="79" customWidth="1"/>
    <col min="4868" max="4868" width="5" style="79" customWidth="1"/>
    <col min="4869" max="4869" width="27.7109375" style="79" customWidth="1"/>
    <col min="4870" max="4870" width="14.42578125" style="79" customWidth="1"/>
    <col min="4871" max="5120" width="11.5703125" style="79"/>
    <col min="5121" max="5121" width="3.7109375" style="79" customWidth="1"/>
    <col min="5122" max="5122" width="26.7109375" style="79" customWidth="1"/>
    <col min="5123" max="5123" width="7.7109375" style="79" customWidth="1"/>
    <col min="5124" max="5124" width="5" style="79" customWidth="1"/>
    <col min="5125" max="5125" width="27.7109375" style="79" customWidth="1"/>
    <col min="5126" max="5126" width="14.42578125" style="79" customWidth="1"/>
    <col min="5127" max="5376" width="11.5703125" style="79"/>
    <col min="5377" max="5377" width="3.7109375" style="79" customWidth="1"/>
    <col min="5378" max="5378" width="26.7109375" style="79" customWidth="1"/>
    <col min="5379" max="5379" width="7.7109375" style="79" customWidth="1"/>
    <col min="5380" max="5380" width="5" style="79" customWidth="1"/>
    <col min="5381" max="5381" width="27.7109375" style="79" customWidth="1"/>
    <col min="5382" max="5382" width="14.42578125" style="79" customWidth="1"/>
    <col min="5383" max="5632" width="11.5703125" style="79"/>
    <col min="5633" max="5633" width="3.7109375" style="79" customWidth="1"/>
    <col min="5634" max="5634" width="26.7109375" style="79" customWidth="1"/>
    <col min="5635" max="5635" width="7.7109375" style="79" customWidth="1"/>
    <col min="5636" max="5636" width="5" style="79" customWidth="1"/>
    <col min="5637" max="5637" width="27.7109375" style="79" customWidth="1"/>
    <col min="5638" max="5638" width="14.42578125" style="79" customWidth="1"/>
    <col min="5639" max="5888" width="11.5703125" style="79"/>
    <col min="5889" max="5889" width="3.7109375" style="79" customWidth="1"/>
    <col min="5890" max="5890" width="26.7109375" style="79" customWidth="1"/>
    <col min="5891" max="5891" width="7.7109375" style="79" customWidth="1"/>
    <col min="5892" max="5892" width="5" style="79" customWidth="1"/>
    <col min="5893" max="5893" width="27.7109375" style="79" customWidth="1"/>
    <col min="5894" max="5894" width="14.42578125" style="79" customWidth="1"/>
    <col min="5895" max="6144" width="11.5703125" style="79"/>
    <col min="6145" max="6145" width="3.7109375" style="79" customWidth="1"/>
    <col min="6146" max="6146" width="26.7109375" style="79" customWidth="1"/>
    <col min="6147" max="6147" width="7.7109375" style="79" customWidth="1"/>
    <col min="6148" max="6148" width="5" style="79" customWidth="1"/>
    <col min="6149" max="6149" width="27.7109375" style="79" customWidth="1"/>
    <col min="6150" max="6150" width="14.42578125" style="79" customWidth="1"/>
    <col min="6151" max="6400" width="11.5703125" style="79"/>
    <col min="6401" max="6401" width="3.7109375" style="79" customWidth="1"/>
    <col min="6402" max="6402" width="26.7109375" style="79" customWidth="1"/>
    <col min="6403" max="6403" width="7.7109375" style="79" customWidth="1"/>
    <col min="6404" max="6404" width="5" style="79" customWidth="1"/>
    <col min="6405" max="6405" width="27.7109375" style="79" customWidth="1"/>
    <col min="6406" max="6406" width="14.42578125" style="79" customWidth="1"/>
    <col min="6407" max="6656" width="11.5703125" style="79"/>
    <col min="6657" max="6657" width="3.7109375" style="79" customWidth="1"/>
    <col min="6658" max="6658" width="26.7109375" style="79" customWidth="1"/>
    <col min="6659" max="6659" width="7.7109375" style="79" customWidth="1"/>
    <col min="6660" max="6660" width="5" style="79" customWidth="1"/>
    <col min="6661" max="6661" width="27.7109375" style="79" customWidth="1"/>
    <col min="6662" max="6662" width="14.42578125" style="79" customWidth="1"/>
    <col min="6663" max="6912" width="11.5703125" style="79"/>
    <col min="6913" max="6913" width="3.7109375" style="79" customWidth="1"/>
    <col min="6914" max="6914" width="26.7109375" style="79" customWidth="1"/>
    <col min="6915" max="6915" width="7.7109375" style="79" customWidth="1"/>
    <col min="6916" max="6916" width="5" style="79" customWidth="1"/>
    <col min="6917" max="6917" width="27.7109375" style="79" customWidth="1"/>
    <col min="6918" max="6918" width="14.42578125" style="79" customWidth="1"/>
    <col min="6919" max="7168" width="11.5703125" style="79"/>
    <col min="7169" max="7169" width="3.7109375" style="79" customWidth="1"/>
    <col min="7170" max="7170" width="26.7109375" style="79" customWidth="1"/>
    <col min="7171" max="7171" width="7.7109375" style="79" customWidth="1"/>
    <col min="7172" max="7172" width="5" style="79" customWidth="1"/>
    <col min="7173" max="7173" width="27.7109375" style="79" customWidth="1"/>
    <col min="7174" max="7174" width="14.42578125" style="79" customWidth="1"/>
    <col min="7175" max="7424" width="11.5703125" style="79"/>
    <col min="7425" max="7425" width="3.7109375" style="79" customWidth="1"/>
    <col min="7426" max="7426" width="26.7109375" style="79" customWidth="1"/>
    <col min="7427" max="7427" width="7.7109375" style="79" customWidth="1"/>
    <col min="7428" max="7428" width="5" style="79" customWidth="1"/>
    <col min="7429" max="7429" width="27.7109375" style="79" customWidth="1"/>
    <col min="7430" max="7430" width="14.42578125" style="79" customWidth="1"/>
    <col min="7431" max="7680" width="11.5703125" style="79"/>
    <col min="7681" max="7681" width="3.7109375" style="79" customWidth="1"/>
    <col min="7682" max="7682" width="26.7109375" style="79" customWidth="1"/>
    <col min="7683" max="7683" width="7.7109375" style="79" customWidth="1"/>
    <col min="7684" max="7684" width="5" style="79" customWidth="1"/>
    <col min="7685" max="7685" width="27.7109375" style="79" customWidth="1"/>
    <col min="7686" max="7686" width="14.42578125" style="79" customWidth="1"/>
    <col min="7687" max="7936" width="11.5703125" style="79"/>
    <col min="7937" max="7937" width="3.7109375" style="79" customWidth="1"/>
    <col min="7938" max="7938" width="26.7109375" style="79" customWidth="1"/>
    <col min="7939" max="7939" width="7.7109375" style="79" customWidth="1"/>
    <col min="7940" max="7940" width="5" style="79" customWidth="1"/>
    <col min="7941" max="7941" width="27.7109375" style="79" customWidth="1"/>
    <col min="7942" max="7942" width="14.42578125" style="79" customWidth="1"/>
    <col min="7943" max="8192" width="11.5703125" style="79"/>
    <col min="8193" max="8193" width="3.7109375" style="79" customWidth="1"/>
    <col min="8194" max="8194" width="26.7109375" style="79" customWidth="1"/>
    <col min="8195" max="8195" width="7.7109375" style="79" customWidth="1"/>
    <col min="8196" max="8196" width="5" style="79" customWidth="1"/>
    <col min="8197" max="8197" width="27.7109375" style="79" customWidth="1"/>
    <col min="8198" max="8198" width="14.42578125" style="79" customWidth="1"/>
    <col min="8199" max="8448" width="11.5703125" style="79"/>
    <col min="8449" max="8449" width="3.7109375" style="79" customWidth="1"/>
    <col min="8450" max="8450" width="26.7109375" style="79" customWidth="1"/>
    <col min="8451" max="8451" width="7.7109375" style="79" customWidth="1"/>
    <col min="8452" max="8452" width="5" style="79" customWidth="1"/>
    <col min="8453" max="8453" width="27.7109375" style="79" customWidth="1"/>
    <col min="8454" max="8454" width="14.42578125" style="79" customWidth="1"/>
    <col min="8455" max="8704" width="11.5703125" style="79"/>
    <col min="8705" max="8705" width="3.7109375" style="79" customWidth="1"/>
    <col min="8706" max="8706" width="26.7109375" style="79" customWidth="1"/>
    <col min="8707" max="8707" width="7.7109375" style="79" customWidth="1"/>
    <col min="8708" max="8708" width="5" style="79" customWidth="1"/>
    <col min="8709" max="8709" width="27.7109375" style="79" customWidth="1"/>
    <col min="8710" max="8710" width="14.42578125" style="79" customWidth="1"/>
    <col min="8711" max="8960" width="11.5703125" style="79"/>
    <col min="8961" max="8961" width="3.7109375" style="79" customWidth="1"/>
    <col min="8962" max="8962" width="26.7109375" style="79" customWidth="1"/>
    <col min="8963" max="8963" width="7.7109375" style="79" customWidth="1"/>
    <col min="8964" max="8964" width="5" style="79" customWidth="1"/>
    <col min="8965" max="8965" width="27.7109375" style="79" customWidth="1"/>
    <col min="8966" max="8966" width="14.42578125" style="79" customWidth="1"/>
    <col min="8967" max="9216" width="11.5703125" style="79"/>
    <col min="9217" max="9217" width="3.7109375" style="79" customWidth="1"/>
    <col min="9218" max="9218" width="26.7109375" style="79" customWidth="1"/>
    <col min="9219" max="9219" width="7.7109375" style="79" customWidth="1"/>
    <col min="9220" max="9220" width="5" style="79" customWidth="1"/>
    <col min="9221" max="9221" width="27.7109375" style="79" customWidth="1"/>
    <col min="9222" max="9222" width="14.42578125" style="79" customWidth="1"/>
    <col min="9223" max="9472" width="11.5703125" style="79"/>
    <col min="9473" max="9473" width="3.7109375" style="79" customWidth="1"/>
    <col min="9474" max="9474" width="26.7109375" style="79" customWidth="1"/>
    <col min="9475" max="9475" width="7.7109375" style="79" customWidth="1"/>
    <col min="9476" max="9476" width="5" style="79" customWidth="1"/>
    <col min="9477" max="9477" width="27.7109375" style="79" customWidth="1"/>
    <col min="9478" max="9478" width="14.42578125" style="79" customWidth="1"/>
    <col min="9479" max="9728" width="11.5703125" style="79"/>
    <col min="9729" max="9729" width="3.7109375" style="79" customWidth="1"/>
    <col min="9730" max="9730" width="26.7109375" style="79" customWidth="1"/>
    <col min="9731" max="9731" width="7.7109375" style="79" customWidth="1"/>
    <col min="9732" max="9732" width="5" style="79" customWidth="1"/>
    <col min="9733" max="9733" width="27.7109375" style="79" customWidth="1"/>
    <col min="9734" max="9734" width="14.42578125" style="79" customWidth="1"/>
    <col min="9735" max="9984" width="11.5703125" style="79"/>
    <col min="9985" max="9985" width="3.7109375" style="79" customWidth="1"/>
    <col min="9986" max="9986" width="26.7109375" style="79" customWidth="1"/>
    <col min="9987" max="9987" width="7.7109375" style="79" customWidth="1"/>
    <col min="9988" max="9988" width="5" style="79" customWidth="1"/>
    <col min="9989" max="9989" width="27.7109375" style="79" customWidth="1"/>
    <col min="9990" max="9990" width="14.42578125" style="79" customWidth="1"/>
    <col min="9991" max="10240" width="11.5703125" style="79"/>
    <col min="10241" max="10241" width="3.7109375" style="79" customWidth="1"/>
    <col min="10242" max="10242" width="26.7109375" style="79" customWidth="1"/>
    <col min="10243" max="10243" width="7.7109375" style="79" customWidth="1"/>
    <col min="10244" max="10244" width="5" style="79" customWidth="1"/>
    <col min="10245" max="10245" width="27.7109375" style="79" customWidth="1"/>
    <col min="10246" max="10246" width="14.42578125" style="79" customWidth="1"/>
    <col min="10247" max="10496" width="11.5703125" style="79"/>
    <col min="10497" max="10497" width="3.7109375" style="79" customWidth="1"/>
    <col min="10498" max="10498" width="26.7109375" style="79" customWidth="1"/>
    <col min="10499" max="10499" width="7.7109375" style="79" customWidth="1"/>
    <col min="10500" max="10500" width="5" style="79" customWidth="1"/>
    <col min="10501" max="10501" width="27.7109375" style="79" customWidth="1"/>
    <col min="10502" max="10502" width="14.42578125" style="79" customWidth="1"/>
    <col min="10503" max="10752" width="11.5703125" style="79"/>
    <col min="10753" max="10753" width="3.7109375" style="79" customWidth="1"/>
    <col min="10754" max="10754" width="26.7109375" style="79" customWidth="1"/>
    <col min="10755" max="10755" width="7.7109375" style="79" customWidth="1"/>
    <col min="10756" max="10756" width="5" style="79" customWidth="1"/>
    <col min="10757" max="10757" width="27.7109375" style="79" customWidth="1"/>
    <col min="10758" max="10758" width="14.42578125" style="79" customWidth="1"/>
    <col min="10759" max="11008" width="11.5703125" style="79"/>
    <col min="11009" max="11009" width="3.7109375" style="79" customWidth="1"/>
    <col min="11010" max="11010" width="26.7109375" style="79" customWidth="1"/>
    <col min="11011" max="11011" width="7.7109375" style="79" customWidth="1"/>
    <col min="11012" max="11012" width="5" style="79" customWidth="1"/>
    <col min="11013" max="11013" width="27.7109375" style="79" customWidth="1"/>
    <col min="11014" max="11014" width="14.42578125" style="79" customWidth="1"/>
    <col min="11015" max="11264" width="11.5703125" style="79"/>
    <col min="11265" max="11265" width="3.7109375" style="79" customWidth="1"/>
    <col min="11266" max="11266" width="26.7109375" style="79" customWidth="1"/>
    <col min="11267" max="11267" width="7.7109375" style="79" customWidth="1"/>
    <col min="11268" max="11268" width="5" style="79" customWidth="1"/>
    <col min="11269" max="11269" width="27.7109375" style="79" customWidth="1"/>
    <col min="11270" max="11270" width="14.42578125" style="79" customWidth="1"/>
    <col min="11271" max="11520" width="11.5703125" style="79"/>
    <col min="11521" max="11521" width="3.7109375" style="79" customWidth="1"/>
    <col min="11522" max="11522" width="26.7109375" style="79" customWidth="1"/>
    <col min="11523" max="11523" width="7.7109375" style="79" customWidth="1"/>
    <col min="11524" max="11524" width="5" style="79" customWidth="1"/>
    <col min="11525" max="11525" width="27.7109375" style="79" customWidth="1"/>
    <col min="11526" max="11526" width="14.42578125" style="79" customWidth="1"/>
    <col min="11527" max="11776" width="11.5703125" style="79"/>
    <col min="11777" max="11777" width="3.7109375" style="79" customWidth="1"/>
    <col min="11778" max="11778" width="26.7109375" style="79" customWidth="1"/>
    <col min="11779" max="11779" width="7.7109375" style="79" customWidth="1"/>
    <col min="11780" max="11780" width="5" style="79" customWidth="1"/>
    <col min="11781" max="11781" width="27.7109375" style="79" customWidth="1"/>
    <col min="11782" max="11782" width="14.42578125" style="79" customWidth="1"/>
    <col min="11783" max="12032" width="11.5703125" style="79"/>
    <col min="12033" max="12033" width="3.7109375" style="79" customWidth="1"/>
    <col min="12034" max="12034" width="26.7109375" style="79" customWidth="1"/>
    <col min="12035" max="12035" width="7.7109375" style="79" customWidth="1"/>
    <col min="12036" max="12036" width="5" style="79" customWidth="1"/>
    <col min="12037" max="12037" width="27.7109375" style="79" customWidth="1"/>
    <col min="12038" max="12038" width="14.42578125" style="79" customWidth="1"/>
    <col min="12039" max="12288" width="11.5703125" style="79"/>
    <col min="12289" max="12289" width="3.7109375" style="79" customWidth="1"/>
    <col min="12290" max="12290" width="26.7109375" style="79" customWidth="1"/>
    <col min="12291" max="12291" width="7.7109375" style="79" customWidth="1"/>
    <col min="12292" max="12292" width="5" style="79" customWidth="1"/>
    <col min="12293" max="12293" width="27.7109375" style="79" customWidth="1"/>
    <col min="12294" max="12294" width="14.42578125" style="79" customWidth="1"/>
    <col min="12295" max="12544" width="11.5703125" style="79"/>
    <col min="12545" max="12545" width="3.7109375" style="79" customWidth="1"/>
    <col min="12546" max="12546" width="26.7109375" style="79" customWidth="1"/>
    <col min="12547" max="12547" width="7.7109375" style="79" customWidth="1"/>
    <col min="12548" max="12548" width="5" style="79" customWidth="1"/>
    <col min="12549" max="12549" width="27.7109375" style="79" customWidth="1"/>
    <col min="12550" max="12550" width="14.42578125" style="79" customWidth="1"/>
    <col min="12551" max="12800" width="11.5703125" style="79"/>
    <col min="12801" max="12801" width="3.7109375" style="79" customWidth="1"/>
    <col min="12802" max="12802" width="26.7109375" style="79" customWidth="1"/>
    <col min="12803" max="12803" width="7.7109375" style="79" customWidth="1"/>
    <col min="12804" max="12804" width="5" style="79" customWidth="1"/>
    <col min="12805" max="12805" width="27.7109375" style="79" customWidth="1"/>
    <col min="12806" max="12806" width="14.42578125" style="79" customWidth="1"/>
    <col min="12807" max="13056" width="11.5703125" style="79"/>
    <col min="13057" max="13057" width="3.7109375" style="79" customWidth="1"/>
    <col min="13058" max="13058" width="26.7109375" style="79" customWidth="1"/>
    <col min="13059" max="13059" width="7.7109375" style="79" customWidth="1"/>
    <col min="13060" max="13060" width="5" style="79" customWidth="1"/>
    <col min="13061" max="13061" width="27.7109375" style="79" customWidth="1"/>
    <col min="13062" max="13062" width="14.42578125" style="79" customWidth="1"/>
    <col min="13063" max="13312" width="11.5703125" style="79"/>
    <col min="13313" max="13313" width="3.7109375" style="79" customWidth="1"/>
    <col min="13314" max="13314" width="26.7109375" style="79" customWidth="1"/>
    <col min="13315" max="13315" width="7.7109375" style="79" customWidth="1"/>
    <col min="13316" max="13316" width="5" style="79" customWidth="1"/>
    <col min="13317" max="13317" width="27.7109375" style="79" customWidth="1"/>
    <col min="13318" max="13318" width="14.42578125" style="79" customWidth="1"/>
    <col min="13319" max="13568" width="11.5703125" style="79"/>
    <col min="13569" max="13569" width="3.7109375" style="79" customWidth="1"/>
    <col min="13570" max="13570" width="26.7109375" style="79" customWidth="1"/>
    <col min="13571" max="13571" width="7.7109375" style="79" customWidth="1"/>
    <col min="13572" max="13572" width="5" style="79" customWidth="1"/>
    <col min="13573" max="13573" width="27.7109375" style="79" customWidth="1"/>
    <col min="13574" max="13574" width="14.42578125" style="79" customWidth="1"/>
    <col min="13575" max="13824" width="11.5703125" style="79"/>
    <col min="13825" max="13825" width="3.7109375" style="79" customWidth="1"/>
    <col min="13826" max="13826" width="26.7109375" style="79" customWidth="1"/>
    <col min="13827" max="13827" width="7.7109375" style="79" customWidth="1"/>
    <col min="13828" max="13828" width="5" style="79" customWidth="1"/>
    <col min="13829" max="13829" width="27.7109375" style="79" customWidth="1"/>
    <col min="13830" max="13830" width="14.42578125" style="79" customWidth="1"/>
    <col min="13831" max="14080" width="11.5703125" style="79"/>
    <col min="14081" max="14081" width="3.7109375" style="79" customWidth="1"/>
    <col min="14082" max="14082" width="26.7109375" style="79" customWidth="1"/>
    <col min="14083" max="14083" width="7.7109375" style="79" customWidth="1"/>
    <col min="14084" max="14084" width="5" style="79" customWidth="1"/>
    <col min="14085" max="14085" width="27.7109375" style="79" customWidth="1"/>
    <col min="14086" max="14086" width="14.42578125" style="79" customWidth="1"/>
    <col min="14087" max="14336" width="11.5703125" style="79"/>
    <col min="14337" max="14337" width="3.7109375" style="79" customWidth="1"/>
    <col min="14338" max="14338" width="26.7109375" style="79" customWidth="1"/>
    <col min="14339" max="14339" width="7.7109375" style="79" customWidth="1"/>
    <col min="14340" max="14340" width="5" style="79" customWidth="1"/>
    <col min="14341" max="14341" width="27.7109375" style="79" customWidth="1"/>
    <col min="14342" max="14342" width="14.42578125" style="79" customWidth="1"/>
    <col min="14343" max="14592" width="11.5703125" style="79"/>
    <col min="14593" max="14593" width="3.7109375" style="79" customWidth="1"/>
    <col min="14594" max="14594" width="26.7109375" style="79" customWidth="1"/>
    <col min="14595" max="14595" width="7.7109375" style="79" customWidth="1"/>
    <col min="14596" max="14596" width="5" style="79" customWidth="1"/>
    <col min="14597" max="14597" width="27.7109375" style="79" customWidth="1"/>
    <col min="14598" max="14598" width="14.42578125" style="79" customWidth="1"/>
    <col min="14599" max="14848" width="11.5703125" style="79"/>
    <col min="14849" max="14849" width="3.7109375" style="79" customWidth="1"/>
    <col min="14850" max="14850" width="26.7109375" style="79" customWidth="1"/>
    <col min="14851" max="14851" width="7.7109375" style="79" customWidth="1"/>
    <col min="14852" max="14852" width="5" style="79" customWidth="1"/>
    <col min="14853" max="14853" width="27.7109375" style="79" customWidth="1"/>
    <col min="14854" max="14854" width="14.42578125" style="79" customWidth="1"/>
    <col min="14855" max="15104" width="11.5703125" style="79"/>
    <col min="15105" max="15105" width="3.7109375" style="79" customWidth="1"/>
    <col min="15106" max="15106" width="26.7109375" style="79" customWidth="1"/>
    <col min="15107" max="15107" width="7.7109375" style="79" customWidth="1"/>
    <col min="15108" max="15108" width="5" style="79" customWidth="1"/>
    <col min="15109" max="15109" width="27.7109375" style="79" customWidth="1"/>
    <col min="15110" max="15110" width="14.42578125" style="79" customWidth="1"/>
    <col min="15111" max="15360" width="11.5703125" style="79"/>
    <col min="15361" max="15361" width="3.7109375" style="79" customWidth="1"/>
    <col min="15362" max="15362" width="26.7109375" style="79" customWidth="1"/>
    <col min="15363" max="15363" width="7.7109375" style="79" customWidth="1"/>
    <col min="15364" max="15364" width="5" style="79" customWidth="1"/>
    <col min="15365" max="15365" width="27.7109375" style="79" customWidth="1"/>
    <col min="15366" max="15366" width="14.42578125" style="79" customWidth="1"/>
    <col min="15367" max="15616" width="11.5703125" style="79"/>
    <col min="15617" max="15617" width="3.7109375" style="79" customWidth="1"/>
    <col min="15618" max="15618" width="26.7109375" style="79" customWidth="1"/>
    <col min="15619" max="15619" width="7.7109375" style="79" customWidth="1"/>
    <col min="15620" max="15620" width="5" style="79" customWidth="1"/>
    <col min="15621" max="15621" width="27.7109375" style="79" customWidth="1"/>
    <col min="15622" max="15622" width="14.42578125" style="79" customWidth="1"/>
    <col min="15623" max="15872" width="11.5703125" style="79"/>
    <col min="15873" max="15873" width="3.7109375" style="79" customWidth="1"/>
    <col min="15874" max="15874" width="26.7109375" style="79" customWidth="1"/>
    <col min="15875" max="15875" width="7.7109375" style="79" customWidth="1"/>
    <col min="15876" max="15876" width="5" style="79" customWidth="1"/>
    <col min="15877" max="15877" width="27.7109375" style="79" customWidth="1"/>
    <col min="15878" max="15878" width="14.42578125" style="79" customWidth="1"/>
    <col min="15879" max="16128" width="11.5703125" style="79"/>
    <col min="16129" max="16129" width="3.7109375" style="79" customWidth="1"/>
    <col min="16130" max="16130" width="26.7109375" style="79" customWidth="1"/>
    <col min="16131" max="16131" width="7.7109375" style="79" customWidth="1"/>
    <col min="16132" max="16132" width="5" style="79" customWidth="1"/>
    <col min="16133" max="16133" width="27.7109375" style="79" customWidth="1"/>
    <col min="16134" max="16134" width="14.42578125" style="79" customWidth="1"/>
    <col min="16135" max="16384" width="11.5703125" style="79"/>
  </cols>
  <sheetData>
    <row r="1" spans="1:7" ht="51.2" customHeight="1" x14ac:dyDescent="0.2">
      <c r="A1" s="161" t="s">
        <v>52</v>
      </c>
      <c r="B1" s="161"/>
      <c r="C1" s="162" t="s">
        <v>53</v>
      </c>
      <c r="D1" s="162"/>
      <c r="E1" s="162"/>
      <c r="F1" s="162"/>
      <c r="G1" s="162"/>
    </row>
    <row r="2" spans="1:7" x14ac:dyDescent="0.2">
      <c r="A2" s="80"/>
      <c r="B2" s="80"/>
      <c r="C2" s="81"/>
      <c r="D2" s="81"/>
      <c r="E2" s="81"/>
      <c r="F2" s="81"/>
      <c r="G2" s="81"/>
    </row>
    <row r="3" spans="1:7" x14ac:dyDescent="0.2">
      <c r="A3" s="80"/>
      <c r="B3" s="80"/>
      <c r="C3" s="81"/>
      <c r="D3" s="81"/>
      <c r="E3" s="81"/>
      <c r="F3" s="81"/>
      <c r="G3" s="81"/>
    </row>
    <row r="4" spans="1:7" x14ac:dyDescent="0.2">
      <c r="A4" s="79"/>
      <c r="B4" s="163" t="s">
        <v>361</v>
      </c>
      <c r="C4" s="163"/>
      <c r="D4" s="163"/>
      <c r="E4" s="163"/>
      <c r="F4" s="163"/>
      <c r="G4" s="79"/>
    </row>
    <row r="5" spans="1:7" x14ac:dyDescent="0.2">
      <c r="A5" s="79"/>
      <c r="B5" s="164" t="s">
        <v>370</v>
      </c>
      <c r="C5" s="164"/>
      <c r="D5" s="164"/>
      <c r="E5" s="164"/>
      <c r="F5" s="164"/>
      <c r="G5" s="79"/>
    </row>
    <row r="6" spans="1:7" x14ac:dyDescent="0.2">
      <c r="A6" s="79"/>
      <c r="B6" s="79"/>
      <c r="C6" s="82"/>
      <c r="D6" s="82"/>
      <c r="E6" s="82"/>
      <c r="F6" s="79"/>
      <c r="G6" s="79"/>
    </row>
    <row r="7" spans="1:7" ht="38.25" customHeight="1" x14ac:dyDescent="0.2">
      <c r="A7" s="159" t="s">
        <v>54</v>
      </c>
      <c r="B7" s="159"/>
      <c r="C7" s="159"/>
      <c r="D7" s="165" t="s">
        <v>383</v>
      </c>
      <c r="E7" s="165"/>
      <c r="F7" s="165"/>
      <c r="G7" s="165"/>
    </row>
    <row r="8" spans="1:7" x14ac:dyDescent="0.2">
      <c r="A8" s="83"/>
      <c r="B8" s="83"/>
      <c r="C8" s="84"/>
      <c r="D8" s="85"/>
      <c r="E8" s="85"/>
      <c r="F8" s="85"/>
      <c r="G8" s="85"/>
    </row>
    <row r="9" spans="1:7" ht="12.75" customHeight="1" x14ac:dyDescent="0.2">
      <c r="A9" s="159" t="s">
        <v>55</v>
      </c>
      <c r="B9" s="159"/>
      <c r="C9" s="159"/>
      <c r="D9" s="160" t="s">
        <v>380</v>
      </c>
      <c r="E9" s="160"/>
      <c r="F9" s="160"/>
      <c r="G9" s="160"/>
    </row>
    <row r="10" spans="1:7" x14ac:dyDescent="0.2">
      <c r="A10" s="79"/>
      <c r="B10" s="79"/>
      <c r="C10" s="79"/>
      <c r="D10" s="160"/>
      <c r="E10" s="160"/>
      <c r="F10" s="160"/>
      <c r="G10" s="160"/>
    </row>
    <row r="12" spans="1:7" ht="32.25" customHeight="1" x14ac:dyDescent="0.2">
      <c r="A12" s="87" t="s">
        <v>56</v>
      </c>
      <c r="B12" s="87" t="s">
        <v>15</v>
      </c>
      <c r="C12" s="87" t="s">
        <v>57</v>
      </c>
      <c r="D12" s="87" t="s">
        <v>58</v>
      </c>
      <c r="E12" s="87" t="s">
        <v>18</v>
      </c>
      <c r="F12" s="87" t="s">
        <v>5</v>
      </c>
      <c r="G12" s="87" t="s">
        <v>6</v>
      </c>
    </row>
    <row r="13" spans="1:7" x14ac:dyDescent="0.2">
      <c r="A13" s="88">
        <v>1</v>
      </c>
      <c r="B13" s="89">
        <v>2</v>
      </c>
      <c r="C13" s="89">
        <v>3</v>
      </c>
      <c r="D13" s="89">
        <v>4</v>
      </c>
      <c r="E13" s="89">
        <v>5</v>
      </c>
      <c r="F13" s="89">
        <v>6</v>
      </c>
      <c r="G13" s="89">
        <v>7</v>
      </c>
    </row>
    <row r="14" spans="1:7" ht="12.75" customHeight="1" x14ac:dyDescent="0.2">
      <c r="A14" s="90" t="s">
        <v>7</v>
      </c>
      <c r="B14" s="91" t="s">
        <v>59</v>
      </c>
      <c r="C14" s="91"/>
      <c r="D14" s="91"/>
      <c r="E14" s="91" t="s">
        <v>21</v>
      </c>
      <c r="F14" s="91"/>
      <c r="G14" s="92"/>
    </row>
    <row r="15" spans="1:7" ht="140.25" customHeight="1" x14ac:dyDescent="0.2">
      <c r="A15" s="93" t="s">
        <v>60</v>
      </c>
      <c r="B15" s="94" t="s">
        <v>61</v>
      </c>
      <c r="C15" s="95" t="s">
        <v>62</v>
      </c>
      <c r="D15" s="95">
        <v>2</v>
      </c>
      <c r="E15" s="95" t="s">
        <v>63</v>
      </c>
      <c r="F15" s="95" t="s">
        <v>64</v>
      </c>
      <c r="G15" s="96">
        <f>ROUND(0.243  * 2 * 4.55,3)</f>
        <v>2.2109999999999999</v>
      </c>
    </row>
    <row r="16" spans="1:7" ht="15.75" customHeight="1" x14ac:dyDescent="0.2">
      <c r="A16" s="97" t="s">
        <v>65</v>
      </c>
      <c r="B16" s="98" t="s">
        <v>66</v>
      </c>
      <c r="C16" s="98"/>
      <c r="D16" s="98"/>
      <c r="E16" s="98"/>
      <c r="F16" s="98"/>
      <c r="G16" s="99"/>
    </row>
    <row r="17" spans="1:7" ht="12.75" customHeight="1" x14ac:dyDescent="0.2">
      <c r="A17" s="100" t="s">
        <v>65</v>
      </c>
      <c r="B17" s="101" t="s">
        <v>67</v>
      </c>
      <c r="C17" s="101"/>
      <c r="D17" s="101"/>
      <c r="E17" s="101"/>
      <c r="F17" s="101"/>
      <c r="G17" s="102"/>
    </row>
    <row r="18" spans="1:7" ht="38.25" customHeight="1" x14ac:dyDescent="0.2">
      <c r="A18" s="100" t="s">
        <v>65</v>
      </c>
      <c r="B18" s="101" t="s">
        <v>68</v>
      </c>
      <c r="C18" s="101"/>
      <c r="D18" s="101"/>
      <c r="E18" s="101" t="s">
        <v>69</v>
      </c>
      <c r="F18" s="101"/>
      <c r="G18" s="102"/>
    </row>
    <row r="19" spans="1:7" ht="15.75" customHeight="1" x14ac:dyDescent="0.2">
      <c r="A19" s="100" t="s">
        <v>65</v>
      </c>
      <c r="B19" s="103" t="s">
        <v>70</v>
      </c>
      <c r="C19" s="103"/>
      <c r="D19" s="103"/>
      <c r="E19" s="103"/>
      <c r="F19" s="103"/>
      <c r="G19" s="104"/>
    </row>
    <row r="20" spans="1:7" ht="12.75" customHeight="1" x14ac:dyDescent="0.2">
      <c r="A20" s="105" t="s">
        <v>65</v>
      </c>
      <c r="B20" s="106" t="s">
        <v>71</v>
      </c>
      <c r="C20" s="106"/>
      <c r="D20" s="106"/>
      <c r="E20" s="107">
        <v>1</v>
      </c>
      <c r="F20" s="106"/>
      <c r="G20" s="108"/>
    </row>
    <row r="21" spans="1:7" ht="140.25" customHeight="1" x14ac:dyDescent="0.2">
      <c r="A21" s="109" t="s">
        <v>72</v>
      </c>
      <c r="B21" s="110" t="s">
        <v>73</v>
      </c>
      <c r="C21" s="111" t="s">
        <v>19</v>
      </c>
      <c r="D21" s="111">
        <v>4</v>
      </c>
      <c r="E21" s="111" t="s">
        <v>74</v>
      </c>
      <c r="F21" s="111" t="s">
        <v>75</v>
      </c>
      <c r="G21" s="112">
        <f>ROUND(2.432  * 4 * 4.55,3)</f>
        <v>44.262</v>
      </c>
    </row>
    <row r="22" spans="1:7" ht="15.75" customHeight="1" x14ac:dyDescent="0.2">
      <c r="A22" s="97" t="s">
        <v>65</v>
      </c>
      <c r="B22" s="98" t="s">
        <v>66</v>
      </c>
      <c r="C22" s="98"/>
      <c r="D22" s="98"/>
      <c r="E22" s="98"/>
      <c r="F22" s="98"/>
      <c r="G22" s="99"/>
    </row>
    <row r="23" spans="1:7" ht="12.75" customHeight="1" x14ac:dyDescent="0.2">
      <c r="A23" s="100" t="s">
        <v>65</v>
      </c>
      <c r="B23" s="101" t="s">
        <v>67</v>
      </c>
      <c r="C23" s="101"/>
      <c r="D23" s="101"/>
      <c r="E23" s="101"/>
      <c r="F23" s="101"/>
      <c r="G23" s="102"/>
    </row>
    <row r="24" spans="1:7" ht="38.25" customHeight="1" x14ac:dyDescent="0.2">
      <c r="A24" s="100" t="s">
        <v>65</v>
      </c>
      <c r="B24" s="101" t="s">
        <v>68</v>
      </c>
      <c r="C24" s="101"/>
      <c r="D24" s="101"/>
      <c r="E24" s="101" t="s">
        <v>69</v>
      </c>
      <c r="F24" s="101"/>
      <c r="G24" s="102"/>
    </row>
    <row r="25" spans="1:7" ht="15.75" customHeight="1" x14ac:dyDescent="0.2">
      <c r="A25" s="100" t="s">
        <v>65</v>
      </c>
      <c r="B25" s="103" t="s">
        <v>70</v>
      </c>
      <c r="C25" s="103"/>
      <c r="D25" s="103"/>
      <c r="E25" s="103"/>
      <c r="F25" s="103"/>
      <c r="G25" s="104"/>
    </row>
    <row r="26" spans="1:7" ht="12.75" customHeight="1" x14ac:dyDescent="0.2">
      <c r="A26" s="105" t="s">
        <v>65</v>
      </c>
      <c r="B26" s="106" t="s">
        <v>71</v>
      </c>
      <c r="C26" s="106"/>
      <c r="D26" s="106"/>
      <c r="E26" s="107">
        <v>1</v>
      </c>
      <c r="F26" s="106"/>
      <c r="G26" s="108"/>
    </row>
    <row r="27" spans="1:7" ht="12.75" customHeight="1" x14ac:dyDescent="0.2">
      <c r="A27" s="105" t="s">
        <v>76</v>
      </c>
      <c r="B27" s="113" t="s">
        <v>77</v>
      </c>
      <c r="C27" s="113"/>
      <c r="D27" s="113"/>
      <c r="E27" s="113"/>
      <c r="F27" s="113"/>
      <c r="G27" s="114">
        <f>ROUND((SUM($G$15:$G$21)),3)</f>
        <v>46.472999999999999</v>
      </c>
    </row>
    <row r="28" spans="1:7" ht="12.75" customHeight="1" x14ac:dyDescent="0.2">
      <c r="A28" s="90" t="s">
        <v>78</v>
      </c>
      <c r="B28" s="91" t="s">
        <v>79</v>
      </c>
      <c r="C28" s="91"/>
      <c r="D28" s="91"/>
      <c r="E28" s="91"/>
      <c r="F28" s="91"/>
      <c r="G28" s="115">
        <f>ROUND(($G$27),3)</f>
        <v>46.472999999999999</v>
      </c>
    </row>
    <row r="29" spans="1:7" ht="12.75" customHeight="1" x14ac:dyDescent="0.2">
      <c r="A29" s="90" t="s">
        <v>10</v>
      </c>
      <c r="B29" s="91" t="s">
        <v>59</v>
      </c>
      <c r="C29" s="91"/>
      <c r="D29" s="91"/>
      <c r="E29" s="91" t="s">
        <v>23</v>
      </c>
      <c r="F29" s="91"/>
      <c r="G29" s="92"/>
    </row>
    <row r="30" spans="1:7" ht="140.25" customHeight="1" x14ac:dyDescent="0.2">
      <c r="A30" s="93" t="s">
        <v>80</v>
      </c>
      <c r="B30" s="94" t="s">
        <v>73</v>
      </c>
      <c r="C30" s="95" t="s">
        <v>19</v>
      </c>
      <c r="D30" s="95">
        <v>4</v>
      </c>
      <c r="E30" s="95" t="s">
        <v>81</v>
      </c>
      <c r="F30" s="95" t="s">
        <v>82</v>
      </c>
      <c r="G30" s="96">
        <f>ROUND(0.589  * 4 * 4.55,3)</f>
        <v>10.72</v>
      </c>
    </row>
    <row r="31" spans="1:7" ht="15.75" customHeight="1" x14ac:dyDescent="0.2">
      <c r="A31" s="97" t="s">
        <v>65</v>
      </c>
      <c r="B31" s="98" t="s">
        <v>66</v>
      </c>
      <c r="C31" s="98"/>
      <c r="D31" s="98"/>
      <c r="E31" s="98"/>
      <c r="F31" s="98"/>
      <c r="G31" s="99"/>
    </row>
    <row r="32" spans="1:7" ht="12.75" customHeight="1" x14ac:dyDescent="0.2">
      <c r="A32" s="116" t="s">
        <v>65</v>
      </c>
      <c r="B32" s="117" t="s">
        <v>67</v>
      </c>
      <c r="C32" s="117"/>
      <c r="D32" s="117"/>
      <c r="E32" s="117"/>
      <c r="F32" s="117"/>
      <c r="G32" s="118"/>
    </row>
    <row r="33" spans="1:7" ht="38.25" customHeight="1" x14ac:dyDescent="0.2">
      <c r="A33" s="116" t="s">
        <v>65</v>
      </c>
      <c r="B33" s="117" t="s">
        <v>68</v>
      </c>
      <c r="C33" s="117"/>
      <c r="D33" s="117"/>
      <c r="E33" s="117" t="s">
        <v>69</v>
      </c>
      <c r="F33" s="117"/>
      <c r="G33" s="118"/>
    </row>
    <row r="34" spans="1:7" ht="15.75" customHeight="1" x14ac:dyDescent="0.2">
      <c r="A34" s="116" t="s">
        <v>65</v>
      </c>
      <c r="B34" s="119" t="s">
        <v>70</v>
      </c>
      <c r="C34" s="119"/>
      <c r="D34" s="119"/>
      <c r="E34" s="119"/>
      <c r="F34" s="119"/>
      <c r="G34" s="120"/>
    </row>
    <row r="35" spans="1:7" ht="12.75" customHeight="1" x14ac:dyDescent="0.2">
      <c r="A35" s="121" t="s">
        <v>65</v>
      </c>
      <c r="B35" s="122" t="s">
        <v>71</v>
      </c>
      <c r="C35" s="122"/>
      <c r="D35" s="122"/>
      <c r="E35" s="123">
        <v>1</v>
      </c>
      <c r="F35" s="122"/>
      <c r="G35" s="124"/>
    </row>
    <row r="36" spans="1:7" ht="25.5" customHeight="1" x14ac:dyDescent="0.2">
      <c r="A36" s="121" t="s">
        <v>83</v>
      </c>
      <c r="B36" s="125" t="s">
        <v>84</v>
      </c>
      <c r="C36" s="125"/>
      <c r="D36" s="125"/>
      <c r="E36" s="125"/>
      <c r="F36" s="125"/>
      <c r="G36" s="126">
        <f>ROUND(($G$30),3)</f>
        <v>10.72</v>
      </c>
    </row>
    <row r="37" spans="1:7" ht="25.5" customHeight="1" x14ac:dyDescent="0.2">
      <c r="A37" s="90" t="s">
        <v>85</v>
      </c>
      <c r="B37" s="91" t="s">
        <v>86</v>
      </c>
      <c r="C37" s="91"/>
      <c r="D37" s="91"/>
      <c r="E37" s="91"/>
      <c r="F37" s="91"/>
      <c r="G37" s="115">
        <f>ROUND(($G$36),3)</f>
        <v>10.72</v>
      </c>
    </row>
    <row r="38" spans="1:7" ht="12.75" customHeight="1" x14ac:dyDescent="0.2">
      <c r="A38" s="90" t="s">
        <v>87</v>
      </c>
      <c r="B38" s="91" t="s">
        <v>59</v>
      </c>
      <c r="C38" s="91"/>
      <c r="D38" s="91"/>
      <c r="E38" s="91" t="s">
        <v>88</v>
      </c>
      <c r="F38" s="91"/>
      <c r="G38" s="92"/>
    </row>
    <row r="39" spans="1:7" ht="76.5" customHeight="1" x14ac:dyDescent="0.2">
      <c r="A39" s="90" t="s">
        <v>89</v>
      </c>
      <c r="B39" s="127" t="s">
        <v>90</v>
      </c>
      <c r="C39" s="127"/>
      <c r="D39" s="127"/>
      <c r="E39" s="127" t="s">
        <v>91</v>
      </c>
      <c r="F39" s="127" t="s">
        <v>92</v>
      </c>
      <c r="G39" s="128">
        <f>ROUND(($G$37) * 1.2 * 1,3)</f>
        <v>12.864000000000001</v>
      </c>
    </row>
    <row r="40" spans="1:7" ht="12.75" customHeight="1" x14ac:dyDescent="0.2">
      <c r="A40" s="90" t="s">
        <v>93</v>
      </c>
      <c r="B40" s="91" t="s">
        <v>94</v>
      </c>
      <c r="C40" s="91"/>
      <c r="D40" s="91"/>
      <c r="E40" s="91"/>
      <c r="F40" s="91"/>
      <c r="G40" s="115">
        <f>ROUND(($G$39),3)</f>
        <v>12.864000000000001</v>
      </c>
    </row>
    <row r="41" spans="1:7" ht="12.75" customHeight="1" x14ac:dyDescent="0.2">
      <c r="A41" s="90" t="s">
        <v>95</v>
      </c>
      <c r="B41" s="91" t="s">
        <v>96</v>
      </c>
      <c r="C41" s="91"/>
      <c r="D41" s="91"/>
      <c r="E41" s="91"/>
      <c r="F41" s="91"/>
      <c r="G41" s="115">
        <f>ROUND(($G$28 + $G$37 + $G$40),3)</f>
        <v>70.057000000000002</v>
      </c>
    </row>
    <row r="42" spans="1:7" ht="12.75" customHeight="1" x14ac:dyDescent="0.2">
      <c r="A42" s="90" t="s">
        <v>97</v>
      </c>
      <c r="B42" s="127" t="s">
        <v>98</v>
      </c>
      <c r="C42" s="127"/>
      <c r="D42" s="127"/>
      <c r="E42" s="127"/>
      <c r="F42" s="127" t="s">
        <v>99</v>
      </c>
      <c r="G42" s="128">
        <f>ROUND(($G$41) * 20 / 100 * 1,3)</f>
        <v>14.010999999999999</v>
      </c>
    </row>
    <row r="43" spans="1:7" ht="12.75" customHeight="1" x14ac:dyDescent="0.2">
      <c r="A43" s="90" t="s">
        <v>100</v>
      </c>
      <c r="B43" s="91" t="s">
        <v>101</v>
      </c>
      <c r="C43" s="91"/>
      <c r="D43" s="91"/>
      <c r="E43" s="91"/>
      <c r="F43" s="91"/>
      <c r="G43" s="115">
        <f>ROUND((SUM($G$41:$G$42)),3)</f>
        <v>84.067999999999998</v>
      </c>
    </row>
    <row r="44" spans="1:7" ht="12.75" customHeight="1" x14ac:dyDescent="0.2"/>
  </sheetData>
  <mergeCells count="8">
    <mergeCell ref="A9:C9"/>
    <mergeCell ref="D9:G10"/>
    <mergeCell ref="A1:B1"/>
    <mergeCell ref="C1:G1"/>
    <mergeCell ref="B4:F4"/>
    <mergeCell ref="B5:F5"/>
    <mergeCell ref="A7:C7"/>
    <mergeCell ref="D7:G7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6C857-F973-4A53-87DD-9C13E4A7823D}">
  <sheetPr codeName="Лист2"/>
  <dimension ref="A1:G177"/>
  <sheetViews>
    <sheetView view="pageBreakPreview" topLeftCell="A3" zoomScale="145" zoomScaleNormal="55" zoomScaleSheetLayoutView="145" workbookViewId="0">
      <selection activeCell="D7" sqref="D7:G7"/>
    </sheetView>
  </sheetViews>
  <sheetFormatPr defaultColWidth="11.5703125" defaultRowHeight="12.75" x14ac:dyDescent="0.2"/>
  <cols>
    <col min="1" max="1" width="3.7109375" style="86" customWidth="1"/>
    <col min="2" max="2" width="26.7109375" style="86" customWidth="1"/>
    <col min="3" max="3" width="7.7109375" style="86" customWidth="1"/>
    <col min="4" max="4" width="5" style="86" customWidth="1"/>
    <col min="5" max="5" width="27.7109375" style="86" customWidth="1"/>
    <col min="6" max="6" width="14.42578125" style="86" customWidth="1"/>
    <col min="7" max="7" width="11.5703125" style="86" customWidth="1"/>
    <col min="8" max="256" width="11.5703125" style="79"/>
    <col min="257" max="257" width="3.7109375" style="79" customWidth="1"/>
    <col min="258" max="258" width="26.7109375" style="79" customWidth="1"/>
    <col min="259" max="259" width="7.7109375" style="79" customWidth="1"/>
    <col min="260" max="260" width="5" style="79" customWidth="1"/>
    <col min="261" max="261" width="27.7109375" style="79" customWidth="1"/>
    <col min="262" max="262" width="14.42578125" style="79" customWidth="1"/>
    <col min="263" max="512" width="11.5703125" style="79"/>
    <col min="513" max="513" width="3.7109375" style="79" customWidth="1"/>
    <col min="514" max="514" width="26.7109375" style="79" customWidth="1"/>
    <col min="515" max="515" width="7.7109375" style="79" customWidth="1"/>
    <col min="516" max="516" width="5" style="79" customWidth="1"/>
    <col min="517" max="517" width="27.7109375" style="79" customWidth="1"/>
    <col min="518" max="518" width="14.42578125" style="79" customWidth="1"/>
    <col min="519" max="768" width="11.5703125" style="79"/>
    <col min="769" max="769" width="3.7109375" style="79" customWidth="1"/>
    <col min="770" max="770" width="26.7109375" style="79" customWidth="1"/>
    <col min="771" max="771" width="7.7109375" style="79" customWidth="1"/>
    <col min="772" max="772" width="5" style="79" customWidth="1"/>
    <col min="773" max="773" width="27.7109375" style="79" customWidth="1"/>
    <col min="774" max="774" width="14.42578125" style="79" customWidth="1"/>
    <col min="775" max="1024" width="11.5703125" style="79"/>
    <col min="1025" max="1025" width="3.7109375" style="79" customWidth="1"/>
    <col min="1026" max="1026" width="26.7109375" style="79" customWidth="1"/>
    <col min="1027" max="1027" width="7.7109375" style="79" customWidth="1"/>
    <col min="1028" max="1028" width="5" style="79" customWidth="1"/>
    <col min="1029" max="1029" width="27.7109375" style="79" customWidth="1"/>
    <col min="1030" max="1030" width="14.42578125" style="79" customWidth="1"/>
    <col min="1031" max="1280" width="11.5703125" style="79"/>
    <col min="1281" max="1281" width="3.7109375" style="79" customWidth="1"/>
    <col min="1282" max="1282" width="26.7109375" style="79" customWidth="1"/>
    <col min="1283" max="1283" width="7.7109375" style="79" customWidth="1"/>
    <col min="1284" max="1284" width="5" style="79" customWidth="1"/>
    <col min="1285" max="1285" width="27.7109375" style="79" customWidth="1"/>
    <col min="1286" max="1286" width="14.42578125" style="79" customWidth="1"/>
    <col min="1287" max="1536" width="11.5703125" style="79"/>
    <col min="1537" max="1537" width="3.7109375" style="79" customWidth="1"/>
    <col min="1538" max="1538" width="26.7109375" style="79" customWidth="1"/>
    <col min="1539" max="1539" width="7.7109375" style="79" customWidth="1"/>
    <col min="1540" max="1540" width="5" style="79" customWidth="1"/>
    <col min="1541" max="1541" width="27.7109375" style="79" customWidth="1"/>
    <col min="1542" max="1542" width="14.42578125" style="79" customWidth="1"/>
    <col min="1543" max="1792" width="11.5703125" style="79"/>
    <col min="1793" max="1793" width="3.7109375" style="79" customWidth="1"/>
    <col min="1794" max="1794" width="26.7109375" style="79" customWidth="1"/>
    <col min="1795" max="1795" width="7.7109375" style="79" customWidth="1"/>
    <col min="1796" max="1796" width="5" style="79" customWidth="1"/>
    <col min="1797" max="1797" width="27.7109375" style="79" customWidth="1"/>
    <col min="1798" max="1798" width="14.42578125" style="79" customWidth="1"/>
    <col min="1799" max="2048" width="11.5703125" style="79"/>
    <col min="2049" max="2049" width="3.7109375" style="79" customWidth="1"/>
    <col min="2050" max="2050" width="26.7109375" style="79" customWidth="1"/>
    <col min="2051" max="2051" width="7.7109375" style="79" customWidth="1"/>
    <col min="2052" max="2052" width="5" style="79" customWidth="1"/>
    <col min="2053" max="2053" width="27.7109375" style="79" customWidth="1"/>
    <col min="2054" max="2054" width="14.42578125" style="79" customWidth="1"/>
    <col min="2055" max="2304" width="11.5703125" style="79"/>
    <col min="2305" max="2305" width="3.7109375" style="79" customWidth="1"/>
    <col min="2306" max="2306" width="26.7109375" style="79" customWidth="1"/>
    <col min="2307" max="2307" width="7.7109375" style="79" customWidth="1"/>
    <col min="2308" max="2308" width="5" style="79" customWidth="1"/>
    <col min="2309" max="2309" width="27.7109375" style="79" customWidth="1"/>
    <col min="2310" max="2310" width="14.42578125" style="79" customWidth="1"/>
    <col min="2311" max="2560" width="11.5703125" style="79"/>
    <col min="2561" max="2561" width="3.7109375" style="79" customWidth="1"/>
    <col min="2562" max="2562" width="26.7109375" style="79" customWidth="1"/>
    <col min="2563" max="2563" width="7.7109375" style="79" customWidth="1"/>
    <col min="2564" max="2564" width="5" style="79" customWidth="1"/>
    <col min="2565" max="2565" width="27.7109375" style="79" customWidth="1"/>
    <col min="2566" max="2566" width="14.42578125" style="79" customWidth="1"/>
    <col min="2567" max="2816" width="11.5703125" style="79"/>
    <col min="2817" max="2817" width="3.7109375" style="79" customWidth="1"/>
    <col min="2818" max="2818" width="26.7109375" style="79" customWidth="1"/>
    <col min="2819" max="2819" width="7.7109375" style="79" customWidth="1"/>
    <col min="2820" max="2820" width="5" style="79" customWidth="1"/>
    <col min="2821" max="2821" width="27.7109375" style="79" customWidth="1"/>
    <col min="2822" max="2822" width="14.42578125" style="79" customWidth="1"/>
    <col min="2823" max="3072" width="11.5703125" style="79"/>
    <col min="3073" max="3073" width="3.7109375" style="79" customWidth="1"/>
    <col min="3074" max="3074" width="26.7109375" style="79" customWidth="1"/>
    <col min="3075" max="3075" width="7.7109375" style="79" customWidth="1"/>
    <col min="3076" max="3076" width="5" style="79" customWidth="1"/>
    <col min="3077" max="3077" width="27.7109375" style="79" customWidth="1"/>
    <col min="3078" max="3078" width="14.42578125" style="79" customWidth="1"/>
    <col min="3079" max="3328" width="11.5703125" style="79"/>
    <col min="3329" max="3329" width="3.7109375" style="79" customWidth="1"/>
    <col min="3330" max="3330" width="26.7109375" style="79" customWidth="1"/>
    <col min="3331" max="3331" width="7.7109375" style="79" customWidth="1"/>
    <col min="3332" max="3332" width="5" style="79" customWidth="1"/>
    <col min="3333" max="3333" width="27.7109375" style="79" customWidth="1"/>
    <col min="3334" max="3334" width="14.42578125" style="79" customWidth="1"/>
    <col min="3335" max="3584" width="11.5703125" style="79"/>
    <col min="3585" max="3585" width="3.7109375" style="79" customWidth="1"/>
    <col min="3586" max="3586" width="26.7109375" style="79" customWidth="1"/>
    <col min="3587" max="3587" width="7.7109375" style="79" customWidth="1"/>
    <col min="3588" max="3588" width="5" style="79" customWidth="1"/>
    <col min="3589" max="3589" width="27.7109375" style="79" customWidth="1"/>
    <col min="3590" max="3590" width="14.42578125" style="79" customWidth="1"/>
    <col min="3591" max="3840" width="11.5703125" style="79"/>
    <col min="3841" max="3841" width="3.7109375" style="79" customWidth="1"/>
    <col min="3842" max="3842" width="26.7109375" style="79" customWidth="1"/>
    <col min="3843" max="3843" width="7.7109375" style="79" customWidth="1"/>
    <col min="3844" max="3844" width="5" style="79" customWidth="1"/>
    <col min="3845" max="3845" width="27.7109375" style="79" customWidth="1"/>
    <col min="3846" max="3846" width="14.42578125" style="79" customWidth="1"/>
    <col min="3847" max="4096" width="11.5703125" style="79"/>
    <col min="4097" max="4097" width="3.7109375" style="79" customWidth="1"/>
    <col min="4098" max="4098" width="26.7109375" style="79" customWidth="1"/>
    <col min="4099" max="4099" width="7.7109375" style="79" customWidth="1"/>
    <col min="4100" max="4100" width="5" style="79" customWidth="1"/>
    <col min="4101" max="4101" width="27.7109375" style="79" customWidth="1"/>
    <col min="4102" max="4102" width="14.42578125" style="79" customWidth="1"/>
    <col min="4103" max="4352" width="11.5703125" style="79"/>
    <col min="4353" max="4353" width="3.7109375" style="79" customWidth="1"/>
    <col min="4354" max="4354" width="26.7109375" style="79" customWidth="1"/>
    <col min="4355" max="4355" width="7.7109375" style="79" customWidth="1"/>
    <col min="4356" max="4356" width="5" style="79" customWidth="1"/>
    <col min="4357" max="4357" width="27.7109375" style="79" customWidth="1"/>
    <col min="4358" max="4358" width="14.42578125" style="79" customWidth="1"/>
    <col min="4359" max="4608" width="11.5703125" style="79"/>
    <col min="4609" max="4609" width="3.7109375" style="79" customWidth="1"/>
    <col min="4610" max="4610" width="26.7109375" style="79" customWidth="1"/>
    <col min="4611" max="4611" width="7.7109375" style="79" customWidth="1"/>
    <col min="4612" max="4612" width="5" style="79" customWidth="1"/>
    <col min="4613" max="4613" width="27.7109375" style="79" customWidth="1"/>
    <col min="4614" max="4614" width="14.42578125" style="79" customWidth="1"/>
    <col min="4615" max="4864" width="11.5703125" style="79"/>
    <col min="4865" max="4865" width="3.7109375" style="79" customWidth="1"/>
    <col min="4866" max="4866" width="26.7109375" style="79" customWidth="1"/>
    <col min="4867" max="4867" width="7.7109375" style="79" customWidth="1"/>
    <col min="4868" max="4868" width="5" style="79" customWidth="1"/>
    <col min="4869" max="4869" width="27.7109375" style="79" customWidth="1"/>
    <col min="4870" max="4870" width="14.42578125" style="79" customWidth="1"/>
    <col min="4871" max="5120" width="11.5703125" style="79"/>
    <col min="5121" max="5121" width="3.7109375" style="79" customWidth="1"/>
    <col min="5122" max="5122" width="26.7109375" style="79" customWidth="1"/>
    <col min="5123" max="5123" width="7.7109375" style="79" customWidth="1"/>
    <col min="5124" max="5124" width="5" style="79" customWidth="1"/>
    <col min="5125" max="5125" width="27.7109375" style="79" customWidth="1"/>
    <col min="5126" max="5126" width="14.42578125" style="79" customWidth="1"/>
    <col min="5127" max="5376" width="11.5703125" style="79"/>
    <col min="5377" max="5377" width="3.7109375" style="79" customWidth="1"/>
    <col min="5378" max="5378" width="26.7109375" style="79" customWidth="1"/>
    <col min="5379" max="5379" width="7.7109375" style="79" customWidth="1"/>
    <col min="5380" max="5380" width="5" style="79" customWidth="1"/>
    <col min="5381" max="5381" width="27.7109375" style="79" customWidth="1"/>
    <col min="5382" max="5382" width="14.42578125" style="79" customWidth="1"/>
    <col min="5383" max="5632" width="11.5703125" style="79"/>
    <col min="5633" max="5633" width="3.7109375" style="79" customWidth="1"/>
    <col min="5634" max="5634" width="26.7109375" style="79" customWidth="1"/>
    <col min="5635" max="5635" width="7.7109375" style="79" customWidth="1"/>
    <col min="5636" max="5636" width="5" style="79" customWidth="1"/>
    <col min="5637" max="5637" width="27.7109375" style="79" customWidth="1"/>
    <col min="5638" max="5638" width="14.42578125" style="79" customWidth="1"/>
    <col min="5639" max="5888" width="11.5703125" style="79"/>
    <col min="5889" max="5889" width="3.7109375" style="79" customWidth="1"/>
    <col min="5890" max="5890" width="26.7109375" style="79" customWidth="1"/>
    <col min="5891" max="5891" width="7.7109375" style="79" customWidth="1"/>
    <col min="5892" max="5892" width="5" style="79" customWidth="1"/>
    <col min="5893" max="5893" width="27.7109375" style="79" customWidth="1"/>
    <col min="5894" max="5894" width="14.42578125" style="79" customWidth="1"/>
    <col min="5895" max="6144" width="11.5703125" style="79"/>
    <col min="6145" max="6145" width="3.7109375" style="79" customWidth="1"/>
    <col min="6146" max="6146" width="26.7109375" style="79" customWidth="1"/>
    <col min="6147" max="6147" width="7.7109375" style="79" customWidth="1"/>
    <col min="6148" max="6148" width="5" style="79" customWidth="1"/>
    <col min="6149" max="6149" width="27.7109375" style="79" customWidth="1"/>
    <col min="6150" max="6150" width="14.42578125" style="79" customWidth="1"/>
    <col min="6151" max="6400" width="11.5703125" style="79"/>
    <col min="6401" max="6401" width="3.7109375" style="79" customWidth="1"/>
    <col min="6402" max="6402" width="26.7109375" style="79" customWidth="1"/>
    <col min="6403" max="6403" width="7.7109375" style="79" customWidth="1"/>
    <col min="6404" max="6404" width="5" style="79" customWidth="1"/>
    <col min="6405" max="6405" width="27.7109375" style="79" customWidth="1"/>
    <col min="6406" max="6406" width="14.42578125" style="79" customWidth="1"/>
    <col min="6407" max="6656" width="11.5703125" style="79"/>
    <col min="6657" max="6657" width="3.7109375" style="79" customWidth="1"/>
    <col min="6658" max="6658" width="26.7109375" style="79" customWidth="1"/>
    <col min="6659" max="6659" width="7.7109375" style="79" customWidth="1"/>
    <col min="6660" max="6660" width="5" style="79" customWidth="1"/>
    <col min="6661" max="6661" width="27.7109375" style="79" customWidth="1"/>
    <col min="6662" max="6662" width="14.42578125" style="79" customWidth="1"/>
    <col min="6663" max="6912" width="11.5703125" style="79"/>
    <col min="6913" max="6913" width="3.7109375" style="79" customWidth="1"/>
    <col min="6914" max="6914" width="26.7109375" style="79" customWidth="1"/>
    <col min="6915" max="6915" width="7.7109375" style="79" customWidth="1"/>
    <col min="6916" max="6916" width="5" style="79" customWidth="1"/>
    <col min="6917" max="6917" width="27.7109375" style="79" customWidth="1"/>
    <col min="6918" max="6918" width="14.42578125" style="79" customWidth="1"/>
    <col min="6919" max="7168" width="11.5703125" style="79"/>
    <col min="7169" max="7169" width="3.7109375" style="79" customWidth="1"/>
    <col min="7170" max="7170" width="26.7109375" style="79" customWidth="1"/>
    <col min="7171" max="7171" width="7.7109375" style="79" customWidth="1"/>
    <col min="7172" max="7172" width="5" style="79" customWidth="1"/>
    <col min="7173" max="7173" width="27.7109375" style="79" customWidth="1"/>
    <col min="7174" max="7174" width="14.42578125" style="79" customWidth="1"/>
    <col min="7175" max="7424" width="11.5703125" style="79"/>
    <col min="7425" max="7425" width="3.7109375" style="79" customWidth="1"/>
    <col min="7426" max="7426" width="26.7109375" style="79" customWidth="1"/>
    <col min="7427" max="7427" width="7.7109375" style="79" customWidth="1"/>
    <col min="7428" max="7428" width="5" style="79" customWidth="1"/>
    <col min="7429" max="7429" width="27.7109375" style="79" customWidth="1"/>
    <col min="7430" max="7430" width="14.42578125" style="79" customWidth="1"/>
    <col min="7431" max="7680" width="11.5703125" style="79"/>
    <col min="7681" max="7681" width="3.7109375" style="79" customWidth="1"/>
    <col min="7682" max="7682" width="26.7109375" style="79" customWidth="1"/>
    <col min="7683" max="7683" width="7.7109375" style="79" customWidth="1"/>
    <col min="7684" max="7684" width="5" style="79" customWidth="1"/>
    <col min="7685" max="7685" width="27.7109375" style="79" customWidth="1"/>
    <col min="7686" max="7686" width="14.42578125" style="79" customWidth="1"/>
    <col min="7687" max="7936" width="11.5703125" style="79"/>
    <col min="7937" max="7937" width="3.7109375" style="79" customWidth="1"/>
    <col min="7938" max="7938" width="26.7109375" style="79" customWidth="1"/>
    <col min="7939" max="7939" width="7.7109375" style="79" customWidth="1"/>
    <col min="7940" max="7940" width="5" style="79" customWidth="1"/>
    <col min="7941" max="7941" width="27.7109375" style="79" customWidth="1"/>
    <col min="7942" max="7942" width="14.42578125" style="79" customWidth="1"/>
    <col min="7943" max="8192" width="11.5703125" style="79"/>
    <col min="8193" max="8193" width="3.7109375" style="79" customWidth="1"/>
    <col min="8194" max="8194" width="26.7109375" style="79" customWidth="1"/>
    <col min="8195" max="8195" width="7.7109375" style="79" customWidth="1"/>
    <col min="8196" max="8196" width="5" style="79" customWidth="1"/>
    <col min="8197" max="8197" width="27.7109375" style="79" customWidth="1"/>
    <col min="8198" max="8198" width="14.42578125" style="79" customWidth="1"/>
    <col min="8199" max="8448" width="11.5703125" style="79"/>
    <col min="8449" max="8449" width="3.7109375" style="79" customWidth="1"/>
    <col min="8450" max="8450" width="26.7109375" style="79" customWidth="1"/>
    <col min="8451" max="8451" width="7.7109375" style="79" customWidth="1"/>
    <col min="8452" max="8452" width="5" style="79" customWidth="1"/>
    <col min="8453" max="8453" width="27.7109375" style="79" customWidth="1"/>
    <col min="8454" max="8454" width="14.42578125" style="79" customWidth="1"/>
    <col min="8455" max="8704" width="11.5703125" style="79"/>
    <col min="8705" max="8705" width="3.7109375" style="79" customWidth="1"/>
    <col min="8706" max="8706" width="26.7109375" style="79" customWidth="1"/>
    <col min="8707" max="8707" width="7.7109375" style="79" customWidth="1"/>
    <col min="8708" max="8708" width="5" style="79" customWidth="1"/>
    <col min="8709" max="8709" width="27.7109375" style="79" customWidth="1"/>
    <col min="8710" max="8710" width="14.42578125" style="79" customWidth="1"/>
    <col min="8711" max="8960" width="11.5703125" style="79"/>
    <col min="8961" max="8961" width="3.7109375" style="79" customWidth="1"/>
    <col min="8962" max="8962" width="26.7109375" style="79" customWidth="1"/>
    <col min="8963" max="8963" width="7.7109375" style="79" customWidth="1"/>
    <col min="8964" max="8964" width="5" style="79" customWidth="1"/>
    <col min="8965" max="8965" width="27.7109375" style="79" customWidth="1"/>
    <col min="8966" max="8966" width="14.42578125" style="79" customWidth="1"/>
    <col min="8967" max="9216" width="11.5703125" style="79"/>
    <col min="9217" max="9217" width="3.7109375" style="79" customWidth="1"/>
    <col min="9218" max="9218" width="26.7109375" style="79" customWidth="1"/>
    <col min="9219" max="9219" width="7.7109375" style="79" customWidth="1"/>
    <col min="9220" max="9220" width="5" style="79" customWidth="1"/>
    <col min="9221" max="9221" width="27.7109375" style="79" customWidth="1"/>
    <col min="9222" max="9222" width="14.42578125" style="79" customWidth="1"/>
    <col min="9223" max="9472" width="11.5703125" style="79"/>
    <col min="9473" max="9473" width="3.7109375" style="79" customWidth="1"/>
    <col min="9474" max="9474" width="26.7109375" style="79" customWidth="1"/>
    <col min="9475" max="9475" width="7.7109375" style="79" customWidth="1"/>
    <col min="9476" max="9476" width="5" style="79" customWidth="1"/>
    <col min="9477" max="9477" width="27.7109375" style="79" customWidth="1"/>
    <col min="9478" max="9478" width="14.42578125" style="79" customWidth="1"/>
    <col min="9479" max="9728" width="11.5703125" style="79"/>
    <col min="9729" max="9729" width="3.7109375" style="79" customWidth="1"/>
    <col min="9730" max="9730" width="26.7109375" style="79" customWidth="1"/>
    <col min="9731" max="9731" width="7.7109375" style="79" customWidth="1"/>
    <col min="9732" max="9732" width="5" style="79" customWidth="1"/>
    <col min="9733" max="9733" width="27.7109375" style="79" customWidth="1"/>
    <col min="9734" max="9734" width="14.42578125" style="79" customWidth="1"/>
    <col min="9735" max="9984" width="11.5703125" style="79"/>
    <col min="9985" max="9985" width="3.7109375" style="79" customWidth="1"/>
    <col min="9986" max="9986" width="26.7109375" style="79" customWidth="1"/>
    <col min="9987" max="9987" width="7.7109375" style="79" customWidth="1"/>
    <col min="9988" max="9988" width="5" style="79" customWidth="1"/>
    <col min="9989" max="9989" width="27.7109375" style="79" customWidth="1"/>
    <col min="9990" max="9990" width="14.42578125" style="79" customWidth="1"/>
    <col min="9991" max="10240" width="11.5703125" style="79"/>
    <col min="10241" max="10241" width="3.7109375" style="79" customWidth="1"/>
    <col min="10242" max="10242" width="26.7109375" style="79" customWidth="1"/>
    <col min="10243" max="10243" width="7.7109375" style="79" customWidth="1"/>
    <col min="10244" max="10244" width="5" style="79" customWidth="1"/>
    <col min="10245" max="10245" width="27.7109375" style="79" customWidth="1"/>
    <col min="10246" max="10246" width="14.42578125" style="79" customWidth="1"/>
    <col min="10247" max="10496" width="11.5703125" style="79"/>
    <col min="10497" max="10497" width="3.7109375" style="79" customWidth="1"/>
    <col min="10498" max="10498" width="26.7109375" style="79" customWidth="1"/>
    <col min="10499" max="10499" width="7.7109375" style="79" customWidth="1"/>
    <col min="10500" max="10500" width="5" style="79" customWidth="1"/>
    <col min="10501" max="10501" width="27.7109375" style="79" customWidth="1"/>
    <col min="10502" max="10502" width="14.42578125" style="79" customWidth="1"/>
    <col min="10503" max="10752" width="11.5703125" style="79"/>
    <col min="10753" max="10753" width="3.7109375" style="79" customWidth="1"/>
    <col min="10754" max="10754" width="26.7109375" style="79" customWidth="1"/>
    <col min="10755" max="10755" width="7.7109375" style="79" customWidth="1"/>
    <col min="10756" max="10756" width="5" style="79" customWidth="1"/>
    <col min="10757" max="10757" width="27.7109375" style="79" customWidth="1"/>
    <col min="10758" max="10758" width="14.42578125" style="79" customWidth="1"/>
    <col min="10759" max="11008" width="11.5703125" style="79"/>
    <col min="11009" max="11009" width="3.7109375" style="79" customWidth="1"/>
    <col min="11010" max="11010" width="26.7109375" style="79" customWidth="1"/>
    <col min="11011" max="11011" width="7.7109375" style="79" customWidth="1"/>
    <col min="11012" max="11012" width="5" style="79" customWidth="1"/>
    <col min="11013" max="11013" width="27.7109375" style="79" customWidth="1"/>
    <col min="11014" max="11014" width="14.42578125" style="79" customWidth="1"/>
    <col min="11015" max="11264" width="11.5703125" style="79"/>
    <col min="11265" max="11265" width="3.7109375" style="79" customWidth="1"/>
    <col min="11266" max="11266" width="26.7109375" style="79" customWidth="1"/>
    <col min="11267" max="11267" width="7.7109375" style="79" customWidth="1"/>
    <col min="11268" max="11268" width="5" style="79" customWidth="1"/>
    <col min="11269" max="11269" width="27.7109375" style="79" customWidth="1"/>
    <col min="11270" max="11270" width="14.42578125" style="79" customWidth="1"/>
    <col min="11271" max="11520" width="11.5703125" style="79"/>
    <col min="11521" max="11521" width="3.7109375" style="79" customWidth="1"/>
    <col min="11522" max="11522" width="26.7109375" style="79" customWidth="1"/>
    <col min="11523" max="11523" width="7.7109375" style="79" customWidth="1"/>
    <col min="11524" max="11524" width="5" style="79" customWidth="1"/>
    <col min="11525" max="11525" width="27.7109375" style="79" customWidth="1"/>
    <col min="11526" max="11526" width="14.42578125" style="79" customWidth="1"/>
    <col min="11527" max="11776" width="11.5703125" style="79"/>
    <col min="11777" max="11777" width="3.7109375" style="79" customWidth="1"/>
    <col min="11778" max="11778" width="26.7109375" style="79" customWidth="1"/>
    <col min="11779" max="11779" width="7.7109375" style="79" customWidth="1"/>
    <col min="11780" max="11780" width="5" style="79" customWidth="1"/>
    <col min="11781" max="11781" width="27.7109375" style="79" customWidth="1"/>
    <col min="11782" max="11782" width="14.42578125" style="79" customWidth="1"/>
    <col min="11783" max="12032" width="11.5703125" style="79"/>
    <col min="12033" max="12033" width="3.7109375" style="79" customWidth="1"/>
    <col min="12034" max="12034" width="26.7109375" style="79" customWidth="1"/>
    <col min="12035" max="12035" width="7.7109375" style="79" customWidth="1"/>
    <col min="12036" max="12036" width="5" style="79" customWidth="1"/>
    <col min="12037" max="12037" width="27.7109375" style="79" customWidth="1"/>
    <col min="12038" max="12038" width="14.42578125" style="79" customWidth="1"/>
    <col min="12039" max="12288" width="11.5703125" style="79"/>
    <col min="12289" max="12289" width="3.7109375" style="79" customWidth="1"/>
    <col min="12290" max="12290" width="26.7109375" style="79" customWidth="1"/>
    <col min="12291" max="12291" width="7.7109375" style="79" customWidth="1"/>
    <col min="12292" max="12292" width="5" style="79" customWidth="1"/>
    <col min="12293" max="12293" width="27.7109375" style="79" customWidth="1"/>
    <col min="12294" max="12294" width="14.42578125" style="79" customWidth="1"/>
    <col min="12295" max="12544" width="11.5703125" style="79"/>
    <col min="12545" max="12545" width="3.7109375" style="79" customWidth="1"/>
    <col min="12546" max="12546" width="26.7109375" style="79" customWidth="1"/>
    <col min="12547" max="12547" width="7.7109375" style="79" customWidth="1"/>
    <col min="12548" max="12548" width="5" style="79" customWidth="1"/>
    <col min="12549" max="12549" width="27.7109375" style="79" customWidth="1"/>
    <col min="12550" max="12550" width="14.42578125" style="79" customWidth="1"/>
    <col min="12551" max="12800" width="11.5703125" style="79"/>
    <col min="12801" max="12801" width="3.7109375" style="79" customWidth="1"/>
    <col min="12802" max="12802" width="26.7109375" style="79" customWidth="1"/>
    <col min="12803" max="12803" width="7.7109375" style="79" customWidth="1"/>
    <col min="12804" max="12804" width="5" style="79" customWidth="1"/>
    <col min="12805" max="12805" width="27.7109375" style="79" customWidth="1"/>
    <col min="12806" max="12806" width="14.42578125" style="79" customWidth="1"/>
    <col min="12807" max="13056" width="11.5703125" style="79"/>
    <col min="13057" max="13057" width="3.7109375" style="79" customWidth="1"/>
    <col min="13058" max="13058" width="26.7109375" style="79" customWidth="1"/>
    <col min="13059" max="13059" width="7.7109375" style="79" customWidth="1"/>
    <col min="13060" max="13060" width="5" style="79" customWidth="1"/>
    <col min="13061" max="13061" width="27.7109375" style="79" customWidth="1"/>
    <col min="13062" max="13062" width="14.42578125" style="79" customWidth="1"/>
    <col min="13063" max="13312" width="11.5703125" style="79"/>
    <col min="13313" max="13313" width="3.7109375" style="79" customWidth="1"/>
    <col min="13314" max="13314" width="26.7109375" style="79" customWidth="1"/>
    <col min="13315" max="13315" width="7.7109375" style="79" customWidth="1"/>
    <col min="13316" max="13316" width="5" style="79" customWidth="1"/>
    <col min="13317" max="13317" width="27.7109375" style="79" customWidth="1"/>
    <col min="13318" max="13318" width="14.42578125" style="79" customWidth="1"/>
    <col min="13319" max="13568" width="11.5703125" style="79"/>
    <col min="13569" max="13569" width="3.7109375" style="79" customWidth="1"/>
    <col min="13570" max="13570" width="26.7109375" style="79" customWidth="1"/>
    <col min="13571" max="13571" width="7.7109375" style="79" customWidth="1"/>
    <col min="13572" max="13572" width="5" style="79" customWidth="1"/>
    <col min="13573" max="13573" width="27.7109375" style="79" customWidth="1"/>
    <col min="13574" max="13574" width="14.42578125" style="79" customWidth="1"/>
    <col min="13575" max="13824" width="11.5703125" style="79"/>
    <col min="13825" max="13825" width="3.7109375" style="79" customWidth="1"/>
    <col min="13826" max="13826" width="26.7109375" style="79" customWidth="1"/>
    <col min="13827" max="13827" width="7.7109375" style="79" customWidth="1"/>
    <col min="13828" max="13828" width="5" style="79" customWidth="1"/>
    <col min="13829" max="13829" width="27.7109375" style="79" customWidth="1"/>
    <col min="13830" max="13830" width="14.42578125" style="79" customWidth="1"/>
    <col min="13831" max="14080" width="11.5703125" style="79"/>
    <col min="14081" max="14081" width="3.7109375" style="79" customWidth="1"/>
    <col min="14082" max="14082" width="26.7109375" style="79" customWidth="1"/>
    <col min="14083" max="14083" width="7.7109375" style="79" customWidth="1"/>
    <col min="14084" max="14084" width="5" style="79" customWidth="1"/>
    <col min="14085" max="14085" width="27.7109375" style="79" customWidth="1"/>
    <col min="14086" max="14086" width="14.42578125" style="79" customWidth="1"/>
    <col min="14087" max="14336" width="11.5703125" style="79"/>
    <col min="14337" max="14337" width="3.7109375" style="79" customWidth="1"/>
    <col min="14338" max="14338" width="26.7109375" style="79" customWidth="1"/>
    <col min="14339" max="14339" width="7.7109375" style="79" customWidth="1"/>
    <col min="14340" max="14340" width="5" style="79" customWidth="1"/>
    <col min="14341" max="14341" width="27.7109375" style="79" customWidth="1"/>
    <col min="14342" max="14342" width="14.42578125" style="79" customWidth="1"/>
    <col min="14343" max="14592" width="11.5703125" style="79"/>
    <col min="14593" max="14593" width="3.7109375" style="79" customWidth="1"/>
    <col min="14594" max="14594" width="26.7109375" style="79" customWidth="1"/>
    <col min="14595" max="14595" width="7.7109375" style="79" customWidth="1"/>
    <col min="14596" max="14596" width="5" style="79" customWidth="1"/>
    <col min="14597" max="14597" width="27.7109375" style="79" customWidth="1"/>
    <col min="14598" max="14598" width="14.42578125" style="79" customWidth="1"/>
    <col min="14599" max="14848" width="11.5703125" style="79"/>
    <col min="14849" max="14849" width="3.7109375" style="79" customWidth="1"/>
    <col min="14850" max="14850" width="26.7109375" style="79" customWidth="1"/>
    <col min="14851" max="14851" width="7.7109375" style="79" customWidth="1"/>
    <col min="14852" max="14852" width="5" style="79" customWidth="1"/>
    <col min="14853" max="14853" width="27.7109375" style="79" customWidth="1"/>
    <col min="14854" max="14854" width="14.42578125" style="79" customWidth="1"/>
    <col min="14855" max="15104" width="11.5703125" style="79"/>
    <col min="15105" max="15105" width="3.7109375" style="79" customWidth="1"/>
    <col min="15106" max="15106" width="26.7109375" style="79" customWidth="1"/>
    <col min="15107" max="15107" width="7.7109375" style="79" customWidth="1"/>
    <col min="15108" max="15108" width="5" style="79" customWidth="1"/>
    <col min="15109" max="15109" width="27.7109375" style="79" customWidth="1"/>
    <col min="15110" max="15110" width="14.42578125" style="79" customWidth="1"/>
    <col min="15111" max="15360" width="11.5703125" style="79"/>
    <col min="15361" max="15361" width="3.7109375" style="79" customWidth="1"/>
    <col min="15362" max="15362" width="26.7109375" style="79" customWidth="1"/>
    <col min="15363" max="15363" width="7.7109375" style="79" customWidth="1"/>
    <col min="15364" max="15364" width="5" style="79" customWidth="1"/>
    <col min="15365" max="15365" width="27.7109375" style="79" customWidth="1"/>
    <col min="15366" max="15366" width="14.42578125" style="79" customWidth="1"/>
    <col min="15367" max="15616" width="11.5703125" style="79"/>
    <col min="15617" max="15617" width="3.7109375" style="79" customWidth="1"/>
    <col min="15618" max="15618" width="26.7109375" style="79" customWidth="1"/>
    <col min="15619" max="15619" width="7.7109375" style="79" customWidth="1"/>
    <col min="15620" max="15620" width="5" style="79" customWidth="1"/>
    <col min="15621" max="15621" width="27.7109375" style="79" customWidth="1"/>
    <col min="15622" max="15622" width="14.42578125" style="79" customWidth="1"/>
    <col min="15623" max="15872" width="11.5703125" style="79"/>
    <col min="15873" max="15873" width="3.7109375" style="79" customWidth="1"/>
    <col min="15874" max="15874" width="26.7109375" style="79" customWidth="1"/>
    <col min="15875" max="15875" width="7.7109375" style="79" customWidth="1"/>
    <col min="15876" max="15876" width="5" style="79" customWidth="1"/>
    <col min="15877" max="15877" width="27.7109375" style="79" customWidth="1"/>
    <col min="15878" max="15878" width="14.42578125" style="79" customWidth="1"/>
    <col min="15879" max="16128" width="11.5703125" style="79"/>
    <col min="16129" max="16129" width="3.7109375" style="79" customWidth="1"/>
    <col min="16130" max="16130" width="26.7109375" style="79" customWidth="1"/>
    <col min="16131" max="16131" width="7.7109375" style="79" customWidth="1"/>
    <col min="16132" max="16132" width="5" style="79" customWidth="1"/>
    <col min="16133" max="16133" width="27.7109375" style="79" customWidth="1"/>
    <col min="16134" max="16134" width="14.42578125" style="79" customWidth="1"/>
    <col min="16135" max="16384" width="11.5703125" style="79"/>
  </cols>
  <sheetData>
    <row r="1" spans="1:7" ht="51.2" customHeight="1" x14ac:dyDescent="0.2">
      <c r="A1" s="161" t="s">
        <v>52</v>
      </c>
      <c r="B1" s="161"/>
      <c r="C1" s="162" t="s">
        <v>102</v>
      </c>
      <c r="D1" s="162"/>
      <c r="E1" s="162"/>
      <c r="F1" s="162"/>
      <c r="G1" s="162"/>
    </row>
    <row r="2" spans="1:7" x14ac:dyDescent="0.2">
      <c r="A2" s="80"/>
      <c r="B2" s="80"/>
      <c r="C2" s="81"/>
      <c r="D2" s="81"/>
      <c r="E2" s="81"/>
      <c r="F2" s="81"/>
      <c r="G2" s="81"/>
    </row>
    <row r="3" spans="1:7" x14ac:dyDescent="0.2">
      <c r="A3" s="80"/>
      <c r="B3" s="80"/>
      <c r="C3" s="81"/>
      <c r="D3" s="81"/>
      <c r="E3" s="81"/>
      <c r="F3" s="81"/>
      <c r="G3" s="81"/>
    </row>
    <row r="4" spans="1:7" x14ac:dyDescent="0.2">
      <c r="A4" s="79"/>
      <c r="B4" s="163" t="s">
        <v>362</v>
      </c>
      <c r="C4" s="163"/>
      <c r="D4" s="163"/>
      <c r="E4" s="163"/>
      <c r="F4" s="163"/>
      <c r="G4" s="79"/>
    </row>
    <row r="5" spans="1:7" x14ac:dyDescent="0.2">
      <c r="A5" s="79"/>
      <c r="B5" s="164" t="s">
        <v>372</v>
      </c>
      <c r="C5" s="164"/>
      <c r="D5" s="164"/>
      <c r="E5" s="164"/>
      <c r="F5" s="164"/>
      <c r="G5" s="79"/>
    </row>
    <row r="6" spans="1:7" x14ac:dyDescent="0.2">
      <c r="A6" s="79"/>
      <c r="B6" s="79"/>
      <c r="C6" s="82"/>
      <c r="D6" s="82"/>
      <c r="E6" s="82"/>
      <c r="F6" s="79"/>
      <c r="G6" s="79"/>
    </row>
    <row r="7" spans="1:7" ht="38.25" customHeight="1" x14ac:dyDescent="0.2">
      <c r="A7" s="159" t="s">
        <v>54</v>
      </c>
      <c r="B7" s="159"/>
      <c r="C7" s="159"/>
      <c r="D7" s="165" t="str">
        <f>Геодезия!D7</f>
        <v xml:space="preserve">Строительство пристройки на 500 ученических мест к зданию школы №39 в г. Махачкала  </v>
      </c>
      <c r="E7" s="165"/>
      <c r="F7" s="165"/>
      <c r="G7" s="165"/>
    </row>
    <row r="8" spans="1:7" x14ac:dyDescent="0.2">
      <c r="A8" s="83"/>
      <c r="B8" s="83"/>
      <c r="C8" s="84"/>
      <c r="D8" s="85"/>
      <c r="E8" s="85"/>
      <c r="F8" s="85"/>
      <c r="G8" s="85"/>
    </row>
    <row r="9" spans="1:7" ht="12.75" customHeight="1" x14ac:dyDescent="0.2">
      <c r="A9" s="159" t="s">
        <v>55</v>
      </c>
      <c r="B9" s="159"/>
      <c r="C9" s="159"/>
      <c r="D9" s="160" t="s">
        <v>380</v>
      </c>
      <c r="E9" s="160"/>
      <c r="F9" s="160"/>
      <c r="G9" s="160"/>
    </row>
    <row r="10" spans="1:7" x14ac:dyDescent="0.2">
      <c r="A10" s="79"/>
      <c r="B10" s="79"/>
      <c r="C10" s="79"/>
      <c r="D10" s="160"/>
      <c r="E10" s="160"/>
      <c r="F10" s="160"/>
      <c r="G10" s="160"/>
    </row>
    <row r="11" spans="1:7" ht="32.25" customHeight="1" x14ac:dyDescent="0.2">
      <c r="A11" s="87" t="s">
        <v>56</v>
      </c>
      <c r="B11" s="203" t="s">
        <v>15</v>
      </c>
      <c r="C11" s="204"/>
      <c r="D11" s="205"/>
      <c r="E11" s="87" t="s">
        <v>18</v>
      </c>
      <c r="F11" s="87" t="s">
        <v>5</v>
      </c>
      <c r="G11" s="87" t="s">
        <v>6</v>
      </c>
    </row>
    <row r="12" spans="1:7" x14ac:dyDescent="0.2">
      <c r="A12" s="88">
        <v>1</v>
      </c>
      <c r="B12" s="197">
        <v>2</v>
      </c>
      <c r="C12" s="198"/>
      <c r="D12" s="199"/>
      <c r="E12" s="89">
        <v>3</v>
      </c>
      <c r="F12" s="89">
        <v>4</v>
      </c>
      <c r="G12" s="89">
        <v>5</v>
      </c>
    </row>
    <row r="13" spans="1:7" ht="12.75" customHeight="1" x14ac:dyDescent="0.2">
      <c r="A13" s="90" t="s">
        <v>7</v>
      </c>
      <c r="B13" s="200" t="s">
        <v>59</v>
      </c>
      <c r="C13" s="201"/>
      <c r="D13" s="202"/>
      <c r="E13" s="91" t="s">
        <v>21</v>
      </c>
      <c r="F13" s="91"/>
      <c r="G13" s="92"/>
    </row>
    <row r="14" spans="1:7" ht="140.25" customHeight="1" x14ac:dyDescent="0.2">
      <c r="A14" s="129" t="s">
        <v>60</v>
      </c>
      <c r="B14" s="179" t="s">
        <v>103</v>
      </c>
      <c r="C14" s="180"/>
      <c r="D14" s="181"/>
      <c r="E14" s="130" t="s">
        <v>104</v>
      </c>
      <c r="F14" s="130" t="s">
        <v>105</v>
      </c>
      <c r="G14" s="131">
        <f>ROUND(0.0062  * 30 * 51.69,3)</f>
        <v>9.6140000000000008</v>
      </c>
    </row>
    <row r="15" spans="1:7" ht="15.75" customHeight="1" x14ac:dyDescent="0.2">
      <c r="A15" s="97" t="s">
        <v>65</v>
      </c>
      <c r="B15" s="182" t="s">
        <v>66</v>
      </c>
      <c r="C15" s="183"/>
      <c r="D15" s="184"/>
      <c r="E15" s="98"/>
      <c r="F15" s="98"/>
      <c r="G15" s="99"/>
    </row>
    <row r="16" spans="1:7" ht="12.75" customHeight="1" x14ac:dyDescent="0.2">
      <c r="A16" s="116" t="s">
        <v>65</v>
      </c>
      <c r="B16" s="173" t="s">
        <v>67</v>
      </c>
      <c r="C16" s="174"/>
      <c r="D16" s="175"/>
      <c r="E16" s="117"/>
      <c r="F16" s="117"/>
      <c r="G16" s="118"/>
    </row>
    <row r="17" spans="1:7" ht="38.25" customHeight="1" x14ac:dyDescent="0.2">
      <c r="A17" s="116" t="s">
        <v>65</v>
      </c>
      <c r="B17" s="173" t="s">
        <v>106</v>
      </c>
      <c r="C17" s="174"/>
      <c r="D17" s="175"/>
      <c r="E17" s="117" t="s">
        <v>107</v>
      </c>
      <c r="F17" s="117"/>
      <c r="G17" s="118"/>
    </row>
    <row r="18" spans="1:7" ht="15.75" customHeight="1" x14ac:dyDescent="0.2">
      <c r="A18" s="116" t="s">
        <v>65</v>
      </c>
      <c r="B18" s="185" t="s">
        <v>70</v>
      </c>
      <c r="C18" s="186"/>
      <c r="D18" s="187"/>
      <c r="E18" s="119"/>
      <c r="F18" s="119"/>
      <c r="G18" s="120"/>
    </row>
    <row r="19" spans="1:7" ht="12.75" customHeight="1" x14ac:dyDescent="0.2">
      <c r="A19" s="121" t="s">
        <v>65</v>
      </c>
      <c r="B19" s="176" t="s">
        <v>71</v>
      </c>
      <c r="C19" s="177"/>
      <c r="D19" s="178"/>
      <c r="E19" s="123">
        <v>1</v>
      </c>
      <c r="F19" s="122"/>
      <c r="G19" s="124"/>
    </row>
    <row r="20" spans="1:7" ht="191.25" customHeight="1" x14ac:dyDescent="0.2">
      <c r="A20" s="129" t="s">
        <v>72</v>
      </c>
      <c r="B20" s="179" t="s">
        <v>108</v>
      </c>
      <c r="C20" s="180"/>
      <c r="D20" s="181"/>
      <c r="E20" s="130" t="s">
        <v>109</v>
      </c>
      <c r="F20" s="130" t="s">
        <v>110</v>
      </c>
      <c r="G20" s="131">
        <f>ROUND(0.0204  * 1 * 51.69,3)</f>
        <v>1.054</v>
      </c>
    </row>
    <row r="21" spans="1:7" ht="15.75" customHeight="1" x14ac:dyDescent="0.2">
      <c r="A21" s="97" t="s">
        <v>65</v>
      </c>
      <c r="B21" s="182" t="s">
        <v>66</v>
      </c>
      <c r="C21" s="183"/>
      <c r="D21" s="184"/>
      <c r="E21" s="98"/>
      <c r="F21" s="98"/>
      <c r="G21" s="99"/>
    </row>
    <row r="22" spans="1:7" ht="12.75" customHeight="1" x14ac:dyDescent="0.2">
      <c r="A22" s="116" t="s">
        <v>65</v>
      </c>
      <c r="B22" s="173" t="s">
        <v>67</v>
      </c>
      <c r="C22" s="174"/>
      <c r="D22" s="175"/>
      <c r="E22" s="117"/>
      <c r="F22" s="117"/>
      <c r="G22" s="118"/>
    </row>
    <row r="23" spans="1:7" ht="38.25" customHeight="1" x14ac:dyDescent="0.2">
      <c r="A23" s="116" t="s">
        <v>65</v>
      </c>
      <c r="B23" s="173" t="s">
        <v>106</v>
      </c>
      <c r="C23" s="174"/>
      <c r="D23" s="175"/>
      <c r="E23" s="117" t="s">
        <v>107</v>
      </c>
      <c r="F23" s="117"/>
      <c r="G23" s="118"/>
    </row>
    <row r="24" spans="1:7" ht="15.75" customHeight="1" x14ac:dyDescent="0.2">
      <c r="A24" s="116" t="s">
        <v>65</v>
      </c>
      <c r="B24" s="185" t="s">
        <v>70</v>
      </c>
      <c r="C24" s="186"/>
      <c r="D24" s="187"/>
      <c r="E24" s="119"/>
      <c r="F24" s="119"/>
      <c r="G24" s="120"/>
    </row>
    <row r="25" spans="1:7" ht="12.75" customHeight="1" x14ac:dyDescent="0.2">
      <c r="A25" s="121" t="s">
        <v>65</v>
      </c>
      <c r="B25" s="176" t="s">
        <v>71</v>
      </c>
      <c r="C25" s="177"/>
      <c r="D25" s="178"/>
      <c r="E25" s="123">
        <v>1</v>
      </c>
      <c r="F25" s="122"/>
      <c r="G25" s="124"/>
    </row>
    <row r="26" spans="1:7" ht="255" customHeight="1" x14ac:dyDescent="0.2">
      <c r="A26" s="129" t="s">
        <v>76</v>
      </c>
      <c r="B26" s="179" t="s">
        <v>111</v>
      </c>
      <c r="C26" s="180"/>
      <c r="D26" s="181"/>
      <c r="E26" s="130" t="s">
        <v>112</v>
      </c>
      <c r="F26" s="130" t="s">
        <v>113</v>
      </c>
      <c r="G26" s="131">
        <f>ROUND(0.0203  * 1 * 51.69,3)</f>
        <v>1.0489999999999999</v>
      </c>
    </row>
    <row r="27" spans="1:7" ht="15.75" customHeight="1" x14ac:dyDescent="0.2">
      <c r="A27" s="97" t="s">
        <v>65</v>
      </c>
      <c r="B27" s="182" t="s">
        <v>66</v>
      </c>
      <c r="C27" s="183"/>
      <c r="D27" s="184"/>
      <c r="E27" s="98"/>
      <c r="F27" s="98"/>
      <c r="G27" s="99"/>
    </row>
    <row r="28" spans="1:7" ht="12.75" customHeight="1" x14ac:dyDescent="0.2">
      <c r="A28" s="116" t="s">
        <v>65</v>
      </c>
      <c r="B28" s="173" t="s">
        <v>67</v>
      </c>
      <c r="C28" s="174"/>
      <c r="D28" s="175"/>
      <c r="E28" s="117"/>
      <c r="F28" s="117"/>
      <c r="G28" s="118"/>
    </row>
    <row r="29" spans="1:7" ht="38.25" customHeight="1" x14ac:dyDescent="0.2">
      <c r="A29" s="116" t="s">
        <v>65</v>
      </c>
      <c r="B29" s="173" t="s">
        <v>106</v>
      </c>
      <c r="C29" s="174"/>
      <c r="D29" s="175"/>
      <c r="E29" s="117" t="s">
        <v>107</v>
      </c>
      <c r="F29" s="117"/>
      <c r="G29" s="118"/>
    </row>
    <row r="30" spans="1:7" ht="15.75" customHeight="1" x14ac:dyDescent="0.2">
      <c r="A30" s="116" t="s">
        <v>65</v>
      </c>
      <c r="B30" s="185" t="s">
        <v>70</v>
      </c>
      <c r="C30" s="186"/>
      <c r="D30" s="187"/>
      <c r="E30" s="119"/>
      <c r="F30" s="119"/>
      <c r="G30" s="120"/>
    </row>
    <row r="31" spans="1:7" ht="12.75" customHeight="1" x14ac:dyDescent="0.2">
      <c r="A31" s="121" t="s">
        <v>65</v>
      </c>
      <c r="B31" s="176" t="s">
        <v>71</v>
      </c>
      <c r="C31" s="177"/>
      <c r="D31" s="178"/>
      <c r="E31" s="123">
        <v>1</v>
      </c>
      <c r="F31" s="122"/>
      <c r="G31" s="124"/>
    </row>
    <row r="32" spans="1:7" ht="229.5" customHeight="1" x14ac:dyDescent="0.2">
      <c r="A32" s="129" t="s">
        <v>78</v>
      </c>
      <c r="B32" s="179" t="s">
        <v>114</v>
      </c>
      <c r="C32" s="180"/>
      <c r="D32" s="181"/>
      <c r="E32" s="130" t="s">
        <v>115</v>
      </c>
      <c r="F32" s="130" t="s">
        <v>116</v>
      </c>
      <c r="G32" s="131">
        <f>ROUND(0.0068  * 30 * 51.69,3)</f>
        <v>10.545</v>
      </c>
    </row>
    <row r="33" spans="1:7" ht="15.75" customHeight="1" x14ac:dyDescent="0.2">
      <c r="A33" s="97" t="s">
        <v>65</v>
      </c>
      <c r="B33" s="182" t="s">
        <v>66</v>
      </c>
      <c r="C33" s="183"/>
      <c r="D33" s="184"/>
      <c r="E33" s="98"/>
      <c r="F33" s="98"/>
      <c r="G33" s="99"/>
    </row>
    <row r="34" spans="1:7" ht="12.75" customHeight="1" x14ac:dyDescent="0.2">
      <c r="A34" s="116" t="s">
        <v>65</v>
      </c>
      <c r="B34" s="173" t="s">
        <v>67</v>
      </c>
      <c r="C34" s="174"/>
      <c r="D34" s="175"/>
      <c r="E34" s="117"/>
      <c r="F34" s="117"/>
      <c r="G34" s="118"/>
    </row>
    <row r="35" spans="1:7" ht="38.25" customHeight="1" x14ac:dyDescent="0.2">
      <c r="A35" s="116" t="s">
        <v>65</v>
      </c>
      <c r="B35" s="173" t="s">
        <v>106</v>
      </c>
      <c r="C35" s="174"/>
      <c r="D35" s="175"/>
      <c r="E35" s="117" t="s">
        <v>107</v>
      </c>
      <c r="F35" s="117"/>
      <c r="G35" s="118"/>
    </row>
    <row r="36" spans="1:7" ht="15.75" customHeight="1" x14ac:dyDescent="0.2">
      <c r="A36" s="116" t="s">
        <v>65</v>
      </c>
      <c r="B36" s="185" t="s">
        <v>70</v>
      </c>
      <c r="C36" s="186"/>
      <c r="D36" s="187"/>
      <c r="E36" s="119"/>
      <c r="F36" s="119"/>
      <c r="G36" s="120"/>
    </row>
    <row r="37" spans="1:7" ht="12.75" customHeight="1" x14ac:dyDescent="0.2">
      <c r="A37" s="121" t="s">
        <v>65</v>
      </c>
      <c r="B37" s="176" t="s">
        <v>71</v>
      </c>
      <c r="C37" s="177"/>
      <c r="D37" s="178"/>
      <c r="E37" s="123">
        <v>1</v>
      </c>
      <c r="F37" s="122"/>
      <c r="G37" s="124"/>
    </row>
    <row r="38" spans="1:7" ht="114.75" customHeight="1" x14ac:dyDescent="0.2">
      <c r="A38" s="129" t="s">
        <v>117</v>
      </c>
      <c r="B38" s="179" t="s">
        <v>118</v>
      </c>
      <c r="C38" s="180"/>
      <c r="D38" s="181"/>
      <c r="E38" s="130" t="s">
        <v>119</v>
      </c>
      <c r="F38" s="130" t="s">
        <v>120</v>
      </c>
      <c r="G38" s="131">
        <f>ROUND(0.0384  * 125 * 51.69,3)</f>
        <v>248.11199999999999</v>
      </c>
    </row>
    <row r="39" spans="1:7" ht="15.75" customHeight="1" x14ac:dyDescent="0.2">
      <c r="A39" s="97" t="s">
        <v>65</v>
      </c>
      <c r="B39" s="182" t="s">
        <v>66</v>
      </c>
      <c r="C39" s="183"/>
      <c r="D39" s="184"/>
      <c r="E39" s="98"/>
      <c r="F39" s="98"/>
      <c r="G39" s="99"/>
    </row>
    <row r="40" spans="1:7" ht="12.75" customHeight="1" x14ac:dyDescent="0.2">
      <c r="A40" s="116" t="s">
        <v>65</v>
      </c>
      <c r="B40" s="173" t="s">
        <v>67</v>
      </c>
      <c r="C40" s="174"/>
      <c r="D40" s="175"/>
      <c r="E40" s="117"/>
      <c r="F40" s="117"/>
      <c r="G40" s="118"/>
    </row>
    <row r="41" spans="1:7" ht="38.25" customHeight="1" x14ac:dyDescent="0.2">
      <c r="A41" s="116" t="s">
        <v>65</v>
      </c>
      <c r="B41" s="173" t="s">
        <v>106</v>
      </c>
      <c r="C41" s="174"/>
      <c r="D41" s="175"/>
      <c r="E41" s="117" t="s">
        <v>107</v>
      </c>
      <c r="F41" s="117"/>
      <c r="G41" s="118"/>
    </row>
    <row r="42" spans="1:7" ht="15.75" customHeight="1" x14ac:dyDescent="0.2">
      <c r="A42" s="116" t="s">
        <v>65</v>
      </c>
      <c r="B42" s="185" t="s">
        <v>70</v>
      </c>
      <c r="C42" s="186"/>
      <c r="D42" s="187"/>
      <c r="E42" s="119"/>
      <c r="F42" s="119"/>
      <c r="G42" s="120"/>
    </row>
    <row r="43" spans="1:7" ht="12.75" customHeight="1" x14ac:dyDescent="0.2">
      <c r="A43" s="121" t="s">
        <v>65</v>
      </c>
      <c r="B43" s="176" t="s">
        <v>71</v>
      </c>
      <c r="C43" s="177"/>
      <c r="D43" s="178"/>
      <c r="E43" s="123">
        <v>1</v>
      </c>
      <c r="F43" s="122"/>
      <c r="G43" s="124"/>
    </row>
    <row r="44" spans="1:7" ht="114.75" customHeight="1" x14ac:dyDescent="0.2">
      <c r="A44" s="129" t="s">
        <v>121</v>
      </c>
      <c r="B44" s="179" t="s">
        <v>122</v>
      </c>
      <c r="C44" s="180"/>
      <c r="D44" s="181"/>
      <c r="E44" s="130" t="s">
        <v>123</v>
      </c>
      <c r="F44" s="130" t="s">
        <v>124</v>
      </c>
      <c r="G44" s="131">
        <f>ROUND(0.0016  * 75 * 51.69,3)</f>
        <v>6.2030000000000003</v>
      </c>
    </row>
    <row r="45" spans="1:7" ht="15.75" customHeight="1" x14ac:dyDescent="0.2">
      <c r="A45" s="97" t="s">
        <v>65</v>
      </c>
      <c r="B45" s="182" t="s">
        <v>66</v>
      </c>
      <c r="C45" s="183"/>
      <c r="D45" s="184"/>
      <c r="E45" s="98"/>
      <c r="F45" s="98"/>
      <c r="G45" s="99"/>
    </row>
    <row r="46" spans="1:7" ht="12.75" customHeight="1" x14ac:dyDescent="0.2">
      <c r="A46" s="116" t="s">
        <v>65</v>
      </c>
      <c r="B46" s="173" t="s">
        <v>67</v>
      </c>
      <c r="C46" s="174"/>
      <c r="D46" s="175"/>
      <c r="E46" s="117"/>
      <c r="F46" s="117"/>
      <c r="G46" s="118"/>
    </row>
    <row r="47" spans="1:7" ht="38.25" customHeight="1" x14ac:dyDescent="0.2">
      <c r="A47" s="116" t="s">
        <v>65</v>
      </c>
      <c r="B47" s="173" t="s">
        <v>106</v>
      </c>
      <c r="C47" s="174"/>
      <c r="D47" s="175"/>
      <c r="E47" s="117" t="s">
        <v>107</v>
      </c>
      <c r="F47" s="117"/>
      <c r="G47" s="118"/>
    </row>
    <row r="48" spans="1:7" ht="15.75" customHeight="1" x14ac:dyDescent="0.2">
      <c r="A48" s="116" t="s">
        <v>65</v>
      </c>
      <c r="B48" s="185" t="s">
        <v>70</v>
      </c>
      <c r="C48" s="186"/>
      <c r="D48" s="187"/>
      <c r="E48" s="119"/>
      <c r="F48" s="119"/>
      <c r="G48" s="120"/>
    </row>
    <row r="49" spans="1:7" ht="12.75" customHeight="1" x14ac:dyDescent="0.2">
      <c r="A49" s="121" t="s">
        <v>65</v>
      </c>
      <c r="B49" s="176" t="s">
        <v>71</v>
      </c>
      <c r="C49" s="177"/>
      <c r="D49" s="178"/>
      <c r="E49" s="123">
        <v>1</v>
      </c>
      <c r="F49" s="122"/>
      <c r="G49" s="124"/>
    </row>
    <row r="50" spans="1:7" ht="153" customHeight="1" x14ac:dyDescent="0.2">
      <c r="A50" s="129" t="s">
        <v>125</v>
      </c>
      <c r="B50" s="179" t="s">
        <v>126</v>
      </c>
      <c r="C50" s="180"/>
      <c r="D50" s="181"/>
      <c r="E50" s="130" t="s">
        <v>127</v>
      </c>
      <c r="F50" s="130" t="s">
        <v>128</v>
      </c>
      <c r="G50" s="131">
        <f>ROUND(0.0229  * 17 * 51.69,3)</f>
        <v>20.123000000000001</v>
      </c>
    </row>
    <row r="51" spans="1:7" ht="15.75" customHeight="1" x14ac:dyDescent="0.2">
      <c r="A51" s="97" t="s">
        <v>65</v>
      </c>
      <c r="B51" s="182" t="s">
        <v>66</v>
      </c>
      <c r="C51" s="183"/>
      <c r="D51" s="184"/>
      <c r="E51" s="98"/>
      <c r="F51" s="98"/>
      <c r="G51" s="99"/>
    </row>
    <row r="52" spans="1:7" ht="12.75" customHeight="1" x14ac:dyDescent="0.2">
      <c r="A52" s="116" t="s">
        <v>65</v>
      </c>
      <c r="B52" s="173" t="s">
        <v>67</v>
      </c>
      <c r="C52" s="174"/>
      <c r="D52" s="175"/>
      <c r="E52" s="117"/>
      <c r="F52" s="117"/>
      <c r="G52" s="118"/>
    </row>
    <row r="53" spans="1:7" ht="38.25" customHeight="1" x14ac:dyDescent="0.2">
      <c r="A53" s="116" t="s">
        <v>65</v>
      </c>
      <c r="B53" s="173" t="s">
        <v>106</v>
      </c>
      <c r="C53" s="174"/>
      <c r="D53" s="175"/>
      <c r="E53" s="117" t="s">
        <v>107</v>
      </c>
      <c r="F53" s="117"/>
      <c r="G53" s="118"/>
    </row>
    <row r="54" spans="1:7" ht="15.75" customHeight="1" x14ac:dyDescent="0.2">
      <c r="A54" s="116" t="s">
        <v>65</v>
      </c>
      <c r="B54" s="185" t="s">
        <v>70</v>
      </c>
      <c r="C54" s="186"/>
      <c r="D54" s="187"/>
      <c r="E54" s="119"/>
      <c r="F54" s="119"/>
      <c r="G54" s="120"/>
    </row>
    <row r="55" spans="1:7" ht="12.75" customHeight="1" x14ac:dyDescent="0.2">
      <c r="A55" s="121" t="s">
        <v>65</v>
      </c>
      <c r="B55" s="176" t="s">
        <v>71</v>
      </c>
      <c r="C55" s="177"/>
      <c r="D55" s="178"/>
      <c r="E55" s="123">
        <v>1</v>
      </c>
      <c r="F55" s="122"/>
      <c r="G55" s="124"/>
    </row>
    <row r="56" spans="1:7" ht="153" customHeight="1" x14ac:dyDescent="0.2">
      <c r="A56" s="129" t="s">
        <v>129</v>
      </c>
      <c r="B56" s="179" t="s">
        <v>130</v>
      </c>
      <c r="C56" s="180"/>
      <c r="D56" s="181"/>
      <c r="E56" s="130" t="s">
        <v>131</v>
      </c>
      <c r="F56" s="130" t="s">
        <v>132</v>
      </c>
      <c r="G56" s="131">
        <f>ROUND(0.0306  * 17 * 51.69,3)</f>
        <v>26.888999999999999</v>
      </c>
    </row>
    <row r="57" spans="1:7" ht="15.75" customHeight="1" x14ac:dyDescent="0.2">
      <c r="A57" s="97" t="s">
        <v>65</v>
      </c>
      <c r="B57" s="182" t="s">
        <v>66</v>
      </c>
      <c r="C57" s="183"/>
      <c r="D57" s="184"/>
      <c r="E57" s="98"/>
      <c r="F57" s="98"/>
      <c r="G57" s="99"/>
    </row>
    <row r="58" spans="1:7" ht="12.75" customHeight="1" x14ac:dyDescent="0.2">
      <c r="A58" s="116" t="s">
        <v>65</v>
      </c>
      <c r="B58" s="173" t="s">
        <v>67</v>
      </c>
      <c r="C58" s="174"/>
      <c r="D58" s="175"/>
      <c r="E58" s="117"/>
      <c r="F58" s="117"/>
      <c r="G58" s="118"/>
    </row>
    <row r="59" spans="1:7" ht="38.25" customHeight="1" x14ac:dyDescent="0.2">
      <c r="A59" s="116" t="s">
        <v>65</v>
      </c>
      <c r="B59" s="173" t="s">
        <v>106</v>
      </c>
      <c r="C59" s="174"/>
      <c r="D59" s="175"/>
      <c r="E59" s="117" t="s">
        <v>107</v>
      </c>
      <c r="F59" s="117"/>
      <c r="G59" s="118"/>
    </row>
    <row r="60" spans="1:7" ht="15.75" customHeight="1" x14ac:dyDescent="0.2">
      <c r="A60" s="116" t="s">
        <v>65</v>
      </c>
      <c r="B60" s="185" t="s">
        <v>70</v>
      </c>
      <c r="C60" s="186"/>
      <c r="D60" s="187"/>
      <c r="E60" s="119"/>
      <c r="F60" s="119"/>
      <c r="G60" s="120"/>
    </row>
    <row r="61" spans="1:7" ht="12.75" customHeight="1" x14ac:dyDescent="0.2">
      <c r="A61" s="121" t="s">
        <v>65</v>
      </c>
      <c r="B61" s="176" t="s">
        <v>71</v>
      </c>
      <c r="C61" s="177"/>
      <c r="D61" s="178"/>
      <c r="E61" s="123">
        <v>1</v>
      </c>
      <c r="F61" s="122"/>
      <c r="G61" s="124"/>
    </row>
    <row r="62" spans="1:7" ht="165.75" customHeight="1" x14ac:dyDescent="0.2">
      <c r="A62" s="129" t="s">
        <v>133</v>
      </c>
      <c r="B62" s="179" t="s">
        <v>134</v>
      </c>
      <c r="C62" s="180"/>
      <c r="D62" s="181"/>
      <c r="E62" s="130" t="s">
        <v>135</v>
      </c>
      <c r="F62" s="130" t="s">
        <v>136</v>
      </c>
      <c r="G62" s="131">
        <f>ROUND(1.163  * 2 * 51.69,3)</f>
        <v>120.23099999999999</v>
      </c>
    </row>
    <row r="63" spans="1:7" ht="15.75" customHeight="1" x14ac:dyDescent="0.2">
      <c r="A63" s="97" t="s">
        <v>65</v>
      </c>
      <c r="B63" s="182" t="s">
        <v>66</v>
      </c>
      <c r="C63" s="183"/>
      <c r="D63" s="184"/>
      <c r="E63" s="98"/>
      <c r="F63" s="98"/>
      <c r="G63" s="99"/>
    </row>
    <row r="64" spans="1:7" ht="12.75" customHeight="1" x14ac:dyDescent="0.2">
      <c r="A64" s="116" t="s">
        <v>65</v>
      </c>
      <c r="B64" s="173" t="s">
        <v>67</v>
      </c>
      <c r="C64" s="174"/>
      <c r="D64" s="175"/>
      <c r="E64" s="117"/>
      <c r="F64" s="117"/>
      <c r="G64" s="118"/>
    </row>
    <row r="65" spans="1:7" ht="38.25" customHeight="1" x14ac:dyDescent="0.2">
      <c r="A65" s="116" t="s">
        <v>65</v>
      </c>
      <c r="B65" s="173" t="s">
        <v>106</v>
      </c>
      <c r="C65" s="174"/>
      <c r="D65" s="175"/>
      <c r="E65" s="117" t="s">
        <v>107</v>
      </c>
      <c r="F65" s="117"/>
      <c r="G65" s="118"/>
    </row>
    <row r="66" spans="1:7" ht="15.75" customHeight="1" x14ac:dyDescent="0.2">
      <c r="A66" s="116" t="s">
        <v>65</v>
      </c>
      <c r="B66" s="185" t="s">
        <v>70</v>
      </c>
      <c r="C66" s="186"/>
      <c r="D66" s="187"/>
      <c r="E66" s="119"/>
      <c r="F66" s="119"/>
      <c r="G66" s="120"/>
    </row>
    <row r="67" spans="1:7" ht="12.75" customHeight="1" x14ac:dyDescent="0.2">
      <c r="A67" s="121" t="s">
        <v>65</v>
      </c>
      <c r="B67" s="176" t="s">
        <v>71</v>
      </c>
      <c r="C67" s="177"/>
      <c r="D67" s="178"/>
      <c r="E67" s="123">
        <v>1</v>
      </c>
      <c r="F67" s="122"/>
      <c r="G67" s="124"/>
    </row>
    <row r="68" spans="1:7" ht="25.5" customHeight="1" x14ac:dyDescent="0.2">
      <c r="A68" s="132" t="s">
        <v>137</v>
      </c>
      <c r="B68" s="166" t="s">
        <v>77</v>
      </c>
      <c r="C68" s="167"/>
      <c r="D68" s="168"/>
      <c r="E68" s="133"/>
      <c r="F68" s="133"/>
      <c r="G68" s="134">
        <f>ROUND((SUM($G$14:$G$62)),3)</f>
        <v>443.82</v>
      </c>
    </row>
    <row r="69" spans="1:7" ht="25.5" customHeight="1" x14ac:dyDescent="0.2">
      <c r="A69" s="132" t="s">
        <v>138</v>
      </c>
      <c r="B69" s="166" t="s">
        <v>79</v>
      </c>
      <c r="C69" s="167"/>
      <c r="D69" s="168"/>
      <c r="E69" s="133"/>
      <c r="F69" s="133"/>
      <c r="G69" s="134">
        <f>ROUND(($G$68),3)</f>
        <v>443.82</v>
      </c>
    </row>
    <row r="70" spans="1:7" ht="12.75" customHeight="1" x14ac:dyDescent="0.2">
      <c r="A70" s="132" t="s">
        <v>10</v>
      </c>
      <c r="B70" s="166" t="s">
        <v>59</v>
      </c>
      <c r="C70" s="167"/>
      <c r="D70" s="168"/>
      <c r="E70" s="133" t="s">
        <v>22</v>
      </c>
      <c r="F70" s="133"/>
      <c r="G70" s="135"/>
    </row>
    <row r="71" spans="1:7" ht="229.5" customHeight="1" x14ac:dyDescent="0.2">
      <c r="A71" s="196" t="s">
        <v>80</v>
      </c>
      <c r="B71" s="179" t="s">
        <v>139</v>
      </c>
      <c r="C71" s="180"/>
      <c r="D71" s="181"/>
      <c r="E71" s="194" t="s">
        <v>140</v>
      </c>
      <c r="F71" s="194" t="s">
        <v>141</v>
      </c>
      <c r="G71" s="195">
        <f>ROUND(0.193  * 5 * 51.69,3)</f>
        <v>49.881</v>
      </c>
    </row>
    <row r="72" spans="1:7" ht="12.75" customHeight="1" x14ac:dyDescent="0.2">
      <c r="A72" s="190"/>
      <c r="B72" s="191"/>
      <c r="C72" s="192"/>
      <c r="D72" s="193"/>
      <c r="E72" s="188"/>
      <c r="F72" s="188"/>
      <c r="G72" s="189"/>
    </row>
    <row r="73" spans="1:7" ht="15.75" customHeight="1" x14ac:dyDescent="0.2">
      <c r="A73" s="97" t="s">
        <v>65</v>
      </c>
      <c r="B73" s="182" t="s">
        <v>66</v>
      </c>
      <c r="C73" s="183"/>
      <c r="D73" s="184"/>
      <c r="E73" s="98"/>
      <c r="F73" s="98"/>
      <c r="G73" s="99"/>
    </row>
    <row r="74" spans="1:7" ht="12.75" customHeight="1" x14ac:dyDescent="0.2">
      <c r="A74" s="116" t="s">
        <v>65</v>
      </c>
      <c r="B74" s="173" t="s">
        <v>67</v>
      </c>
      <c r="C74" s="174"/>
      <c r="D74" s="175"/>
      <c r="E74" s="117"/>
      <c r="F74" s="117"/>
      <c r="G74" s="118"/>
    </row>
    <row r="75" spans="1:7" ht="38.25" customHeight="1" x14ac:dyDescent="0.2">
      <c r="A75" s="116" t="s">
        <v>65</v>
      </c>
      <c r="B75" s="173" t="s">
        <v>106</v>
      </c>
      <c r="C75" s="174"/>
      <c r="D75" s="175"/>
      <c r="E75" s="117" t="s">
        <v>107</v>
      </c>
      <c r="F75" s="117"/>
      <c r="G75" s="118"/>
    </row>
    <row r="76" spans="1:7" ht="15.75" customHeight="1" x14ac:dyDescent="0.2">
      <c r="A76" s="116" t="s">
        <v>65</v>
      </c>
      <c r="B76" s="185" t="s">
        <v>70</v>
      </c>
      <c r="C76" s="186"/>
      <c r="D76" s="187"/>
      <c r="E76" s="119"/>
      <c r="F76" s="119"/>
      <c r="G76" s="120"/>
    </row>
    <row r="77" spans="1:7" ht="12.75" customHeight="1" x14ac:dyDescent="0.2">
      <c r="A77" s="121" t="s">
        <v>65</v>
      </c>
      <c r="B77" s="176" t="s">
        <v>71</v>
      </c>
      <c r="C77" s="177"/>
      <c r="D77" s="178"/>
      <c r="E77" s="123">
        <v>1</v>
      </c>
      <c r="F77" s="122"/>
      <c r="G77" s="124"/>
    </row>
    <row r="78" spans="1:7" ht="178.5" customHeight="1" x14ac:dyDescent="0.2">
      <c r="A78" s="129" t="s">
        <v>83</v>
      </c>
      <c r="B78" s="179" t="s">
        <v>142</v>
      </c>
      <c r="C78" s="180"/>
      <c r="D78" s="181"/>
      <c r="E78" s="130" t="s">
        <v>143</v>
      </c>
      <c r="F78" s="130" t="s">
        <v>144</v>
      </c>
      <c r="G78" s="131">
        <f>ROUND(0.0182  * 5 * 51.69,3)</f>
        <v>4.7039999999999997</v>
      </c>
    </row>
    <row r="79" spans="1:7" ht="15.75" customHeight="1" x14ac:dyDescent="0.2">
      <c r="A79" s="97" t="s">
        <v>65</v>
      </c>
      <c r="B79" s="182" t="s">
        <v>66</v>
      </c>
      <c r="C79" s="183"/>
      <c r="D79" s="184"/>
      <c r="E79" s="98"/>
      <c r="F79" s="98"/>
      <c r="G79" s="99"/>
    </row>
    <row r="80" spans="1:7" ht="12.75" customHeight="1" x14ac:dyDescent="0.2">
      <c r="A80" s="116" t="s">
        <v>65</v>
      </c>
      <c r="B80" s="173" t="s">
        <v>67</v>
      </c>
      <c r="C80" s="174"/>
      <c r="D80" s="175"/>
      <c r="E80" s="117"/>
      <c r="F80" s="117"/>
      <c r="G80" s="118"/>
    </row>
    <row r="81" spans="1:7" ht="38.25" customHeight="1" x14ac:dyDescent="0.2">
      <c r="A81" s="116" t="s">
        <v>65</v>
      </c>
      <c r="B81" s="173" t="s">
        <v>106</v>
      </c>
      <c r="C81" s="174"/>
      <c r="D81" s="175"/>
      <c r="E81" s="117" t="s">
        <v>107</v>
      </c>
      <c r="F81" s="117"/>
      <c r="G81" s="118"/>
    </row>
    <row r="82" spans="1:7" ht="15.75" customHeight="1" x14ac:dyDescent="0.2">
      <c r="A82" s="116" t="s">
        <v>65</v>
      </c>
      <c r="B82" s="185" t="s">
        <v>70</v>
      </c>
      <c r="C82" s="186"/>
      <c r="D82" s="187"/>
      <c r="E82" s="119"/>
      <c r="F82" s="119"/>
      <c r="G82" s="120"/>
    </row>
    <row r="83" spans="1:7" ht="12.75" customHeight="1" x14ac:dyDescent="0.2">
      <c r="A83" s="121" t="s">
        <v>65</v>
      </c>
      <c r="B83" s="176" t="s">
        <v>71</v>
      </c>
      <c r="C83" s="177"/>
      <c r="D83" s="178"/>
      <c r="E83" s="123">
        <v>1</v>
      </c>
      <c r="F83" s="122"/>
      <c r="G83" s="124"/>
    </row>
    <row r="84" spans="1:7" ht="178.5" customHeight="1" x14ac:dyDescent="0.2">
      <c r="A84" s="129" t="s">
        <v>85</v>
      </c>
      <c r="B84" s="179" t="s">
        <v>145</v>
      </c>
      <c r="C84" s="180"/>
      <c r="D84" s="181"/>
      <c r="E84" s="130" t="s">
        <v>146</v>
      </c>
      <c r="F84" s="130" t="s">
        <v>147</v>
      </c>
      <c r="G84" s="131">
        <f>ROUND(0.0091  * 5 * 51.69,3)</f>
        <v>2.3519999999999999</v>
      </c>
    </row>
    <row r="85" spans="1:7" ht="15.75" customHeight="1" x14ac:dyDescent="0.2">
      <c r="A85" s="97" t="s">
        <v>65</v>
      </c>
      <c r="B85" s="182" t="s">
        <v>66</v>
      </c>
      <c r="C85" s="183"/>
      <c r="D85" s="184"/>
      <c r="E85" s="98"/>
      <c r="F85" s="98"/>
      <c r="G85" s="99"/>
    </row>
    <row r="86" spans="1:7" ht="12.75" customHeight="1" x14ac:dyDescent="0.2">
      <c r="A86" s="116" t="s">
        <v>65</v>
      </c>
      <c r="B86" s="173" t="s">
        <v>67</v>
      </c>
      <c r="C86" s="174"/>
      <c r="D86" s="175"/>
      <c r="E86" s="117"/>
      <c r="F86" s="117"/>
      <c r="G86" s="118"/>
    </row>
    <row r="87" spans="1:7" ht="38.25" customHeight="1" x14ac:dyDescent="0.2">
      <c r="A87" s="116" t="s">
        <v>65</v>
      </c>
      <c r="B87" s="173" t="s">
        <v>106</v>
      </c>
      <c r="C87" s="174"/>
      <c r="D87" s="175"/>
      <c r="E87" s="117" t="s">
        <v>107</v>
      </c>
      <c r="F87" s="117"/>
      <c r="G87" s="118"/>
    </row>
    <row r="88" spans="1:7" ht="15.75" customHeight="1" x14ac:dyDescent="0.2">
      <c r="A88" s="116" t="s">
        <v>65</v>
      </c>
      <c r="B88" s="185" t="s">
        <v>70</v>
      </c>
      <c r="C88" s="186"/>
      <c r="D88" s="187"/>
      <c r="E88" s="119"/>
      <c r="F88" s="119"/>
      <c r="G88" s="120"/>
    </row>
    <row r="89" spans="1:7" ht="12.75" customHeight="1" x14ac:dyDescent="0.2">
      <c r="A89" s="121" t="s">
        <v>65</v>
      </c>
      <c r="B89" s="176" t="s">
        <v>71</v>
      </c>
      <c r="C89" s="177"/>
      <c r="D89" s="178"/>
      <c r="E89" s="123">
        <v>1</v>
      </c>
      <c r="F89" s="122"/>
      <c r="G89" s="124"/>
    </row>
    <row r="90" spans="1:7" ht="178.5" customHeight="1" x14ac:dyDescent="0.2">
      <c r="A90" s="129" t="s">
        <v>148</v>
      </c>
      <c r="B90" s="179" t="s">
        <v>149</v>
      </c>
      <c r="C90" s="180"/>
      <c r="D90" s="181"/>
      <c r="E90" s="130" t="s">
        <v>150</v>
      </c>
      <c r="F90" s="130" t="s">
        <v>151</v>
      </c>
      <c r="G90" s="131">
        <f>ROUND(0.0019  * 5 * 51.69,3)</f>
        <v>0.49099999999999999</v>
      </c>
    </row>
    <row r="91" spans="1:7" ht="15.75" customHeight="1" x14ac:dyDescent="0.2">
      <c r="A91" s="97" t="s">
        <v>65</v>
      </c>
      <c r="B91" s="182" t="s">
        <v>66</v>
      </c>
      <c r="C91" s="183"/>
      <c r="D91" s="184"/>
      <c r="E91" s="98"/>
      <c r="F91" s="98"/>
      <c r="G91" s="99"/>
    </row>
    <row r="92" spans="1:7" ht="12.75" customHeight="1" x14ac:dyDescent="0.2">
      <c r="A92" s="116" t="s">
        <v>65</v>
      </c>
      <c r="B92" s="173" t="s">
        <v>67</v>
      </c>
      <c r="C92" s="174"/>
      <c r="D92" s="175"/>
      <c r="E92" s="117"/>
      <c r="F92" s="117"/>
      <c r="G92" s="118"/>
    </row>
    <row r="93" spans="1:7" ht="38.25" customHeight="1" x14ac:dyDescent="0.2">
      <c r="A93" s="116" t="s">
        <v>65</v>
      </c>
      <c r="B93" s="173" t="s">
        <v>106</v>
      </c>
      <c r="C93" s="174"/>
      <c r="D93" s="175"/>
      <c r="E93" s="117" t="s">
        <v>107</v>
      </c>
      <c r="F93" s="117"/>
      <c r="G93" s="118"/>
    </row>
    <row r="94" spans="1:7" ht="15.75" customHeight="1" x14ac:dyDescent="0.2">
      <c r="A94" s="116" t="s">
        <v>65</v>
      </c>
      <c r="B94" s="185" t="s">
        <v>70</v>
      </c>
      <c r="C94" s="186"/>
      <c r="D94" s="187"/>
      <c r="E94" s="119"/>
      <c r="F94" s="119"/>
      <c r="G94" s="120"/>
    </row>
    <row r="95" spans="1:7" ht="12.75" customHeight="1" x14ac:dyDescent="0.2">
      <c r="A95" s="121" t="s">
        <v>65</v>
      </c>
      <c r="B95" s="176" t="s">
        <v>71</v>
      </c>
      <c r="C95" s="177"/>
      <c r="D95" s="178"/>
      <c r="E95" s="123">
        <v>1</v>
      </c>
      <c r="F95" s="122"/>
      <c r="G95" s="124"/>
    </row>
    <row r="96" spans="1:7" ht="178.5" customHeight="1" x14ac:dyDescent="0.2">
      <c r="A96" s="129" t="s">
        <v>152</v>
      </c>
      <c r="B96" s="179" t="s">
        <v>153</v>
      </c>
      <c r="C96" s="180"/>
      <c r="D96" s="181"/>
      <c r="E96" s="130" t="s">
        <v>154</v>
      </c>
      <c r="F96" s="130" t="s">
        <v>155</v>
      </c>
      <c r="G96" s="131">
        <f>ROUND(0.0034  * 5 * 51.69,3)</f>
        <v>0.879</v>
      </c>
    </row>
    <row r="97" spans="1:7" ht="15.75" customHeight="1" x14ac:dyDescent="0.2">
      <c r="A97" s="97" t="s">
        <v>65</v>
      </c>
      <c r="B97" s="182" t="s">
        <v>66</v>
      </c>
      <c r="C97" s="183"/>
      <c r="D97" s="184"/>
      <c r="E97" s="98"/>
      <c r="F97" s="98"/>
      <c r="G97" s="99"/>
    </row>
    <row r="98" spans="1:7" ht="12.75" customHeight="1" x14ac:dyDescent="0.2">
      <c r="A98" s="116" t="s">
        <v>65</v>
      </c>
      <c r="B98" s="173" t="s">
        <v>67</v>
      </c>
      <c r="C98" s="174"/>
      <c r="D98" s="175"/>
      <c r="E98" s="117"/>
      <c r="F98" s="117"/>
      <c r="G98" s="118"/>
    </row>
    <row r="99" spans="1:7" ht="38.25" customHeight="1" x14ac:dyDescent="0.2">
      <c r="A99" s="116" t="s">
        <v>65</v>
      </c>
      <c r="B99" s="173" t="s">
        <v>106</v>
      </c>
      <c r="C99" s="174"/>
      <c r="D99" s="175"/>
      <c r="E99" s="117" t="s">
        <v>107</v>
      </c>
      <c r="F99" s="117"/>
      <c r="G99" s="118"/>
    </row>
    <row r="100" spans="1:7" ht="15.75" customHeight="1" x14ac:dyDescent="0.2">
      <c r="A100" s="116" t="s">
        <v>65</v>
      </c>
      <c r="B100" s="185" t="s">
        <v>70</v>
      </c>
      <c r="C100" s="186"/>
      <c r="D100" s="187"/>
      <c r="E100" s="119"/>
      <c r="F100" s="119"/>
      <c r="G100" s="120"/>
    </row>
    <row r="101" spans="1:7" ht="12.75" customHeight="1" x14ac:dyDescent="0.2">
      <c r="A101" s="121" t="s">
        <v>65</v>
      </c>
      <c r="B101" s="176" t="s">
        <v>71</v>
      </c>
      <c r="C101" s="177"/>
      <c r="D101" s="178"/>
      <c r="E101" s="123">
        <v>1</v>
      </c>
      <c r="F101" s="122"/>
      <c r="G101" s="124"/>
    </row>
    <row r="102" spans="1:7" ht="165.75" customHeight="1" x14ac:dyDescent="0.2">
      <c r="A102" s="129" t="s">
        <v>156</v>
      </c>
      <c r="B102" s="179" t="s">
        <v>157</v>
      </c>
      <c r="C102" s="180"/>
      <c r="D102" s="181"/>
      <c r="E102" s="130" t="s">
        <v>158</v>
      </c>
      <c r="F102" s="130" t="s">
        <v>159</v>
      </c>
      <c r="G102" s="131">
        <f>ROUND(0.0038  * 9 * 51.69,3)</f>
        <v>1.768</v>
      </c>
    </row>
    <row r="103" spans="1:7" ht="15.75" customHeight="1" x14ac:dyDescent="0.2">
      <c r="A103" s="97" t="s">
        <v>65</v>
      </c>
      <c r="B103" s="182" t="s">
        <v>66</v>
      </c>
      <c r="C103" s="183"/>
      <c r="D103" s="184"/>
      <c r="E103" s="98"/>
      <c r="F103" s="98"/>
      <c r="G103" s="99"/>
    </row>
    <row r="104" spans="1:7" ht="12.75" customHeight="1" x14ac:dyDescent="0.2">
      <c r="A104" s="116" t="s">
        <v>65</v>
      </c>
      <c r="B104" s="173" t="s">
        <v>67</v>
      </c>
      <c r="C104" s="174"/>
      <c r="D104" s="175"/>
      <c r="E104" s="117"/>
      <c r="F104" s="117"/>
      <c r="G104" s="118"/>
    </row>
    <row r="105" spans="1:7" ht="38.25" customHeight="1" x14ac:dyDescent="0.2">
      <c r="A105" s="116" t="s">
        <v>65</v>
      </c>
      <c r="B105" s="173" t="s">
        <v>106</v>
      </c>
      <c r="C105" s="174"/>
      <c r="D105" s="175"/>
      <c r="E105" s="117" t="s">
        <v>107</v>
      </c>
      <c r="F105" s="117"/>
      <c r="G105" s="118"/>
    </row>
    <row r="106" spans="1:7" ht="15.75" customHeight="1" x14ac:dyDescent="0.2">
      <c r="A106" s="116" t="s">
        <v>65</v>
      </c>
      <c r="B106" s="185" t="s">
        <v>70</v>
      </c>
      <c r="C106" s="186"/>
      <c r="D106" s="187"/>
      <c r="E106" s="119"/>
      <c r="F106" s="119"/>
      <c r="G106" s="120"/>
    </row>
    <row r="107" spans="1:7" ht="12.75" customHeight="1" x14ac:dyDescent="0.2">
      <c r="A107" s="121" t="s">
        <v>65</v>
      </c>
      <c r="B107" s="176" t="s">
        <v>71</v>
      </c>
      <c r="C107" s="177"/>
      <c r="D107" s="178"/>
      <c r="E107" s="123">
        <v>1</v>
      </c>
      <c r="F107" s="122"/>
      <c r="G107" s="124"/>
    </row>
    <row r="108" spans="1:7" ht="165.75" customHeight="1" x14ac:dyDescent="0.2">
      <c r="A108" s="129" t="s">
        <v>160</v>
      </c>
      <c r="B108" s="179" t="s">
        <v>161</v>
      </c>
      <c r="C108" s="180"/>
      <c r="D108" s="181"/>
      <c r="E108" s="130" t="s">
        <v>162</v>
      </c>
      <c r="F108" s="130" t="s">
        <v>163</v>
      </c>
      <c r="G108" s="131">
        <f>ROUND(0.0488  * 9 * 51.69,3)</f>
        <v>22.702000000000002</v>
      </c>
    </row>
    <row r="109" spans="1:7" ht="15.75" customHeight="1" x14ac:dyDescent="0.2">
      <c r="A109" s="97" t="s">
        <v>65</v>
      </c>
      <c r="B109" s="182" t="s">
        <v>66</v>
      </c>
      <c r="C109" s="183"/>
      <c r="D109" s="184"/>
      <c r="E109" s="98"/>
      <c r="F109" s="98"/>
      <c r="G109" s="99"/>
    </row>
    <row r="110" spans="1:7" ht="12.75" customHeight="1" x14ac:dyDescent="0.2">
      <c r="A110" s="116" t="s">
        <v>65</v>
      </c>
      <c r="B110" s="173" t="s">
        <v>67</v>
      </c>
      <c r="C110" s="174"/>
      <c r="D110" s="175"/>
      <c r="E110" s="117"/>
      <c r="F110" s="117"/>
      <c r="G110" s="118"/>
    </row>
    <row r="111" spans="1:7" ht="38.25" customHeight="1" x14ac:dyDescent="0.2">
      <c r="A111" s="116" t="s">
        <v>65</v>
      </c>
      <c r="B111" s="173" t="s">
        <v>106</v>
      </c>
      <c r="C111" s="174"/>
      <c r="D111" s="175"/>
      <c r="E111" s="117" t="s">
        <v>107</v>
      </c>
      <c r="F111" s="117"/>
      <c r="G111" s="118"/>
    </row>
    <row r="112" spans="1:7" ht="15.75" customHeight="1" x14ac:dyDescent="0.2">
      <c r="A112" s="116" t="s">
        <v>65</v>
      </c>
      <c r="B112" s="185" t="s">
        <v>70</v>
      </c>
      <c r="C112" s="186"/>
      <c r="D112" s="187"/>
      <c r="E112" s="119"/>
      <c r="F112" s="119"/>
      <c r="G112" s="120"/>
    </row>
    <row r="113" spans="1:7" ht="12.75" customHeight="1" x14ac:dyDescent="0.2">
      <c r="A113" s="121" t="s">
        <v>65</v>
      </c>
      <c r="B113" s="176" t="s">
        <v>71</v>
      </c>
      <c r="C113" s="177"/>
      <c r="D113" s="178"/>
      <c r="E113" s="123">
        <v>1</v>
      </c>
      <c r="F113" s="122"/>
      <c r="G113" s="124"/>
    </row>
    <row r="114" spans="1:7" ht="165.75" customHeight="1" x14ac:dyDescent="0.2">
      <c r="A114" s="129" t="s">
        <v>164</v>
      </c>
      <c r="B114" s="179" t="s">
        <v>165</v>
      </c>
      <c r="C114" s="180"/>
      <c r="D114" s="181"/>
      <c r="E114" s="130" t="s">
        <v>166</v>
      </c>
      <c r="F114" s="130" t="s">
        <v>167</v>
      </c>
      <c r="G114" s="131">
        <f>ROUND(0.0182  * 9 * 51.69,3)</f>
        <v>8.4670000000000005</v>
      </c>
    </row>
    <row r="115" spans="1:7" ht="15.75" customHeight="1" x14ac:dyDescent="0.2">
      <c r="A115" s="97" t="s">
        <v>65</v>
      </c>
      <c r="B115" s="182" t="s">
        <v>66</v>
      </c>
      <c r="C115" s="183"/>
      <c r="D115" s="184"/>
      <c r="E115" s="98"/>
      <c r="F115" s="98"/>
      <c r="G115" s="99"/>
    </row>
    <row r="116" spans="1:7" ht="12.75" customHeight="1" x14ac:dyDescent="0.2">
      <c r="A116" s="116" t="s">
        <v>65</v>
      </c>
      <c r="B116" s="173" t="s">
        <v>67</v>
      </c>
      <c r="C116" s="174"/>
      <c r="D116" s="175"/>
      <c r="E116" s="117"/>
      <c r="F116" s="117"/>
      <c r="G116" s="118"/>
    </row>
    <row r="117" spans="1:7" ht="38.25" customHeight="1" x14ac:dyDescent="0.2">
      <c r="A117" s="116" t="s">
        <v>65</v>
      </c>
      <c r="B117" s="173" t="s">
        <v>106</v>
      </c>
      <c r="C117" s="174"/>
      <c r="D117" s="175"/>
      <c r="E117" s="117" t="s">
        <v>107</v>
      </c>
      <c r="F117" s="117"/>
      <c r="G117" s="118"/>
    </row>
    <row r="118" spans="1:7" ht="15.75" customHeight="1" x14ac:dyDescent="0.2">
      <c r="A118" s="116" t="s">
        <v>65</v>
      </c>
      <c r="B118" s="185" t="s">
        <v>70</v>
      </c>
      <c r="C118" s="186"/>
      <c r="D118" s="187"/>
      <c r="E118" s="119"/>
      <c r="F118" s="119"/>
      <c r="G118" s="120"/>
    </row>
    <row r="119" spans="1:7" ht="12.75" customHeight="1" x14ac:dyDescent="0.2">
      <c r="A119" s="121" t="s">
        <v>65</v>
      </c>
      <c r="B119" s="176" t="s">
        <v>71</v>
      </c>
      <c r="C119" s="177"/>
      <c r="D119" s="178"/>
      <c r="E119" s="123">
        <v>1</v>
      </c>
      <c r="F119" s="122"/>
      <c r="G119" s="124"/>
    </row>
    <row r="120" spans="1:7" ht="165.75" customHeight="1" x14ac:dyDescent="0.2">
      <c r="A120" s="129" t="s">
        <v>168</v>
      </c>
      <c r="B120" s="179" t="s">
        <v>169</v>
      </c>
      <c r="C120" s="180"/>
      <c r="D120" s="181"/>
      <c r="E120" s="130" t="s">
        <v>170</v>
      </c>
      <c r="F120" s="130" t="s">
        <v>171</v>
      </c>
      <c r="G120" s="131">
        <f>ROUND(0.0457  * 9 * 51.69,3)</f>
        <v>21.26</v>
      </c>
    </row>
    <row r="121" spans="1:7" ht="15.75" customHeight="1" x14ac:dyDescent="0.2">
      <c r="A121" s="97" t="s">
        <v>65</v>
      </c>
      <c r="B121" s="182" t="s">
        <v>66</v>
      </c>
      <c r="C121" s="183"/>
      <c r="D121" s="184"/>
      <c r="E121" s="98"/>
      <c r="F121" s="98"/>
      <c r="G121" s="99"/>
    </row>
    <row r="122" spans="1:7" ht="12.75" customHeight="1" x14ac:dyDescent="0.2">
      <c r="A122" s="116" t="s">
        <v>65</v>
      </c>
      <c r="B122" s="173" t="s">
        <v>67</v>
      </c>
      <c r="C122" s="174"/>
      <c r="D122" s="175"/>
      <c r="E122" s="117"/>
      <c r="F122" s="117"/>
      <c r="G122" s="118"/>
    </row>
    <row r="123" spans="1:7" ht="38.25" customHeight="1" x14ac:dyDescent="0.2">
      <c r="A123" s="116" t="s">
        <v>65</v>
      </c>
      <c r="B123" s="173" t="s">
        <v>106</v>
      </c>
      <c r="C123" s="174"/>
      <c r="D123" s="175"/>
      <c r="E123" s="117" t="s">
        <v>107</v>
      </c>
      <c r="F123" s="117"/>
      <c r="G123" s="118"/>
    </row>
    <row r="124" spans="1:7" ht="15.75" customHeight="1" x14ac:dyDescent="0.2">
      <c r="A124" s="116" t="s">
        <v>65</v>
      </c>
      <c r="B124" s="185" t="s">
        <v>70</v>
      </c>
      <c r="C124" s="186"/>
      <c r="D124" s="187"/>
      <c r="E124" s="119"/>
      <c r="F124" s="119"/>
      <c r="G124" s="120"/>
    </row>
    <row r="125" spans="1:7" ht="12.75" customHeight="1" x14ac:dyDescent="0.2">
      <c r="A125" s="121" t="s">
        <v>65</v>
      </c>
      <c r="B125" s="176" t="s">
        <v>71</v>
      </c>
      <c r="C125" s="177"/>
      <c r="D125" s="178"/>
      <c r="E125" s="123">
        <v>1</v>
      </c>
      <c r="F125" s="122"/>
      <c r="G125" s="124"/>
    </row>
    <row r="126" spans="1:7" ht="25.5" customHeight="1" x14ac:dyDescent="0.2">
      <c r="A126" s="132" t="s">
        <v>172</v>
      </c>
      <c r="B126" s="166" t="s">
        <v>173</v>
      </c>
      <c r="C126" s="167"/>
      <c r="D126" s="168"/>
      <c r="E126" s="133"/>
      <c r="F126" s="133"/>
      <c r="G126" s="134">
        <f>ROUND((SUM($G$71:$G$120)),3)</f>
        <v>112.504</v>
      </c>
    </row>
    <row r="127" spans="1:7" ht="25.5" customHeight="1" x14ac:dyDescent="0.2">
      <c r="A127" s="132" t="s">
        <v>174</v>
      </c>
      <c r="B127" s="166" t="s">
        <v>175</v>
      </c>
      <c r="C127" s="167"/>
      <c r="D127" s="168"/>
      <c r="E127" s="133"/>
      <c r="F127" s="133"/>
      <c r="G127" s="134">
        <f>ROUND(($G$126),3)</f>
        <v>112.504</v>
      </c>
    </row>
    <row r="128" spans="1:7" ht="12.75" customHeight="1" x14ac:dyDescent="0.2">
      <c r="A128" s="132" t="s">
        <v>87</v>
      </c>
      <c r="B128" s="166" t="s">
        <v>59</v>
      </c>
      <c r="C128" s="167"/>
      <c r="D128" s="168"/>
      <c r="E128" s="133" t="s">
        <v>23</v>
      </c>
      <c r="F128" s="133"/>
      <c r="G128" s="135"/>
    </row>
    <row r="129" spans="1:7" ht="165.75" customHeight="1" x14ac:dyDescent="0.2">
      <c r="A129" s="129" t="s">
        <v>89</v>
      </c>
      <c r="B129" s="179" t="s">
        <v>176</v>
      </c>
      <c r="C129" s="180"/>
      <c r="D129" s="181"/>
      <c r="E129" s="130" t="s">
        <v>177</v>
      </c>
      <c r="F129" s="130" t="s">
        <v>178</v>
      </c>
      <c r="G129" s="131">
        <f>ROUND(0.0093  * 25 * 51.69,3)</f>
        <v>12.018000000000001</v>
      </c>
    </row>
    <row r="130" spans="1:7" ht="15.75" customHeight="1" x14ac:dyDescent="0.2">
      <c r="A130" s="97" t="s">
        <v>65</v>
      </c>
      <c r="B130" s="182" t="s">
        <v>66</v>
      </c>
      <c r="C130" s="183"/>
      <c r="D130" s="184"/>
      <c r="E130" s="98"/>
      <c r="F130" s="98"/>
      <c r="G130" s="99"/>
    </row>
    <row r="131" spans="1:7" ht="12.75" customHeight="1" x14ac:dyDescent="0.2">
      <c r="A131" s="116" t="s">
        <v>65</v>
      </c>
      <c r="B131" s="173" t="s">
        <v>67</v>
      </c>
      <c r="C131" s="174"/>
      <c r="D131" s="175"/>
      <c r="E131" s="117"/>
      <c r="F131" s="117"/>
      <c r="G131" s="118"/>
    </row>
    <row r="132" spans="1:7" ht="38.25" customHeight="1" x14ac:dyDescent="0.2">
      <c r="A132" s="116" t="s">
        <v>65</v>
      </c>
      <c r="B132" s="173" t="s">
        <v>106</v>
      </c>
      <c r="C132" s="174"/>
      <c r="D132" s="175"/>
      <c r="E132" s="117" t="s">
        <v>107</v>
      </c>
      <c r="F132" s="117"/>
      <c r="G132" s="118"/>
    </row>
    <row r="133" spans="1:7" ht="15.75" customHeight="1" x14ac:dyDescent="0.2">
      <c r="A133" s="116" t="s">
        <v>65</v>
      </c>
      <c r="B133" s="185" t="s">
        <v>70</v>
      </c>
      <c r="C133" s="186"/>
      <c r="D133" s="187"/>
      <c r="E133" s="119"/>
      <c r="F133" s="119"/>
      <c r="G133" s="120"/>
    </row>
    <row r="134" spans="1:7" ht="12.75" customHeight="1" x14ac:dyDescent="0.2">
      <c r="A134" s="121" t="s">
        <v>65</v>
      </c>
      <c r="B134" s="176" t="s">
        <v>71</v>
      </c>
      <c r="C134" s="177"/>
      <c r="D134" s="178"/>
      <c r="E134" s="123">
        <v>1</v>
      </c>
      <c r="F134" s="122"/>
      <c r="G134" s="124"/>
    </row>
    <row r="135" spans="1:7" ht="216.75" customHeight="1" x14ac:dyDescent="0.2">
      <c r="A135" s="190" t="s">
        <v>93</v>
      </c>
      <c r="B135" s="191" t="s">
        <v>114</v>
      </c>
      <c r="C135" s="192"/>
      <c r="D135" s="193"/>
      <c r="E135" s="188" t="s">
        <v>179</v>
      </c>
      <c r="F135" s="188" t="s">
        <v>180</v>
      </c>
      <c r="G135" s="189">
        <f>ROUND(0.0042  * 30 * 51.69,3)</f>
        <v>6.5129999999999999</v>
      </c>
    </row>
    <row r="136" spans="1:7" ht="12.75" customHeight="1" x14ac:dyDescent="0.2">
      <c r="A136" s="190"/>
      <c r="B136" s="191"/>
      <c r="C136" s="192"/>
      <c r="D136" s="193"/>
      <c r="E136" s="188"/>
      <c r="F136" s="188"/>
      <c r="G136" s="189"/>
    </row>
    <row r="137" spans="1:7" ht="15.75" customHeight="1" x14ac:dyDescent="0.2">
      <c r="A137" s="97" t="s">
        <v>65</v>
      </c>
      <c r="B137" s="182" t="s">
        <v>66</v>
      </c>
      <c r="C137" s="183"/>
      <c r="D137" s="184"/>
      <c r="E137" s="98"/>
      <c r="F137" s="98"/>
      <c r="G137" s="99"/>
    </row>
    <row r="138" spans="1:7" ht="12.75" customHeight="1" x14ac:dyDescent="0.2">
      <c r="A138" s="116" t="s">
        <v>65</v>
      </c>
      <c r="B138" s="173" t="s">
        <v>67</v>
      </c>
      <c r="C138" s="174"/>
      <c r="D138" s="175"/>
      <c r="E138" s="117"/>
      <c r="F138" s="117"/>
      <c r="G138" s="118"/>
    </row>
    <row r="139" spans="1:7" ht="38.25" customHeight="1" x14ac:dyDescent="0.2">
      <c r="A139" s="116" t="s">
        <v>65</v>
      </c>
      <c r="B139" s="173" t="s">
        <v>106</v>
      </c>
      <c r="C139" s="174"/>
      <c r="D139" s="175"/>
      <c r="E139" s="117" t="s">
        <v>107</v>
      </c>
      <c r="F139" s="117"/>
      <c r="G139" s="118"/>
    </row>
    <row r="140" spans="1:7" ht="15.75" customHeight="1" x14ac:dyDescent="0.2">
      <c r="A140" s="116" t="s">
        <v>65</v>
      </c>
      <c r="B140" s="185" t="s">
        <v>70</v>
      </c>
      <c r="C140" s="186"/>
      <c r="D140" s="187"/>
      <c r="E140" s="119"/>
      <c r="F140" s="119"/>
      <c r="G140" s="120"/>
    </row>
    <row r="141" spans="1:7" ht="12.75" customHeight="1" x14ac:dyDescent="0.2">
      <c r="A141" s="121" t="s">
        <v>65</v>
      </c>
      <c r="B141" s="176" t="s">
        <v>71</v>
      </c>
      <c r="C141" s="177"/>
      <c r="D141" s="178"/>
      <c r="E141" s="123">
        <v>1</v>
      </c>
      <c r="F141" s="122"/>
      <c r="G141" s="124"/>
    </row>
    <row r="142" spans="1:7" ht="165.75" customHeight="1" x14ac:dyDescent="0.2">
      <c r="A142" s="129" t="s">
        <v>181</v>
      </c>
      <c r="B142" s="179" t="s">
        <v>182</v>
      </c>
      <c r="C142" s="180"/>
      <c r="D142" s="181"/>
      <c r="E142" s="130" t="s">
        <v>183</v>
      </c>
      <c r="F142" s="130" t="s">
        <v>184</v>
      </c>
      <c r="G142" s="131">
        <f>ROUND(0.0107  * 125 * 51.69,3)</f>
        <v>69.135000000000005</v>
      </c>
    </row>
    <row r="143" spans="1:7" ht="15.75" customHeight="1" x14ac:dyDescent="0.2">
      <c r="A143" s="97" t="s">
        <v>65</v>
      </c>
      <c r="B143" s="182" t="s">
        <v>66</v>
      </c>
      <c r="C143" s="183"/>
      <c r="D143" s="184"/>
      <c r="E143" s="98"/>
      <c r="F143" s="98"/>
      <c r="G143" s="99"/>
    </row>
    <row r="144" spans="1:7" ht="12.75" customHeight="1" x14ac:dyDescent="0.2">
      <c r="A144" s="116" t="s">
        <v>65</v>
      </c>
      <c r="B144" s="173" t="s">
        <v>67</v>
      </c>
      <c r="C144" s="174"/>
      <c r="D144" s="175"/>
      <c r="E144" s="117"/>
      <c r="F144" s="117"/>
      <c r="G144" s="118"/>
    </row>
    <row r="145" spans="1:7" ht="38.25" customHeight="1" x14ac:dyDescent="0.2">
      <c r="A145" s="116" t="s">
        <v>65</v>
      </c>
      <c r="B145" s="173" t="s">
        <v>106</v>
      </c>
      <c r="C145" s="174"/>
      <c r="D145" s="175"/>
      <c r="E145" s="117" t="s">
        <v>107</v>
      </c>
      <c r="F145" s="117"/>
      <c r="G145" s="118"/>
    </row>
    <row r="146" spans="1:7" ht="15.75" customHeight="1" x14ac:dyDescent="0.2">
      <c r="A146" s="116" t="s">
        <v>65</v>
      </c>
      <c r="B146" s="185" t="s">
        <v>70</v>
      </c>
      <c r="C146" s="186"/>
      <c r="D146" s="187"/>
      <c r="E146" s="119"/>
      <c r="F146" s="119"/>
      <c r="G146" s="120"/>
    </row>
    <row r="147" spans="1:7" ht="12.75" customHeight="1" x14ac:dyDescent="0.2">
      <c r="A147" s="121" t="s">
        <v>65</v>
      </c>
      <c r="B147" s="176" t="s">
        <v>71</v>
      </c>
      <c r="C147" s="177"/>
      <c r="D147" s="178"/>
      <c r="E147" s="123">
        <v>1</v>
      </c>
      <c r="F147" s="122"/>
      <c r="G147" s="124"/>
    </row>
    <row r="148" spans="1:7" ht="153" customHeight="1" x14ac:dyDescent="0.2">
      <c r="A148" s="129" t="s">
        <v>185</v>
      </c>
      <c r="B148" s="179" t="s">
        <v>186</v>
      </c>
      <c r="C148" s="180"/>
      <c r="D148" s="181"/>
      <c r="E148" s="130" t="s">
        <v>187</v>
      </c>
      <c r="F148" s="130" t="s">
        <v>188</v>
      </c>
      <c r="G148" s="131">
        <f>ROUND(0.0297  * 9 * 51.69,3)</f>
        <v>13.817</v>
      </c>
    </row>
    <row r="149" spans="1:7" ht="15.75" customHeight="1" x14ac:dyDescent="0.2">
      <c r="A149" s="97" t="s">
        <v>65</v>
      </c>
      <c r="B149" s="182" t="s">
        <v>66</v>
      </c>
      <c r="C149" s="183"/>
      <c r="D149" s="184"/>
      <c r="E149" s="98"/>
      <c r="F149" s="98"/>
      <c r="G149" s="99"/>
    </row>
    <row r="150" spans="1:7" ht="12.75" customHeight="1" x14ac:dyDescent="0.2">
      <c r="A150" s="116" t="s">
        <v>65</v>
      </c>
      <c r="B150" s="173" t="s">
        <v>67</v>
      </c>
      <c r="C150" s="174"/>
      <c r="D150" s="175"/>
      <c r="E150" s="117"/>
      <c r="F150" s="117"/>
      <c r="G150" s="118"/>
    </row>
    <row r="151" spans="1:7" ht="38.25" customHeight="1" x14ac:dyDescent="0.2">
      <c r="A151" s="116" t="s">
        <v>65</v>
      </c>
      <c r="B151" s="173" t="s">
        <v>106</v>
      </c>
      <c r="C151" s="174"/>
      <c r="D151" s="175"/>
      <c r="E151" s="117" t="s">
        <v>107</v>
      </c>
      <c r="F151" s="117"/>
      <c r="G151" s="118"/>
    </row>
    <row r="152" spans="1:7" ht="15.75" customHeight="1" x14ac:dyDescent="0.2">
      <c r="A152" s="116" t="s">
        <v>65</v>
      </c>
      <c r="B152" s="185" t="s">
        <v>70</v>
      </c>
      <c r="C152" s="186"/>
      <c r="D152" s="187"/>
      <c r="E152" s="119"/>
      <c r="F152" s="119"/>
      <c r="G152" s="120"/>
    </row>
    <row r="153" spans="1:7" ht="12.75" customHeight="1" x14ac:dyDescent="0.2">
      <c r="A153" s="121" t="s">
        <v>65</v>
      </c>
      <c r="B153" s="176" t="s">
        <v>71</v>
      </c>
      <c r="C153" s="177"/>
      <c r="D153" s="178"/>
      <c r="E153" s="123">
        <v>1</v>
      </c>
      <c r="F153" s="122"/>
      <c r="G153" s="124"/>
    </row>
    <row r="154" spans="1:7" ht="114.75" customHeight="1" x14ac:dyDescent="0.2">
      <c r="A154" s="129" t="s">
        <v>189</v>
      </c>
      <c r="B154" s="179" t="s">
        <v>190</v>
      </c>
      <c r="C154" s="180"/>
      <c r="D154" s="181"/>
      <c r="E154" s="130" t="s">
        <v>191</v>
      </c>
      <c r="F154" s="130" t="s">
        <v>192</v>
      </c>
      <c r="G154" s="131">
        <f>ROUND(39.301  * 3,3)</f>
        <v>117.90300000000001</v>
      </c>
    </row>
    <row r="155" spans="1:7" ht="15.75" customHeight="1" x14ac:dyDescent="0.2">
      <c r="A155" s="97" t="s">
        <v>65</v>
      </c>
      <c r="B155" s="182" t="s">
        <v>66</v>
      </c>
      <c r="C155" s="183"/>
      <c r="D155" s="184"/>
      <c r="E155" s="98"/>
      <c r="F155" s="98"/>
      <c r="G155" s="99"/>
    </row>
    <row r="156" spans="1:7" ht="12.75" customHeight="1" x14ac:dyDescent="0.2">
      <c r="A156" s="116" t="s">
        <v>65</v>
      </c>
      <c r="B156" s="173" t="s">
        <v>67</v>
      </c>
      <c r="C156" s="174"/>
      <c r="D156" s="175"/>
      <c r="E156" s="117"/>
      <c r="F156" s="117"/>
      <c r="G156" s="118"/>
    </row>
    <row r="157" spans="1:7" ht="38.25" customHeight="1" x14ac:dyDescent="0.2">
      <c r="A157" s="121" t="s">
        <v>65</v>
      </c>
      <c r="B157" s="176" t="s">
        <v>106</v>
      </c>
      <c r="C157" s="177"/>
      <c r="D157" s="178"/>
      <c r="E157" s="122" t="s">
        <v>193</v>
      </c>
      <c r="F157" s="122"/>
      <c r="G157" s="124"/>
    </row>
    <row r="158" spans="1:7" ht="114.75" customHeight="1" x14ac:dyDescent="0.2">
      <c r="A158" s="129" t="s">
        <v>194</v>
      </c>
      <c r="B158" s="179" t="s">
        <v>195</v>
      </c>
      <c r="C158" s="180"/>
      <c r="D158" s="181"/>
      <c r="E158" s="130" t="s">
        <v>196</v>
      </c>
      <c r="F158" s="130" t="s">
        <v>197</v>
      </c>
      <c r="G158" s="131">
        <f>ROUND(0.804  * 8,3)</f>
        <v>6.4320000000000004</v>
      </c>
    </row>
    <row r="159" spans="1:7" ht="15.75" customHeight="1" x14ac:dyDescent="0.2">
      <c r="A159" s="97" t="s">
        <v>65</v>
      </c>
      <c r="B159" s="182" t="s">
        <v>66</v>
      </c>
      <c r="C159" s="183"/>
      <c r="D159" s="184"/>
      <c r="E159" s="98"/>
      <c r="F159" s="98"/>
      <c r="G159" s="99"/>
    </row>
    <row r="160" spans="1:7" ht="12.75" customHeight="1" x14ac:dyDescent="0.2">
      <c r="A160" s="116" t="s">
        <v>65</v>
      </c>
      <c r="B160" s="173" t="s">
        <v>67</v>
      </c>
      <c r="C160" s="174"/>
      <c r="D160" s="175"/>
      <c r="E160" s="117"/>
      <c r="F160" s="117"/>
      <c r="G160" s="118"/>
    </row>
    <row r="161" spans="1:7" ht="38.25" customHeight="1" x14ac:dyDescent="0.2">
      <c r="A161" s="121" t="s">
        <v>65</v>
      </c>
      <c r="B161" s="176" t="s">
        <v>106</v>
      </c>
      <c r="C161" s="177"/>
      <c r="D161" s="178"/>
      <c r="E161" s="122" t="s">
        <v>193</v>
      </c>
      <c r="F161" s="122"/>
      <c r="G161" s="124"/>
    </row>
    <row r="162" spans="1:7" ht="114.75" customHeight="1" x14ac:dyDescent="0.2">
      <c r="A162" s="129" t="s">
        <v>198</v>
      </c>
      <c r="B162" s="179" t="s">
        <v>199</v>
      </c>
      <c r="C162" s="180"/>
      <c r="D162" s="181"/>
      <c r="E162" s="130" t="s">
        <v>200</v>
      </c>
      <c r="F162" s="130" t="s">
        <v>201</v>
      </c>
      <c r="G162" s="131">
        <f>ROUND(9.146  * 5,3)</f>
        <v>45.73</v>
      </c>
    </row>
    <row r="163" spans="1:7" ht="15.75" customHeight="1" x14ac:dyDescent="0.2">
      <c r="A163" s="97" t="s">
        <v>65</v>
      </c>
      <c r="B163" s="182" t="s">
        <v>66</v>
      </c>
      <c r="C163" s="183"/>
      <c r="D163" s="184"/>
      <c r="E163" s="98"/>
      <c r="F163" s="98"/>
      <c r="G163" s="99"/>
    </row>
    <row r="164" spans="1:7" ht="12.75" customHeight="1" x14ac:dyDescent="0.2">
      <c r="A164" s="116" t="s">
        <v>65</v>
      </c>
      <c r="B164" s="173" t="s">
        <v>67</v>
      </c>
      <c r="C164" s="174"/>
      <c r="D164" s="175"/>
      <c r="E164" s="117"/>
      <c r="F164" s="117"/>
      <c r="G164" s="118"/>
    </row>
    <row r="165" spans="1:7" ht="38.25" customHeight="1" x14ac:dyDescent="0.2">
      <c r="A165" s="121" t="s">
        <v>65</v>
      </c>
      <c r="B165" s="176" t="s">
        <v>106</v>
      </c>
      <c r="C165" s="177"/>
      <c r="D165" s="178"/>
      <c r="E165" s="122" t="s">
        <v>193</v>
      </c>
      <c r="F165" s="122"/>
      <c r="G165" s="124"/>
    </row>
    <row r="166" spans="1:7" ht="114.75" customHeight="1" x14ac:dyDescent="0.2">
      <c r="A166" s="129" t="s">
        <v>202</v>
      </c>
      <c r="B166" s="179" t="s">
        <v>203</v>
      </c>
      <c r="C166" s="180"/>
      <c r="D166" s="181"/>
      <c r="E166" s="130" t="s">
        <v>204</v>
      </c>
      <c r="F166" s="130" t="s">
        <v>205</v>
      </c>
      <c r="G166" s="131">
        <f>ROUND(1.27  * 7,3)</f>
        <v>8.89</v>
      </c>
    </row>
    <row r="167" spans="1:7" ht="15.75" customHeight="1" x14ac:dyDescent="0.2">
      <c r="A167" s="97" t="s">
        <v>65</v>
      </c>
      <c r="B167" s="182" t="s">
        <v>66</v>
      </c>
      <c r="C167" s="183"/>
      <c r="D167" s="184"/>
      <c r="E167" s="98"/>
      <c r="F167" s="98"/>
      <c r="G167" s="99"/>
    </row>
    <row r="168" spans="1:7" ht="12.75" customHeight="1" x14ac:dyDescent="0.2">
      <c r="A168" s="116" t="s">
        <v>65</v>
      </c>
      <c r="B168" s="173" t="s">
        <v>67</v>
      </c>
      <c r="C168" s="174"/>
      <c r="D168" s="175"/>
      <c r="E168" s="117"/>
      <c r="F168" s="117"/>
      <c r="G168" s="118"/>
    </row>
    <row r="169" spans="1:7" ht="38.25" customHeight="1" x14ac:dyDescent="0.2">
      <c r="A169" s="121" t="s">
        <v>65</v>
      </c>
      <c r="B169" s="176" t="s">
        <v>106</v>
      </c>
      <c r="C169" s="177"/>
      <c r="D169" s="178"/>
      <c r="E169" s="122" t="s">
        <v>193</v>
      </c>
      <c r="F169" s="122"/>
      <c r="G169" s="124"/>
    </row>
    <row r="170" spans="1:7" ht="12.75" customHeight="1" x14ac:dyDescent="0.2">
      <c r="A170" s="132" t="s">
        <v>206</v>
      </c>
      <c r="B170" s="166" t="s">
        <v>84</v>
      </c>
      <c r="C170" s="167"/>
      <c r="D170" s="168"/>
      <c r="E170" s="133"/>
      <c r="F170" s="133"/>
      <c r="G170" s="134">
        <f>ROUND((SUM($G$129:$G$166)),3)</f>
        <v>280.43799999999999</v>
      </c>
    </row>
    <row r="171" spans="1:7" ht="25.5" customHeight="1" x14ac:dyDescent="0.2">
      <c r="A171" s="132" t="s">
        <v>207</v>
      </c>
      <c r="B171" s="166" t="s">
        <v>86</v>
      </c>
      <c r="C171" s="167"/>
      <c r="D171" s="168"/>
      <c r="E171" s="133"/>
      <c r="F171" s="133"/>
      <c r="G171" s="134">
        <f>ROUND(($G$170),3)</f>
        <v>280.43799999999999</v>
      </c>
    </row>
    <row r="172" spans="1:7" ht="12.75" customHeight="1" x14ac:dyDescent="0.2">
      <c r="A172" s="132" t="s">
        <v>95</v>
      </c>
      <c r="B172" s="166" t="s">
        <v>59</v>
      </c>
      <c r="C172" s="167"/>
      <c r="D172" s="168"/>
      <c r="E172" s="133" t="s">
        <v>88</v>
      </c>
      <c r="F172" s="133"/>
      <c r="G172" s="135"/>
    </row>
    <row r="173" spans="1:7" ht="12.75" customHeight="1" x14ac:dyDescent="0.2">
      <c r="A173" s="132" t="s">
        <v>208</v>
      </c>
      <c r="B173" s="166" t="s">
        <v>94</v>
      </c>
      <c r="C173" s="167"/>
      <c r="D173" s="168"/>
      <c r="E173" s="133"/>
      <c r="F173" s="133"/>
      <c r="G173" s="134">
        <f>ROUND(0,3)</f>
        <v>0</v>
      </c>
    </row>
    <row r="174" spans="1:7" ht="12.75" customHeight="1" x14ac:dyDescent="0.2">
      <c r="A174" s="132" t="s">
        <v>97</v>
      </c>
      <c r="B174" s="166" t="s">
        <v>96</v>
      </c>
      <c r="C174" s="167"/>
      <c r="D174" s="168"/>
      <c r="E174" s="133"/>
      <c r="F174" s="133"/>
      <c r="G174" s="134">
        <f>ROUND(($G$69 + $G$127 +SUM( $G$171:$G$173)),3)</f>
        <v>836.76199999999994</v>
      </c>
    </row>
    <row r="175" spans="1:7" ht="12.75" customHeight="1" x14ac:dyDescent="0.2">
      <c r="A175" s="132" t="s">
        <v>100</v>
      </c>
      <c r="B175" s="170" t="s">
        <v>98</v>
      </c>
      <c r="C175" s="171"/>
      <c r="D175" s="172"/>
      <c r="E175" s="136"/>
      <c r="F175" s="136" t="s">
        <v>209</v>
      </c>
      <c r="G175" s="137">
        <f>ROUND(($G$174) * 20 / 100 * 1,3)</f>
        <v>167.352</v>
      </c>
    </row>
    <row r="176" spans="1:7" ht="12.75" customHeight="1" x14ac:dyDescent="0.2">
      <c r="A176" s="132" t="s">
        <v>210</v>
      </c>
      <c r="B176" s="166" t="s">
        <v>101</v>
      </c>
      <c r="C176" s="167"/>
      <c r="D176" s="168"/>
      <c r="E176" s="133"/>
      <c r="F176" s="133"/>
      <c r="G176" s="134">
        <f>ROUND((SUM($G$174:$G$175)),3)</f>
        <v>1004.114</v>
      </c>
    </row>
    <row r="177" spans="2:4" ht="12.75" customHeight="1" x14ac:dyDescent="0.2">
      <c r="B177" s="169"/>
      <c r="C177" s="169"/>
      <c r="D177" s="169"/>
    </row>
  </sheetData>
  <mergeCells count="181">
    <mergeCell ref="A9:C9"/>
    <mergeCell ref="D9:G10"/>
    <mergeCell ref="B11:D11"/>
    <mergeCell ref="A1:B1"/>
    <mergeCell ref="C1:G1"/>
    <mergeCell ref="B4:F4"/>
    <mergeCell ref="B5:F5"/>
    <mergeCell ref="A7:C7"/>
    <mergeCell ref="D7:G7"/>
    <mergeCell ref="B18:D18"/>
    <mergeCell ref="B19:D19"/>
    <mergeCell ref="B20:D20"/>
    <mergeCell ref="B21:D21"/>
    <mergeCell ref="B22:D22"/>
    <mergeCell ref="B23:D23"/>
    <mergeCell ref="B12:D12"/>
    <mergeCell ref="B13:D13"/>
    <mergeCell ref="B14:D14"/>
    <mergeCell ref="B15:D15"/>
    <mergeCell ref="B16:D16"/>
    <mergeCell ref="B17:D17"/>
    <mergeCell ref="B30:D30"/>
    <mergeCell ref="B31:D31"/>
    <mergeCell ref="B32:D32"/>
    <mergeCell ref="B33:D33"/>
    <mergeCell ref="B34:D34"/>
    <mergeCell ref="B35:D35"/>
    <mergeCell ref="B24:D24"/>
    <mergeCell ref="B25:D25"/>
    <mergeCell ref="B26:D26"/>
    <mergeCell ref="B27:D27"/>
    <mergeCell ref="B28:D28"/>
    <mergeCell ref="B29:D29"/>
    <mergeCell ref="B42:D42"/>
    <mergeCell ref="B43:D43"/>
    <mergeCell ref="B44:D44"/>
    <mergeCell ref="B45:D45"/>
    <mergeCell ref="B46:D46"/>
    <mergeCell ref="B47:D47"/>
    <mergeCell ref="B36:D36"/>
    <mergeCell ref="B37:D37"/>
    <mergeCell ref="B38:D38"/>
    <mergeCell ref="B39:D39"/>
    <mergeCell ref="B40:D40"/>
    <mergeCell ref="B41:D41"/>
    <mergeCell ref="B54:D54"/>
    <mergeCell ref="B55:D55"/>
    <mergeCell ref="B56:D56"/>
    <mergeCell ref="B57:D57"/>
    <mergeCell ref="B58:D58"/>
    <mergeCell ref="B59:D59"/>
    <mergeCell ref="B48:D48"/>
    <mergeCell ref="B49:D49"/>
    <mergeCell ref="B50:D50"/>
    <mergeCell ref="B51:D51"/>
    <mergeCell ref="B52:D52"/>
    <mergeCell ref="B53:D53"/>
    <mergeCell ref="B66:D66"/>
    <mergeCell ref="B67:D67"/>
    <mergeCell ref="B68:D68"/>
    <mergeCell ref="B69:D69"/>
    <mergeCell ref="B70:D70"/>
    <mergeCell ref="A71:A72"/>
    <mergeCell ref="B71:D72"/>
    <mergeCell ref="B60:D60"/>
    <mergeCell ref="B61:D61"/>
    <mergeCell ref="B62:D62"/>
    <mergeCell ref="B63:D63"/>
    <mergeCell ref="B64:D64"/>
    <mergeCell ref="B65:D65"/>
    <mergeCell ref="B76:D76"/>
    <mergeCell ref="B77:D77"/>
    <mergeCell ref="B78:D78"/>
    <mergeCell ref="B79:D79"/>
    <mergeCell ref="B80:D80"/>
    <mergeCell ref="B81:D81"/>
    <mergeCell ref="E71:E72"/>
    <mergeCell ref="F71:F72"/>
    <mergeCell ref="G71:G72"/>
    <mergeCell ref="B73:D73"/>
    <mergeCell ref="B74:D74"/>
    <mergeCell ref="B75:D75"/>
    <mergeCell ref="B88:D88"/>
    <mergeCell ref="B89:D89"/>
    <mergeCell ref="B90:D90"/>
    <mergeCell ref="B91:D91"/>
    <mergeCell ref="B92:D92"/>
    <mergeCell ref="B93:D93"/>
    <mergeCell ref="B82:D82"/>
    <mergeCell ref="B83:D83"/>
    <mergeCell ref="B84:D84"/>
    <mergeCell ref="B85:D85"/>
    <mergeCell ref="B86:D86"/>
    <mergeCell ref="B87:D87"/>
    <mergeCell ref="B100:D100"/>
    <mergeCell ref="B101:D101"/>
    <mergeCell ref="B102:D102"/>
    <mergeCell ref="B103:D103"/>
    <mergeCell ref="B104:D104"/>
    <mergeCell ref="B105:D105"/>
    <mergeCell ref="B94:D94"/>
    <mergeCell ref="B95:D95"/>
    <mergeCell ref="B96:D96"/>
    <mergeCell ref="B97:D97"/>
    <mergeCell ref="B98:D98"/>
    <mergeCell ref="B99:D99"/>
    <mergeCell ref="B112:D112"/>
    <mergeCell ref="B113:D113"/>
    <mergeCell ref="B114:D114"/>
    <mergeCell ref="B115:D115"/>
    <mergeCell ref="B116:D116"/>
    <mergeCell ref="B117:D117"/>
    <mergeCell ref="B106:D106"/>
    <mergeCell ref="B107:D107"/>
    <mergeCell ref="B108:D108"/>
    <mergeCell ref="B109:D109"/>
    <mergeCell ref="B110:D110"/>
    <mergeCell ref="B111:D111"/>
    <mergeCell ref="A135:A136"/>
    <mergeCell ref="B135:D136"/>
    <mergeCell ref="B124:D124"/>
    <mergeCell ref="B125:D125"/>
    <mergeCell ref="B126:D126"/>
    <mergeCell ref="B127:D127"/>
    <mergeCell ref="B128:D128"/>
    <mergeCell ref="B129:D129"/>
    <mergeCell ref="B118:D118"/>
    <mergeCell ref="B119:D119"/>
    <mergeCell ref="B120:D120"/>
    <mergeCell ref="B121:D121"/>
    <mergeCell ref="B122:D122"/>
    <mergeCell ref="B123:D123"/>
    <mergeCell ref="E135:E136"/>
    <mergeCell ref="F135:F136"/>
    <mergeCell ref="G135:G136"/>
    <mergeCell ref="B137:D137"/>
    <mergeCell ref="B138:D138"/>
    <mergeCell ref="B139:D139"/>
    <mergeCell ref="B130:D130"/>
    <mergeCell ref="B131:D131"/>
    <mergeCell ref="B132:D132"/>
    <mergeCell ref="B133:D133"/>
    <mergeCell ref="B134:D134"/>
    <mergeCell ref="B146:D146"/>
    <mergeCell ref="B147:D147"/>
    <mergeCell ref="B148:D148"/>
    <mergeCell ref="B149:D149"/>
    <mergeCell ref="B150:D150"/>
    <mergeCell ref="B151:D151"/>
    <mergeCell ref="B140:D140"/>
    <mergeCell ref="B141:D141"/>
    <mergeCell ref="B142:D142"/>
    <mergeCell ref="B143:D143"/>
    <mergeCell ref="B144:D144"/>
    <mergeCell ref="B145:D145"/>
    <mergeCell ref="B158:D158"/>
    <mergeCell ref="B159:D159"/>
    <mergeCell ref="B160:D160"/>
    <mergeCell ref="B161:D161"/>
    <mergeCell ref="B162:D162"/>
    <mergeCell ref="B163:D163"/>
    <mergeCell ref="B152:D152"/>
    <mergeCell ref="B153:D153"/>
    <mergeCell ref="B154:D154"/>
    <mergeCell ref="B155:D155"/>
    <mergeCell ref="B156:D156"/>
    <mergeCell ref="B157:D157"/>
    <mergeCell ref="B176:D176"/>
    <mergeCell ref="B177:D177"/>
    <mergeCell ref="B170:D170"/>
    <mergeCell ref="B171:D171"/>
    <mergeCell ref="B172:D172"/>
    <mergeCell ref="B173:D173"/>
    <mergeCell ref="B174:D174"/>
    <mergeCell ref="B175:D175"/>
    <mergeCell ref="B164:D164"/>
    <mergeCell ref="B165:D165"/>
    <mergeCell ref="B166:D166"/>
    <mergeCell ref="B167:D167"/>
    <mergeCell ref="B168:D168"/>
    <mergeCell ref="B169:D169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3B8B5-F40D-4506-B758-75FD63879812}">
  <sheetPr codeName="Лист3"/>
  <dimension ref="A1:G71"/>
  <sheetViews>
    <sheetView view="pageBreakPreview" zoomScale="175" zoomScaleNormal="100" zoomScaleSheetLayoutView="175" workbookViewId="0">
      <selection activeCell="A74" sqref="A74:XFD74"/>
    </sheetView>
  </sheetViews>
  <sheetFormatPr defaultColWidth="11.5703125" defaultRowHeight="12.75" x14ac:dyDescent="0.2"/>
  <cols>
    <col min="1" max="1" width="3.7109375" style="86" customWidth="1"/>
    <col min="2" max="2" width="26.7109375" style="86" customWidth="1"/>
    <col min="3" max="3" width="7.7109375" style="86" customWidth="1"/>
    <col min="4" max="4" width="5" style="86" customWidth="1"/>
    <col min="5" max="5" width="27.7109375" style="86" customWidth="1"/>
    <col min="6" max="6" width="14.42578125" style="86" customWidth="1"/>
    <col min="7" max="7" width="11.5703125" style="86"/>
    <col min="8" max="256" width="11.5703125" style="79"/>
    <col min="257" max="257" width="3.7109375" style="79" customWidth="1"/>
    <col min="258" max="258" width="26.7109375" style="79" customWidth="1"/>
    <col min="259" max="259" width="7.7109375" style="79" customWidth="1"/>
    <col min="260" max="260" width="5" style="79" customWidth="1"/>
    <col min="261" max="261" width="27.7109375" style="79" customWidth="1"/>
    <col min="262" max="262" width="14.42578125" style="79" customWidth="1"/>
    <col min="263" max="512" width="11.5703125" style="79"/>
    <col min="513" max="513" width="3.7109375" style="79" customWidth="1"/>
    <col min="514" max="514" width="26.7109375" style="79" customWidth="1"/>
    <col min="515" max="515" width="7.7109375" style="79" customWidth="1"/>
    <col min="516" max="516" width="5" style="79" customWidth="1"/>
    <col min="517" max="517" width="27.7109375" style="79" customWidth="1"/>
    <col min="518" max="518" width="14.42578125" style="79" customWidth="1"/>
    <col min="519" max="768" width="11.5703125" style="79"/>
    <col min="769" max="769" width="3.7109375" style="79" customWidth="1"/>
    <col min="770" max="770" width="26.7109375" style="79" customWidth="1"/>
    <col min="771" max="771" width="7.7109375" style="79" customWidth="1"/>
    <col min="772" max="772" width="5" style="79" customWidth="1"/>
    <col min="773" max="773" width="27.7109375" style="79" customWidth="1"/>
    <col min="774" max="774" width="14.42578125" style="79" customWidth="1"/>
    <col min="775" max="1024" width="11.5703125" style="79"/>
    <col min="1025" max="1025" width="3.7109375" style="79" customWidth="1"/>
    <col min="1026" max="1026" width="26.7109375" style="79" customWidth="1"/>
    <col min="1027" max="1027" width="7.7109375" style="79" customWidth="1"/>
    <col min="1028" max="1028" width="5" style="79" customWidth="1"/>
    <col min="1029" max="1029" width="27.7109375" style="79" customWidth="1"/>
    <col min="1030" max="1030" width="14.42578125" style="79" customWidth="1"/>
    <col min="1031" max="1280" width="11.5703125" style="79"/>
    <col min="1281" max="1281" width="3.7109375" style="79" customWidth="1"/>
    <col min="1282" max="1282" width="26.7109375" style="79" customWidth="1"/>
    <col min="1283" max="1283" width="7.7109375" style="79" customWidth="1"/>
    <col min="1284" max="1284" width="5" style="79" customWidth="1"/>
    <col min="1285" max="1285" width="27.7109375" style="79" customWidth="1"/>
    <col min="1286" max="1286" width="14.42578125" style="79" customWidth="1"/>
    <col min="1287" max="1536" width="11.5703125" style="79"/>
    <col min="1537" max="1537" width="3.7109375" style="79" customWidth="1"/>
    <col min="1538" max="1538" width="26.7109375" style="79" customWidth="1"/>
    <col min="1539" max="1539" width="7.7109375" style="79" customWidth="1"/>
    <col min="1540" max="1540" width="5" style="79" customWidth="1"/>
    <col min="1541" max="1541" width="27.7109375" style="79" customWidth="1"/>
    <col min="1542" max="1542" width="14.42578125" style="79" customWidth="1"/>
    <col min="1543" max="1792" width="11.5703125" style="79"/>
    <col min="1793" max="1793" width="3.7109375" style="79" customWidth="1"/>
    <col min="1794" max="1794" width="26.7109375" style="79" customWidth="1"/>
    <col min="1795" max="1795" width="7.7109375" style="79" customWidth="1"/>
    <col min="1796" max="1796" width="5" style="79" customWidth="1"/>
    <col min="1797" max="1797" width="27.7109375" style="79" customWidth="1"/>
    <col min="1798" max="1798" width="14.42578125" style="79" customWidth="1"/>
    <col min="1799" max="2048" width="11.5703125" style="79"/>
    <col min="2049" max="2049" width="3.7109375" style="79" customWidth="1"/>
    <col min="2050" max="2050" width="26.7109375" style="79" customWidth="1"/>
    <col min="2051" max="2051" width="7.7109375" style="79" customWidth="1"/>
    <col min="2052" max="2052" width="5" style="79" customWidth="1"/>
    <col min="2053" max="2053" width="27.7109375" style="79" customWidth="1"/>
    <col min="2054" max="2054" width="14.42578125" style="79" customWidth="1"/>
    <col min="2055" max="2304" width="11.5703125" style="79"/>
    <col min="2305" max="2305" width="3.7109375" style="79" customWidth="1"/>
    <col min="2306" max="2306" width="26.7109375" style="79" customWidth="1"/>
    <col min="2307" max="2307" width="7.7109375" style="79" customWidth="1"/>
    <col min="2308" max="2308" width="5" style="79" customWidth="1"/>
    <col min="2309" max="2309" width="27.7109375" style="79" customWidth="1"/>
    <col min="2310" max="2310" width="14.42578125" style="79" customWidth="1"/>
    <col min="2311" max="2560" width="11.5703125" style="79"/>
    <col min="2561" max="2561" width="3.7109375" style="79" customWidth="1"/>
    <col min="2562" max="2562" width="26.7109375" style="79" customWidth="1"/>
    <col min="2563" max="2563" width="7.7109375" style="79" customWidth="1"/>
    <col min="2564" max="2564" width="5" style="79" customWidth="1"/>
    <col min="2565" max="2565" width="27.7109375" style="79" customWidth="1"/>
    <col min="2566" max="2566" width="14.42578125" style="79" customWidth="1"/>
    <col min="2567" max="2816" width="11.5703125" style="79"/>
    <col min="2817" max="2817" width="3.7109375" style="79" customWidth="1"/>
    <col min="2818" max="2818" width="26.7109375" style="79" customWidth="1"/>
    <col min="2819" max="2819" width="7.7109375" style="79" customWidth="1"/>
    <col min="2820" max="2820" width="5" style="79" customWidth="1"/>
    <col min="2821" max="2821" width="27.7109375" style="79" customWidth="1"/>
    <col min="2822" max="2822" width="14.42578125" style="79" customWidth="1"/>
    <col min="2823" max="3072" width="11.5703125" style="79"/>
    <col min="3073" max="3073" width="3.7109375" style="79" customWidth="1"/>
    <col min="3074" max="3074" width="26.7109375" style="79" customWidth="1"/>
    <col min="3075" max="3075" width="7.7109375" style="79" customWidth="1"/>
    <col min="3076" max="3076" width="5" style="79" customWidth="1"/>
    <col min="3077" max="3077" width="27.7109375" style="79" customWidth="1"/>
    <col min="3078" max="3078" width="14.42578125" style="79" customWidth="1"/>
    <col min="3079" max="3328" width="11.5703125" style="79"/>
    <col min="3329" max="3329" width="3.7109375" style="79" customWidth="1"/>
    <col min="3330" max="3330" width="26.7109375" style="79" customWidth="1"/>
    <col min="3331" max="3331" width="7.7109375" style="79" customWidth="1"/>
    <col min="3332" max="3332" width="5" style="79" customWidth="1"/>
    <col min="3333" max="3333" width="27.7109375" style="79" customWidth="1"/>
    <col min="3334" max="3334" width="14.42578125" style="79" customWidth="1"/>
    <col min="3335" max="3584" width="11.5703125" style="79"/>
    <col min="3585" max="3585" width="3.7109375" style="79" customWidth="1"/>
    <col min="3586" max="3586" width="26.7109375" style="79" customWidth="1"/>
    <col min="3587" max="3587" width="7.7109375" style="79" customWidth="1"/>
    <col min="3588" max="3588" width="5" style="79" customWidth="1"/>
    <col min="3589" max="3589" width="27.7109375" style="79" customWidth="1"/>
    <col min="3590" max="3590" width="14.42578125" style="79" customWidth="1"/>
    <col min="3591" max="3840" width="11.5703125" style="79"/>
    <col min="3841" max="3841" width="3.7109375" style="79" customWidth="1"/>
    <col min="3842" max="3842" width="26.7109375" style="79" customWidth="1"/>
    <col min="3843" max="3843" width="7.7109375" style="79" customWidth="1"/>
    <col min="3844" max="3844" width="5" style="79" customWidth="1"/>
    <col min="3845" max="3845" width="27.7109375" style="79" customWidth="1"/>
    <col min="3846" max="3846" width="14.42578125" style="79" customWidth="1"/>
    <col min="3847" max="4096" width="11.5703125" style="79"/>
    <col min="4097" max="4097" width="3.7109375" style="79" customWidth="1"/>
    <col min="4098" max="4098" width="26.7109375" style="79" customWidth="1"/>
    <col min="4099" max="4099" width="7.7109375" style="79" customWidth="1"/>
    <col min="4100" max="4100" width="5" style="79" customWidth="1"/>
    <col min="4101" max="4101" width="27.7109375" style="79" customWidth="1"/>
    <col min="4102" max="4102" width="14.42578125" style="79" customWidth="1"/>
    <col min="4103" max="4352" width="11.5703125" style="79"/>
    <col min="4353" max="4353" width="3.7109375" style="79" customWidth="1"/>
    <col min="4354" max="4354" width="26.7109375" style="79" customWidth="1"/>
    <col min="4355" max="4355" width="7.7109375" style="79" customWidth="1"/>
    <col min="4356" max="4356" width="5" style="79" customWidth="1"/>
    <col min="4357" max="4357" width="27.7109375" style="79" customWidth="1"/>
    <col min="4358" max="4358" width="14.42578125" style="79" customWidth="1"/>
    <col min="4359" max="4608" width="11.5703125" style="79"/>
    <col min="4609" max="4609" width="3.7109375" style="79" customWidth="1"/>
    <col min="4610" max="4610" width="26.7109375" style="79" customWidth="1"/>
    <col min="4611" max="4611" width="7.7109375" style="79" customWidth="1"/>
    <col min="4612" max="4612" width="5" style="79" customWidth="1"/>
    <col min="4613" max="4613" width="27.7109375" style="79" customWidth="1"/>
    <col min="4614" max="4614" width="14.42578125" style="79" customWidth="1"/>
    <col min="4615" max="4864" width="11.5703125" style="79"/>
    <col min="4865" max="4865" width="3.7109375" style="79" customWidth="1"/>
    <col min="4866" max="4866" width="26.7109375" style="79" customWidth="1"/>
    <col min="4867" max="4867" width="7.7109375" style="79" customWidth="1"/>
    <col min="4868" max="4868" width="5" style="79" customWidth="1"/>
    <col min="4869" max="4869" width="27.7109375" style="79" customWidth="1"/>
    <col min="4870" max="4870" width="14.42578125" style="79" customWidth="1"/>
    <col min="4871" max="5120" width="11.5703125" style="79"/>
    <col min="5121" max="5121" width="3.7109375" style="79" customWidth="1"/>
    <col min="5122" max="5122" width="26.7109375" style="79" customWidth="1"/>
    <col min="5123" max="5123" width="7.7109375" style="79" customWidth="1"/>
    <col min="5124" max="5124" width="5" style="79" customWidth="1"/>
    <col min="5125" max="5125" width="27.7109375" style="79" customWidth="1"/>
    <col min="5126" max="5126" width="14.42578125" style="79" customWidth="1"/>
    <col min="5127" max="5376" width="11.5703125" style="79"/>
    <col min="5377" max="5377" width="3.7109375" style="79" customWidth="1"/>
    <col min="5378" max="5378" width="26.7109375" style="79" customWidth="1"/>
    <col min="5379" max="5379" width="7.7109375" style="79" customWidth="1"/>
    <col min="5380" max="5380" width="5" style="79" customWidth="1"/>
    <col min="5381" max="5381" width="27.7109375" style="79" customWidth="1"/>
    <col min="5382" max="5382" width="14.42578125" style="79" customWidth="1"/>
    <col min="5383" max="5632" width="11.5703125" style="79"/>
    <col min="5633" max="5633" width="3.7109375" style="79" customWidth="1"/>
    <col min="5634" max="5634" width="26.7109375" style="79" customWidth="1"/>
    <col min="5635" max="5635" width="7.7109375" style="79" customWidth="1"/>
    <col min="5636" max="5636" width="5" style="79" customWidth="1"/>
    <col min="5637" max="5637" width="27.7109375" style="79" customWidth="1"/>
    <col min="5638" max="5638" width="14.42578125" style="79" customWidth="1"/>
    <col min="5639" max="5888" width="11.5703125" style="79"/>
    <col min="5889" max="5889" width="3.7109375" style="79" customWidth="1"/>
    <col min="5890" max="5890" width="26.7109375" style="79" customWidth="1"/>
    <col min="5891" max="5891" width="7.7109375" style="79" customWidth="1"/>
    <col min="5892" max="5892" width="5" style="79" customWidth="1"/>
    <col min="5893" max="5893" width="27.7109375" style="79" customWidth="1"/>
    <col min="5894" max="5894" width="14.42578125" style="79" customWidth="1"/>
    <col min="5895" max="6144" width="11.5703125" style="79"/>
    <col min="6145" max="6145" width="3.7109375" style="79" customWidth="1"/>
    <col min="6146" max="6146" width="26.7109375" style="79" customWidth="1"/>
    <col min="6147" max="6147" width="7.7109375" style="79" customWidth="1"/>
    <col min="6148" max="6148" width="5" style="79" customWidth="1"/>
    <col min="6149" max="6149" width="27.7109375" style="79" customWidth="1"/>
    <col min="6150" max="6150" width="14.42578125" style="79" customWidth="1"/>
    <col min="6151" max="6400" width="11.5703125" style="79"/>
    <col min="6401" max="6401" width="3.7109375" style="79" customWidth="1"/>
    <col min="6402" max="6402" width="26.7109375" style="79" customWidth="1"/>
    <col min="6403" max="6403" width="7.7109375" style="79" customWidth="1"/>
    <col min="6404" max="6404" width="5" style="79" customWidth="1"/>
    <col min="6405" max="6405" width="27.7109375" style="79" customWidth="1"/>
    <col min="6406" max="6406" width="14.42578125" style="79" customWidth="1"/>
    <col min="6407" max="6656" width="11.5703125" style="79"/>
    <col min="6657" max="6657" width="3.7109375" style="79" customWidth="1"/>
    <col min="6658" max="6658" width="26.7109375" style="79" customWidth="1"/>
    <col min="6659" max="6659" width="7.7109375" style="79" customWidth="1"/>
    <col min="6660" max="6660" width="5" style="79" customWidth="1"/>
    <col min="6661" max="6661" width="27.7109375" style="79" customWidth="1"/>
    <col min="6662" max="6662" width="14.42578125" style="79" customWidth="1"/>
    <col min="6663" max="6912" width="11.5703125" style="79"/>
    <col min="6913" max="6913" width="3.7109375" style="79" customWidth="1"/>
    <col min="6914" max="6914" width="26.7109375" style="79" customWidth="1"/>
    <col min="6915" max="6915" width="7.7109375" style="79" customWidth="1"/>
    <col min="6916" max="6916" width="5" style="79" customWidth="1"/>
    <col min="6917" max="6917" width="27.7109375" style="79" customWidth="1"/>
    <col min="6918" max="6918" width="14.42578125" style="79" customWidth="1"/>
    <col min="6919" max="7168" width="11.5703125" style="79"/>
    <col min="7169" max="7169" width="3.7109375" style="79" customWidth="1"/>
    <col min="7170" max="7170" width="26.7109375" style="79" customWidth="1"/>
    <col min="7171" max="7171" width="7.7109375" style="79" customWidth="1"/>
    <col min="7172" max="7172" width="5" style="79" customWidth="1"/>
    <col min="7173" max="7173" width="27.7109375" style="79" customWidth="1"/>
    <col min="7174" max="7174" width="14.42578125" style="79" customWidth="1"/>
    <col min="7175" max="7424" width="11.5703125" style="79"/>
    <col min="7425" max="7425" width="3.7109375" style="79" customWidth="1"/>
    <col min="7426" max="7426" width="26.7109375" style="79" customWidth="1"/>
    <col min="7427" max="7427" width="7.7109375" style="79" customWidth="1"/>
    <col min="7428" max="7428" width="5" style="79" customWidth="1"/>
    <col min="7429" max="7429" width="27.7109375" style="79" customWidth="1"/>
    <col min="7430" max="7430" width="14.42578125" style="79" customWidth="1"/>
    <col min="7431" max="7680" width="11.5703125" style="79"/>
    <col min="7681" max="7681" width="3.7109375" style="79" customWidth="1"/>
    <col min="7682" max="7682" width="26.7109375" style="79" customWidth="1"/>
    <col min="7683" max="7683" width="7.7109375" style="79" customWidth="1"/>
    <col min="7684" max="7684" width="5" style="79" customWidth="1"/>
    <col min="7685" max="7685" width="27.7109375" style="79" customWidth="1"/>
    <col min="7686" max="7686" width="14.42578125" style="79" customWidth="1"/>
    <col min="7687" max="7936" width="11.5703125" style="79"/>
    <col min="7937" max="7937" width="3.7109375" style="79" customWidth="1"/>
    <col min="7938" max="7938" width="26.7109375" style="79" customWidth="1"/>
    <col min="7939" max="7939" width="7.7109375" style="79" customWidth="1"/>
    <col min="7940" max="7940" width="5" style="79" customWidth="1"/>
    <col min="7941" max="7941" width="27.7109375" style="79" customWidth="1"/>
    <col min="7942" max="7942" width="14.42578125" style="79" customWidth="1"/>
    <col min="7943" max="8192" width="11.5703125" style="79"/>
    <col min="8193" max="8193" width="3.7109375" style="79" customWidth="1"/>
    <col min="8194" max="8194" width="26.7109375" style="79" customWidth="1"/>
    <col min="8195" max="8195" width="7.7109375" style="79" customWidth="1"/>
    <col min="8196" max="8196" width="5" style="79" customWidth="1"/>
    <col min="8197" max="8197" width="27.7109375" style="79" customWidth="1"/>
    <col min="8198" max="8198" width="14.42578125" style="79" customWidth="1"/>
    <col min="8199" max="8448" width="11.5703125" style="79"/>
    <col min="8449" max="8449" width="3.7109375" style="79" customWidth="1"/>
    <col min="8450" max="8450" width="26.7109375" style="79" customWidth="1"/>
    <col min="8451" max="8451" width="7.7109375" style="79" customWidth="1"/>
    <col min="8452" max="8452" width="5" style="79" customWidth="1"/>
    <col min="8453" max="8453" width="27.7109375" style="79" customWidth="1"/>
    <col min="8454" max="8454" width="14.42578125" style="79" customWidth="1"/>
    <col min="8455" max="8704" width="11.5703125" style="79"/>
    <col min="8705" max="8705" width="3.7109375" style="79" customWidth="1"/>
    <col min="8706" max="8706" width="26.7109375" style="79" customWidth="1"/>
    <col min="8707" max="8707" width="7.7109375" style="79" customWidth="1"/>
    <col min="8708" max="8708" width="5" style="79" customWidth="1"/>
    <col min="8709" max="8709" width="27.7109375" style="79" customWidth="1"/>
    <col min="8710" max="8710" width="14.42578125" style="79" customWidth="1"/>
    <col min="8711" max="8960" width="11.5703125" style="79"/>
    <col min="8961" max="8961" width="3.7109375" style="79" customWidth="1"/>
    <col min="8962" max="8962" width="26.7109375" style="79" customWidth="1"/>
    <col min="8963" max="8963" width="7.7109375" style="79" customWidth="1"/>
    <col min="8964" max="8964" width="5" style="79" customWidth="1"/>
    <col min="8965" max="8965" width="27.7109375" style="79" customWidth="1"/>
    <col min="8966" max="8966" width="14.42578125" style="79" customWidth="1"/>
    <col min="8967" max="9216" width="11.5703125" style="79"/>
    <col min="9217" max="9217" width="3.7109375" style="79" customWidth="1"/>
    <col min="9218" max="9218" width="26.7109375" style="79" customWidth="1"/>
    <col min="9219" max="9219" width="7.7109375" style="79" customWidth="1"/>
    <col min="9220" max="9220" width="5" style="79" customWidth="1"/>
    <col min="9221" max="9221" width="27.7109375" style="79" customWidth="1"/>
    <col min="9222" max="9222" width="14.42578125" style="79" customWidth="1"/>
    <col min="9223" max="9472" width="11.5703125" style="79"/>
    <col min="9473" max="9473" width="3.7109375" style="79" customWidth="1"/>
    <col min="9474" max="9474" width="26.7109375" style="79" customWidth="1"/>
    <col min="9475" max="9475" width="7.7109375" style="79" customWidth="1"/>
    <col min="9476" max="9476" width="5" style="79" customWidth="1"/>
    <col min="9477" max="9477" width="27.7109375" style="79" customWidth="1"/>
    <col min="9478" max="9478" width="14.42578125" style="79" customWidth="1"/>
    <col min="9479" max="9728" width="11.5703125" style="79"/>
    <col min="9729" max="9729" width="3.7109375" style="79" customWidth="1"/>
    <col min="9730" max="9730" width="26.7109375" style="79" customWidth="1"/>
    <col min="9731" max="9731" width="7.7109375" style="79" customWidth="1"/>
    <col min="9732" max="9732" width="5" style="79" customWidth="1"/>
    <col min="9733" max="9733" width="27.7109375" style="79" customWidth="1"/>
    <col min="9734" max="9734" width="14.42578125" style="79" customWidth="1"/>
    <col min="9735" max="9984" width="11.5703125" style="79"/>
    <col min="9985" max="9985" width="3.7109375" style="79" customWidth="1"/>
    <col min="9986" max="9986" width="26.7109375" style="79" customWidth="1"/>
    <col min="9987" max="9987" width="7.7109375" style="79" customWidth="1"/>
    <col min="9988" max="9988" width="5" style="79" customWidth="1"/>
    <col min="9989" max="9989" width="27.7109375" style="79" customWidth="1"/>
    <col min="9990" max="9990" width="14.42578125" style="79" customWidth="1"/>
    <col min="9991" max="10240" width="11.5703125" style="79"/>
    <col min="10241" max="10241" width="3.7109375" style="79" customWidth="1"/>
    <col min="10242" max="10242" width="26.7109375" style="79" customWidth="1"/>
    <col min="10243" max="10243" width="7.7109375" style="79" customWidth="1"/>
    <col min="10244" max="10244" width="5" style="79" customWidth="1"/>
    <col min="10245" max="10245" width="27.7109375" style="79" customWidth="1"/>
    <col min="10246" max="10246" width="14.42578125" style="79" customWidth="1"/>
    <col min="10247" max="10496" width="11.5703125" style="79"/>
    <col min="10497" max="10497" width="3.7109375" style="79" customWidth="1"/>
    <col min="10498" max="10498" width="26.7109375" style="79" customWidth="1"/>
    <col min="10499" max="10499" width="7.7109375" style="79" customWidth="1"/>
    <col min="10500" max="10500" width="5" style="79" customWidth="1"/>
    <col min="10501" max="10501" width="27.7109375" style="79" customWidth="1"/>
    <col min="10502" max="10502" width="14.42578125" style="79" customWidth="1"/>
    <col min="10503" max="10752" width="11.5703125" style="79"/>
    <col min="10753" max="10753" width="3.7109375" style="79" customWidth="1"/>
    <col min="10754" max="10754" width="26.7109375" style="79" customWidth="1"/>
    <col min="10755" max="10755" width="7.7109375" style="79" customWidth="1"/>
    <col min="10756" max="10756" width="5" style="79" customWidth="1"/>
    <col min="10757" max="10757" width="27.7109375" style="79" customWidth="1"/>
    <col min="10758" max="10758" width="14.42578125" style="79" customWidth="1"/>
    <col min="10759" max="11008" width="11.5703125" style="79"/>
    <col min="11009" max="11009" width="3.7109375" style="79" customWidth="1"/>
    <col min="11010" max="11010" width="26.7109375" style="79" customWidth="1"/>
    <col min="11011" max="11011" width="7.7109375" style="79" customWidth="1"/>
    <col min="11012" max="11012" width="5" style="79" customWidth="1"/>
    <col min="11013" max="11013" width="27.7109375" style="79" customWidth="1"/>
    <col min="11014" max="11014" width="14.42578125" style="79" customWidth="1"/>
    <col min="11015" max="11264" width="11.5703125" style="79"/>
    <col min="11265" max="11265" width="3.7109375" style="79" customWidth="1"/>
    <col min="11266" max="11266" width="26.7109375" style="79" customWidth="1"/>
    <col min="11267" max="11267" width="7.7109375" style="79" customWidth="1"/>
    <col min="11268" max="11268" width="5" style="79" customWidth="1"/>
    <col min="11269" max="11269" width="27.7109375" style="79" customWidth="1"/>
    <col min="11270" max="11270" width="14.42578125" style="79" customWidth="1"/>
    <col min="11271" max="11520" width="11.5703125" style="79"/>
    <col min="11521" max="11521" width="3.7109375" style="79" customWidth="1"/>
    <col min="11522" max="11522" width="26.7109375" style="79" customWidth="1"/>
    <col min="11523" max="11523" width="7.7109375" style="79" customWidth="1"/>
    <col min="11524" max="11524" width="5" style="79" customWidth="1"/>
    <col min="11525" max="11525" width="27.7109375" style="79" customWidth="1"/>
    <col min="11526" max="11526" width="14.42578125" style="79" customWidth="1"/>
    <col min="11527" max="11776" width="11.5703125" style="79"/>
    <col min="11777" max="11777" width="3.7109375" style="79" customWidth="1"/>
    <col min="11778" max="11778" width="26.7109375" style="79" customWidth="1"/>
    <col min="11779" max="11779" width="7.7109375" style="79" customWidth="1"/>
    <col min="11780" max="11780" width="5" style="79" customWidth="1"/>
    <col min="11781" max="11781" width="27.7109375" style="79" customWidth="1"/>
    <col min="11782" max="11782" width="14.42578125" style="79" customWidth="1"/>
    <col min="11783" max="12032" width="11.5703125" style="79"/>
    <col min="12033" max="12033" width="3.7109375" style="79" customWidth="1"/>
    <col min="12034" max="12034" width="26.7109375" style="79" customWidth="1"/>
    <col min="12035" max="12035" width="7.7109375" style="79" customWidth="1"/>
    <col min="12036" max="12036" width="5" style="79" customWidth="1"/>
    <col min="12037" max="12037" width="27.7109375" style="79" customWidth="1"/>
    <col min="12038" max="12038" width="14.42578125" style="79" customWidth="1"/>
    <col min="12039" max="12288" width="11.5703125" style="79"/>
    <col min="12289" max="12289" width="3.7109375" style="79" customWidth="1"/>
    <col min="12290" max="12290" width="26.7109375" style="79" customWidth="1"/>
    <col min="12291" max="12291" width="7.7109375" style="79" customWidth="1"/>
    <col min="12292" max="12292" width="5" style="79" customWidth="1"/>
    <col min="12293" max="12293" width="27.7109375" style="79" customWidth="1"/>
    <col min="12294" max="12294" width="14.42578125" style="79" customWidth="1"/>
    <col min="12295" max="12544" width="11.5703125" style="79"/>
    <col min="12545" max="12545" width="3.7109375" style="79" customWidth="1"/>
    <col min="12546" max="12546" width="26.7109375" style="79" customWidth="1"/>
    <col min="12547" max="12547" width="7.7109375" style="79" customWidth="1"/>
    <col min="12548" max="12548" width="5" style="79" customWidth="1"/>
    <col min="12549" max="12549" width="27.7109375" style="79" customWidth="1"/>
    <col min="12550" max="12550" width="14.42578125" style="79" customWidth="1"/>
    <col min="12551" max="12800" width="11.5703125" style="79"/>
    <col min="12801" max="12801" width="3.7109375" style="79" customWidth="1"/>
    <col min="12802" max="12802" width="26.7109375" style="79" customWidth="1"/>
    <col min="12803" max="12803" width="7.7109375" style="79" customWidth="1"/>
    <col min="12804" max="12804" width="5" style="79" customWidth="1"/>
    <col min="12805" max="12805" width="27.7109375" style="79" customWidth="1"/>
    <col min="12806" max="12806" width="14.42578125" style="79" customWidth="1"/>
    <col min="12807" max="13056" width="11.5703125" style="79"/>
    <col min="13057" max="13057" width="3.7109375" style="79" customWidth="1"/>
    <col min="13058" max="13058" width="26.7109375" style="79" customWidth="1"/>
    <col min="13059" max="13059" width="7.7109375" style="79" customWidth="1"/>
    <col min="13060" max="13060" width="5" style="79" customWidth="1"/>
    <col min="13061" max="13061" width="27.7109375" style="79" customWidth="1"/>
    <col min="13062" max="13062" width="14.42578125" style="79" customWidth="1"/>
    <col min="13063" max="13312" width="11.5703125" style="79"/>
    <col min="13313" max="13313" width="3.7109375" style="79" customWidth="1"/>
    <col min="13314" max="13314" width="26.7109375" style="79" customWidth="1"/>
    <col min="13315" max="13315" width="7.7109375" style="79" customWidth="1"/>
    <col min="13316" max="13316" width="5" style="79" customWidth="1"/>
    <col min="13317" max="13317" width="27.7109375" style="79" customWidth="1"/>
    <col min="13318" max="13318" width="14.42578125" style="79" customWidth="1"/>
    <col min="13319" max="13568" width="11.5703125" style="79"/>
    <col min="13569" max="13569" width="3.7109375" style="79" customWidth="1"/>
    <col min="13570" max="13570" width="26.7109375" style="79" customWidth="1"/>
    <col min="13571" max="13571" width="7.7109375" style="79" customWidth="1"/>
    <col min="13572" max="13572" width="5" style="79" customWidth="1"/>
    <col min="13573" max="13573" width="27.7109375" style="79" customWidth="1"/>
    <col min="13574" max="13574" width="14.42578125" style="79" customWidth="1"/>
    <col min="13575" max="13824" width="11.5703125" style="79"/>
    <col min="13825" max="13825" width="3.7109375" style="79" customWidth="1"/>
    <col min="13826" max="13826" width="26.7109375" style="79" customWidth="1"/>
    <col min="13827" max="13827" width="7.7109375" style="79" customWidth="1"/>
    <col min="13828" max="13828" width="5" style="79" customWidth="1"/>
    <col min="13829" max="13829" width="27.7109375" style="79" customWidth="1"/>
    <col min="13830" max="13830" width="14.42578125" style="79" customWidth="1"/>
    <col min="13831" max="14080" width="11.5703125" style="79"/>
    <col min="14081" max="14081" width="3.7109375" style="79" customWidth="1"/>
    <col min="14082" max="14082" width="26.7109375" style="79" customWidth="1"/>
    <col min="14083" max="14083" width="7.7109375" style="79" customWidth="1"/>
    <col min="14084" max="14084" width="5" style="79" customWidth="1"/>
    <col min="14085" max="14085" width="27.7109375" style="79" customWidth="1"/>
    <col min="14086" max="14086" width="14.42578125" style="79" customWidth="1"/>
    <col min="14087" max="14336" width="11.5703125" style="79"/>
    <col min="14337" max="14337" width="3.7109375" style="79" customWidth="1"/>
    <col min="14338" max="14338" width="26.7109375" style="79" customWidth="1"/>
    <col min="14339" max="14339" width="7.7109375" style="79" customWidth="1"/>
    <col min="14340" max="14340" width="5" style="79" customWidth="1"/>
    <col min="14341" max="14341" width="27.7109375" style="79" customWidth="1"/>
    <col min="14342" max="14342" width="14.42578125" style="79" customWidth="1"/>
    <col min="14343" max="14592" width="11.5703125" style="79"/>
    <col min="14593" max="14593" width="3.7109375" style="79" customWidth="1"/>
    <col min="14594" max="14594" width="26.7109375" style="79" customWidth="1"/>
    <col min="14595" max="14595" width="7.7109375" style="79" customWidth="1"/>
    <col min="14596" max="14596" width="5" style="79" customWidth="1"/>
    <col min="14597" max="14597" width="27.7109375" style="79" customWidth="1"/>
    <col min="14598" max="14598" width="14.42578125" style="79" customWidth="1"/>
    <col min="14599" max="14848" width="11.5703125" style="79"/>
    <col min="14849" max="14849" width="3.7109375" style="79" customWidth="1"/>
    <col min="14850" max="14850" width="26.7109375" style="79" customWidth="1"/>
    <col min="14851" max="14851" width="7.7109375" style="79" customWidth="1"/>
    <col min="14852" max="14852" width="5" style="79" customWidth="1"/>
    <col min="14853" max="14853" width="27.7109375" style="79" customWidth="1"/>
    <col min="14854" max="14854" width="14.42578125" style="79" customWidth="1"/>
    <col min="14855" max="15104" width="11.5703125" style="79"/>
    <col min="15105" max="15105" width="3.7109375" style="79" customWidth="1"/>
    <col min="15106" max="15106" width="26.7109375" style="79" customWidth="1"/>
    <col min="15107" max="15107" width="7.7109375" style="79" customWidth="1"/>
    <col min="15108" max="15108" width="5" style="79" customWidth="1"/>
    <col min="15109" max="15109" width="27.7109375" style="79" customWidth="1"/>
    <col min="15110" max="15110" width="14.42578125" style="79" customWidth="1"/>
    <col min="15111" max="15360" width="11.5703125" style="79"/>
    <col min="15361" max="15361" width="3.7109375" style="79" customWidth="1"/>
    <col min="15362" max="15362" width="26.7109375" style="79" customWidth="1"/>
    <col min="15363" max="15363" width="7.7109375" style="79" customWidth="1"/>
    <col min="15364" max="15364" width="5" style="79" customWidth="1"/>
    <col min="15365" max="15365" width="27.7109375" style="79" customWidth="1"/>
    <col min="15366" max="15366" width="14.42578125" style="79" customWidth="1"/>
    <col min="15367" max="15616" width="11.5703125" style="79"/>
    <col min="15617" max="15617" width="3.7109375" style="79" customWidth="1"/>
    <col min="15618" max="15618" width="26.7109375" style="79" customWidth="1"/>
    <col min="15619" max="15619" width="7.7109375" style="79" customWidth="1"/>
    <col min="15620" max="15620" width="5" style="79" customWidth="1"/>
    <col min="15621" max="15621" width="27.7109375" style="79" customWidth="1"/>
    <col min="15622" max="15622" width="14.42578125" style="79" customWidth="1"/>
    <col min="15623" max="15872" width="11.5703125" style="79"/>
    <col min="15873" max="15873" width="3.7109375" style="79" customWidth="1"/>
    <col min="15874" max="15874" width="26.7109375" style="79" customWidth="1"/>
    <col min="15875" max="15875" width="7.7109375" style="79" customWidth="1"/>
    <col min="15876" max="15876" width="5" style="79" customWidth="1"/>
    <col min="15877" max="15877" width="27.7109375" style="79" customWidth="1"/>
    <col min="15878" max="15878" width="14.42578125" style="79" customWidth="1"/>
    <col min="15879" max="16128" width="11.5703125" style="79"/>
    <col min="16129" max="16129" width="3.7109375" style="79" customWidth="1"/>
    <col min="16130" max="16130" width="26.7109375" style="79" customWidth="1"/>
    <col min="16131" max="16131" width="7.7109375" style="79" customWidth="1"/>
    <col min="16132" max="16132" width="5" style="79" customWidth="1"/>
    <col min="16133" max="16133" width="27.7109375" style="79" customWidth="1"/>
    <col min="16134" max="16134" width="14.42578125" style="79" customWidth="1"/>
    <col min="16135" max="16384" width="11.5703125" style="79"/>
  </cols>
  <sheetData>
    <row r="1" spans="1:7" ht="51.2" customHeight="1" x14ac:dyDescent="0.2">
      <c r="A1" s="161" t="s">
        <v>52</v>
      </c>
      <c r="B1" s="161"/>
      <c r="C1" s="162" t="s">
        <v>53</v>
      </c>
      <c r="D1" s="162"/>
      <c r="E1" s="162"/>
      <c r="F1" s="162"/>
      <c r="G1" s="162"/>
    </row>
    <row r="2" spans="1:7" x14ac:dyDescent="0.2">
      <c r="A2" s="80"/>
      <c r="B2" s="80"/>
      <c r="C2" s="81"/>
      <c r="D2" s="81"/>
      <c r="E2" s="81"/>
      <c r="F2" s="81"/>
      <c r="G2" s="81"/>
    </row>
    <row r="3" spans="1:7" x14ac:dyDescent="0.2">
      <c r="A3" s="80"/>
      <c r="B3" s="80"/>
      <c r="C3" s="81"/>
      <c r="D3" s="81"/>
      <c r="E3" s="81"/>
      <c r="F3" s="81"/>
      <c r="G3" s="81"/>
    </row>
    <row r="4" spans="1:7" x14ac:dyDescent="0.2">
      <c r="A4" s="79"/>
      <c r="B4" s="163" t="s">
        <v>363</v>
      </c>
      <c r="C4" s="163"/>
      <c r="D4" s="163"/>
      <c r="E4" s="163"/>
      <c r="F4" s="163"/>
      <c r="G4" s="79"/>
    </row>
    <row r="5" spans="1:7" x14ac:dyDescent="0.2">
      <c r="A5" s="79"/>
      <c r="B5" s="164" t="s">
        <v>374</v>
      </c>
      <c r="C5" s="164"/>
      <c r="D5" s="164"/>
      <c r="E5" s="164"/>
      <c r="F5" s="164"/>
      <c r="G5" s="79"/>
    </row>
    <row r="6" spans="1:7" x14ac:dyDescent="0.2">
      <c r="A6" s="79"/>
      <c r="B6" s="79"/>
      <c r="C6" s="82"/>
      <c r="D6" s="82"/>
      <c r="E6" s="82"/>
      <c r="F6" s="79"/>
      <c r="G6" s="79"/>
    </row>
    <row r="7" spans="1:7" ht="38.25" customHeight="1" x14ac:dyDescent="0.2">
      <c r="A7" s="159" t="s">
        <v>54</v>
      </c>
      <c r="B7" s="159"/>
      <c r="C7" s="159"/>
      <c r="D7" s="165" t="str">
        <f>Геодезия!D7</f>
        <v xml:space="preserve">Строительство пристройки на 500 ученических мест к зданию школы №39 в г. Махачкала  </v>
      </c>
      <c r="E7" s="165"/>
      <c r="F7" s="165"/>
      <c r="G7" s="165"/>
    </row>
    <row r="8" spans="1:7" x14ac:dyDescent="0.2">
      <c r="A8" s="83"/>
      <c r="B8" s="83"/>
      <c r="C8" s="84"/>
      <c r="D8" s="85"/>
      <c r="E8" s="85"/>
      <c r="F8" s="85"/>
      <c r="G8" s="85"/>
    </row>
    <row r="9" spans="1:7" ht="12.75" customHeight="1" x14ac:dyDescent="0.2">
      <c r="A9" s="159" t="s">
        <v>55</v>
      </c>
      <c r="B9" s="159"/>
      <c r="C9" s="159"/>
      <c r="D9" s="160" t="s">
        <v>380</v>
      </c>
      <c r="E9" s="160"/>
      <c r="F9" s="160"/>
      <c r="G9" s="160"/>
    </row>
    <row r="10" spans="1:7" x14ac:dyDescent="0.2">
      <c r="A10" s="79"/>
      <c r="B10" s="79"/>
      <c r="C10" s="79"/>
      <c r="D10" s="160"/>
      <c r="E10" s="160"/>
      <c r="F10" s="160"/>
      <c r="G10" s="160"/>
    </row>
    <row r="11" spans="1:7" ht="32.25" customHeight="1" x14ac:dyDescent="0.2">
      <c r="A11" s="87" t="s">
        <v>56</v>
      </c>
      <c r="B11" s="87" t="s">
        <v>15</v>
      </c>
      <c r="C11" s="87" t="s">
        <v>57</v>
      </c>
      <c r="D11" s="87" t="s">
        <v>58</v>
      </c>
      <c r="E11" s="87" t="s">
        <v>18</v>
      </c>
      <c r="F11" s="87" t="s">
        <v>5</v>
      </c>
      <c r="G11" s="87" t="s">
        <v>6</v>
      </c>
    </row>
    <row r="12" spans="1:7" x14ac:dyDescent="0.2">
      <c r="A12" s="88">
        <v>1</v>
      </c>
      <c r="B12" s="89">
        <v>2</v>
      </c>
      <c r="C12" s="89">
        <v>3</v>
      </c>
      <c r="D12" s="89">
        <v>4</v>
      </c>
      <c r="E12" s="89">
        <v>5</v>
      </c>
      <c r="F12" s="89">
        <v>6</v>
      </c>
      <c r="G12" s="89">
        <v>7</v>
      </c>
    </row>
    <row r="13" spans="1:7" ht="12.75" customHeight="1" x14ac:dyDescent="0.2">
      <c r="A13" s="90" t="s">
        <v>7</v>
      </c>
      <c r="B13" s="91" t="s">
        <v>59</v>
      </c>
      <c r="C13" s="91"/>
      <c r="D13" s="91"/>
      <c r="E13" s="91" t="s">
        <v>21</v>
      </c>
      <c r="F13" s="91"/>
      <c r="G13" s="92"/>
    </row>
    <row r="14" spans="1:7" ht="127.5" customHeight="1" x14ac:dyDescent="0.2">
      <c r="A14" s="93" t="s">
        <v>60</v>
      </c>
      <c r="B14" s="94" t="s">
        <v>211</v>
      </c>
      <c r="C14" s="95" t="s">
        <v>212</v>
      </c>
      <c r="D14" s="95">
        <v>40</v>
      </c>
      <c r="E14" s="95" t="s">
        <v>213</v>
      </c>
      <c r="F14" s="95" t="s">
        <v>214</v>
      </c>
      <c r="G14" s="96">
        <f>ROUND(0.013  * 40 * 51.69 * 1.21,3)</f>
        <v>32.523000000000003</v>
      </c>
    </row>
    <row r="15" spans="1:7" ht="15.75" customHeight="1" x14ac:dyDescent="0.2">
      <c r="A15" s="97" t="s">
        <v>65</v>
      </c>
      <c r="B15" s="98" t="s">
        <v>66</v>
      </c>
      <c r="C15" s="98"/>
      <c r="D15" s="98"/>
      <c r="E15" s="98"/>
      <c r="F15" s="98"/>
      <c r="G15" s="99"/>
    </row>
    <row r="16" spans="1:7" ht="12.75" customHeight="1" x14ac:dyDescent="0.2">
      <c r="A16" s="116" t="s">
        <v>65</v>
      </c>
      <c r="B16" s="117" t="s">
        <v>67</v>
      </c>
      <c r="C16" s="117"/>
      <c r="D16" s="117"/>
      <c r="E16" s="117"/>
      <c r="F16" s="117"/>
      <c r="G16" s="118"/>
    </row>
    <row r="17" spans="1:7" ht="38.25" customHeight="1" x14ac:dyDescent="0.2">
      <c r="A17" s="116" t="s">
        <v>65</v>
      </c>
      <c r="B17" s="117" t="s">
        <v>106</v>
      </c>
      <c r="C17" s="117"/>
      <c r="D17" s="117"/>
      <c r="E17" s="117" t="s">
        <v>107</v>
      </c>
      <c r="F17" s="117"/>
      <c r="G17" s="118"/>
    </row>
    <row r="18" spans="1:7" ht="63.75" customHeight="1" x14ac:dyDescent="0.2">
      <c r="A18" s="116" t="s">
        <v>65</v>
      </c>
      <c r="B18" s="117" t="s">
        <v>215</v>
      </c>
      <c r="C18" s="117"/>
      <c r="D18" s="117"/>
      <c r="E18" s="117" t="s">
        <v>216</v>
      </c>
      <c r="F18" s="117"/>
      <c r="G18" s="118"/>
    </row>
    <row r="19" spans="1:7" ht="15.75" customHeight="1" x14ac:dyDescent="0.2">
      <c r="A19" s="116" t="s">
        <v>65</v>
      </c>
      <c r="B19" s="119" t="s">
        <v>70</v>
      </c>
      <c r="C19" s="119"/>
      <c r="D19" s="119"/>
      <c r="E19" s="119"/>
      <c r="F19" s="119"/>
      <c r="G19" s="120"/>
    </row>
    <row r="20" spans="1:7" ht="12.75" customHeight="1" x14ac:dyDescent="0.2">
      <c r="A20" s="121" t="s">
        <v>65</v>
      </c>
      <c r="B20" s="122" t="s">
        <v>71</v>
      </c>
      <c r="C20" s="122"/>
      <c r="D20" s="122"/>
      <c r="E20" s="123">
        <v>1</v>
      </c>
      <c r="F20" s="122"/>
      <c r="G20" s="124"/>
    </row>
    <row r="21" spans="1:7" ht="140.25" customHeight="1" x14ac:dyDescent="0.2">
      <c r="A21" s="109" t="s">
        <v>72</v>
      </c>
      <c r="B21" s="110" t="s">
        <v>217</v>
      </c>
      <c r="C21" s="111" t="s">
        <v>218</v>
      </c>
      <c r="D21" s="111">
        <v>0.8</v>
      </c>
      <c r="E21" s="111" t="s">
        <v>219</v>
      </c>
      <c r="F21" s="111" t="s">
        <v>220</v>
      </c>
      <c r="G21" s="112">
        <f>ROUND(0.037  * 0.8 * 51.69,3)</f>
        <v>1.53</v>
      </c>
    </row>
    <row r="22" spans="1:7" ht="15.75" customHeight="1" x14ac:dyDescent="0.2">
      <c r="A22" s="97" t="s">
        <v>65</v>
      </c>
      <c r="B22" s="98" t="s">
        <v>66</v>
      </c>
      <c r="C22" s="98"/>
      <c r="D22" s="98"/>
      <c r="E22" s="98"/>
      <c r="F22" s="98"/>
      <c r="G22" s="99"/>
    </row>
    <row r="23" spans="1:7" ht="12.75" customHeight="1" x14ac:dyDescent="0.2">
      <c r="A23" s="116" t="s">
        <v>65</v>
      </c>
      <c r="B23" s="117" t="s">
        <v>67</v>
      </c>
      <c r="C23" s="117"/>
      <c r="D23" s="117"/>
      <c r="E23" s="117"/>
      <c r="F23" s="117"/>
      <c r="G23" s="118"/>
    </row>
    <row r="24" spans="1:7" ht="38.25" customHeight="1" x14ac:dyDescent="0.2">
      <c r="A24" s="116" t="s">
        <v>65</v>
      </c>
      <c r="B24" s="117" t="s">
        <v>106</v>
      </c>
      <c r="C24" s="117"/>
      <c r="D24" s="117"/>
      <c r="E24" s="117" t="s">
        <v>107</v>
      </c>
      <c r="F24" s="117"/>
      <c r="G24" s="118"/>
    </row>
    <row r="25" spans="1:7" ht="15.75" customHeight="1" x14ac:dyDescent="0.2">
      <c r="A25" s="116" t="s">
        <v>65</v>
      </c>
      <c r="B25" s="119" t="s">
        <v>70</v>
      </c>
      <c r="C25" s="119"/>
      <c r="D25" s="119"/>
      <c r="E25" s="119"/>
      <c r="F25" s="119"/>
      <c r="G25" s="120"/>
    </row>
    <row r="26" spans="1:7" ht="12.75" customHeight="1" x14ac:dyDescent="0.2">
      <c r="A26" s="121" t="s">
        <v>65</v>
      </c>
      <c r="B26" s="122" t="s">
        <v>71</v>
      </c>
      <c r="C26" s="122"/>
      <c r="D26" s="122"/>
      <c r="E26" s="123">
        <v>1</v>
      </c>
      <c r="F26" s="122"/>
      <c r="G26" s="124"/>
    </row>
    <row r="27" spans="1:7" ht="12.75" customHeight="1" x14ac:dyDescent="0.2">
      <c r="A27" s="121" t="s">
        <v>76</v>
      </c>
      <c r="B27" s="125" t="s">
        <v>77</v>
      </c>
      <c r="C27" s="125"/>
      <c r="D27" s="125"/>
      <c r="E27" s="125"/>
      <c r="F27" s="125"/>
      <c r="G27" s="126">
        <f>ROUND((SUM($G$14:$G$21)),3)</f>
        <v>34.052999999999997</v>
      </c>
    </row>
    <row r="28" spans="1:7" ht="12.75" customHeight="1" x14ac:dyDescent="0.2">
      <c r="A28" s="90" t="s">
        <v>78</v>
      </c>
      <c r="B28" s="91" t="s">
        <v>79</v>
      </c>
      <c r="C28" s="91"/>
      <c r="D28" s="91"/>
      <c r="E28" s="91"/>
      <c r="F28" s="91"/>
      <c r="G28" s="115">
        <f>ROUND(($G$27),3)</f>
        <v>34.052999999999997</v>
      </c>
    </row>
    <row r="29" spans="1:7" ht="12.75" customHeight="1" x14ac:dyDescent="0.2">
      <c r="A29" s="90" t="s">
        <v>10</v>
      </c>
      <c r="B29" s="91" t="s">
        <v>59</v>
      </c>
      <c r="C29" s="91"/>
      <c r="D29" s="91"/>
      <c r="E29" s="91" t="s">
        <v>23</v>
      </c>
      <c r="F29" s="91"/>
      <c r="G29" s="92"/>
    </row>
    <row r="30" spans="1:7" ht="140.25" customHeight="1" x14ac:dyDescent="0.2">
      <c r="A30" s="93" t="s">
        <v>80</v>
      </c>
      <c r="B30" s="94" t="s">
        <v>221</v>
      </c>
      <c r="C30" s="95" t="s">
        <v>222</v>
      </c>
      <c r="D30" s="95">
        <v>40</v>
      </c>
      <c r="E30" s="95" t="s">
        <v>223</v>
      </c>
      <c r="F30" s="95" t="s">
        <v>224</v>
      </c>
      <c r="G30" s="96">
        <f>ROUND(0.013  * 40 * 51.69,3)</f>
        <v>26.879000000000001</v>
      </c>
    </row>
    <row r="31" spans="1:7" ht="15.75" customHeight="1" x14ac:dyDescent="0.2">
      <c r="A31" s="97" t="s">
        <v>65</v>
      </c>
      <c r="B31" s="98" t="s">
        <v>66</v>
      </c>
      <c r="C31" s="98"/>
      <c r="D31" s="98"/>
      <c r="E31" s="98"/>
      <c r="F31" s="98"/>
      <c r="G31" s="99"/>
    </row>
    <row r="32" spans="1:7" ht="12.75" customHeight="1" x14ac:dyDescent="0.2">
      <c r="A32" s="116" t="s">
        <v>65</v>
      </c>
      <c r="B32" s="117" t="s">
        <v>67</v>
      </c>
      <c r="C32" s="117"/>
      <c r="D32" s="117"/>
      <c r="E32" s="117"/>
      <c r="F32" s="117"/>
      <c r="G32" s="118"/>
    </row>
    <row r="33" spans="1:7" ht="38.25" customHeight="1" x14ac:dyDescent="0.2">
      <c r="A33" s="116" t="s">
        <v>65</v>
      </c>
      <c r="B33" s="117" t="s">
        <v>106</v>
      </c>
      <c r="C33" s="117"/>
      <c r="D33" s="117"/>
      <c r="E33" s="117" t="s">
        <v>107</v>
      </c>
      <c r="F33" s="117"/>
      <c r="G33" s="118"/>
    </row>
    <row r="34" spans="1:7" ht="15.75" customHeight="1" x14ac:dyDescent="0.2">
      <c r="A34" s="116" t="s">
        <v>65</v>
      </c>
      <c r="B34" s="119" t="s">
        <v>70</v>
      </c>
      <c r="C34" s="119"/>
      <c r="D34" s="119"/>
      <c r="E34" s="119"/>
      <c r="F34" s="119"/>
      <c r="G34" s="120"/>
    </row>
    <row r="35" spans="1:7" ht="12.75" customHeight="1" x14ac:dyDescent="0.2">
      <c r="A35" s="121" t="s">
        <v>65</v>
      </c>
      <c r="B35" s="122" t="s">
        <v>71</v>
      </c>
      <c r="C35" s="122"/>
      <c r="D35" s="122"/>
      <c r="E35" s="123">
        <v>1</v>
      </c>
      <c r="F35" s="122"/>
      <c r="G35" s="124"/>
    </row>
    <row r="36" spans="1:7" ht="165.75" customHeight="1" x14ac:dyDescent="0.2">
      <c r="A36" s="109" t="s">
        <v>83</v>
      </c>
      <c r="B36" s="110" t="s">
        <v>225</v>
      </c>
      <c r="C36" s="111" t="s">
        <v>226</v>
      </c>
      <c r="D36" s="111">
        <v>4</v>
      </c>
      <c r="E36" s="111" t="s">
        <v>227</v>
      </c>
      <c r="F36" s="111" t="s">
        <v>228</v>
      </c>
      <c r="G36" s="112">
        <f>ROUND(0.043  * 4 * 51.69,3)</f>
        <v>8.891</v>
      </c>
    </row>
    <row r="37" spans="1:7" ht="15.75" customHeight="1" x14ac:dyDescent="0.2">
      <c r="A37" s="97" t="s">
        <v>65</v>
      </c>
      <c r="B37" s="98" t="s">
        <v>66</v>
      </c>
      <c r="C37" s="98"/>
      <c r="D37" s="98"/>
      <c r="E37" s="98"/>
      <c r="F37" s="98"/>
      <c r="G37" s="99"/>
    </row>
    <row r="38" spans="1:7" ht="12.75" customHeight="1" x14ac:dyDescent="0.2">
      <c r="A38" s="116" t="s">
        <v>65</v>
      </c>
      <c r="B38" s="117" t="s">
        <v>67</v>
      </c>
      <c r="C38" s="117"/>
      <c r="D38" s="117"/>
      <c r="E38" s="117"/>
      <c r="F38" s="117"/>
      <c r="G38" s="118"/>
    </row>
    <row r="39" spans="1:7" ht="38.25" customHeight="1" x14ac:dyDescent="0.2">
      <c r="A39" s="116" t="s">
        <v>65</v>
      </c>
      <c r="B39" s="117" t="s">
        <v>106</v>
      </c>
      <c r="C39" s="117"/>
      <c r="D39" s="117"/>
      <c r="E39" s="117" t="s">
        <v>107</v>
      </c>
      <c r="F39" s="117"/>
      <c r="G39" s="118"/>
    </row>
    <row r="40" spans="1:7" ht="15.75" customHeight="1" x14ac:dyDescent="0.2">
      <c r="A40" s="116" t="s">
        <v>65</v>
      </c>
      <c r="B40" s="119" t="s">
        <v>70</v>
      </c>
      <c r="C40" s="119"/>
      <c r="D40" s="119"/>
      <c r="E40" s="119"/>
      <c r="F40" s="119"/>
      <c r="G40" s="120"/>
    </row>
    <row r="41" spans="1:7" ht="12.75" customHeight="1" x14ac:dyDescent="0.2">
      <c r="A41" s="121" t="s">
        <v>65</v>
      </c>
      <c r="B41" s="122" t="s">
        <v>71</v>
      </c>
      <c r="C41" s="122"/>
      <c r="D41" s="122"/>
      <c r="E41" s="123">
        <v>1</v>
      </c>
      <c r="F41" s="122"/>
      <c r="G41" s="124"/>
    </row>
    <row r="42" spans="1:7" ht="165.75" customHeight="1" x14ac:dyDescent="0.2">
      <c r="A42" s="109" t="s">
        <v>85</v>
      </c>
      <c r="B42" s="110" t="s">
        <v>225</v>
      </c>
      <c r="C42" s="111" t="s">
        <v>226</v>
      </c>
      <c r="D42" s="111">
        <v>10</v>
      </c>
      <c r="E42" s="111" t="s">
        <v>229</v>
      </c>
      <c r="F42" s="111" t="s">
        <v>230</v>
      </c>
      <c r="G42" s="112">
        <f>ROUND(0.043  * 10 * 51.69,3)</f>
        <v>22.227</v>
      </c>
    </row>
    <row r="43" spans="1:7" ht="15.75" customHeight="1" x14ac:dyDescent="0.2">
      <c r="A43" s="97" t="s">
        <v>65</v>
      </c>
      <c r="B43" s="98" t="s">
        <v>66</v>
      </c>
      <c r="C43" s="98"/>
      <c r="D43" s="98"/>
      <c r="E43" s="98"/>
      <c r="F43" s="98"/>
      <c r="G43" s="99"/>
    </row>
    <row r="44" spans="1:7" ht="12.75" customHeight="1" x14ac:dyDescent="0.2">
      <c r="A44" s="116" t="s">
        <v>65</v>
      </c>
      <c r="B44" s="117" t="s">
        <v>67</v>
      </c>
      <c r="C44" s="117"/>
      <c r="D44" s="117"/>
      <c r="E44" s="117"/>
      <c r="F44" s="117"/>
      <c r="G44" s="118"/>
    </row>
    <row r="45" spans="1:7" ht="38.25" customHeight="1" x14ac:dyDescent="0.2">
      <c r="A45" s="116" t="s">
        <v>65</v>
      </c>
      <c r="B45" s="117" t="s">
        <v>106</v>
      </c>
      <c r="C45" s="117"/>
      <c r="D45" s="117"/>
      <c r="E45" s="117" t="s">
        <v>107</v>
      </c>
      <c r="F45" s="117"/>
      <c r="G45" s="118"/>
    </row>
    <row r="46" spans="1:7" ht="15.75" customHeight="1" x14ac:dyDescent="0.2">
      <c r="A46" s="116" t="s">
        <v>65</v>
      </c>
      <c r="B46" s="119" t="s">
        <v>70</v>
      </c>
      <c r="C46" s="119"/>
      <c r="D46" s="119"/>
      <c r="E46" s="119"/>
      <c r="F46" s="119"/>
      <c r="G46" s="120"/>
    </row>
    <row r="47" spans="1:7" ht="12.75" customHeight="1" x14ac:dyDescent="0.2">
      <c r="A47" s="121" t="s">
        <v>65</v>
      </c>
      <c r="B47" s="122" t="s">
        <v>71</v>
      </c>
      <c r="C47" s="122"/>
      <c r="D47" s="122"/>
      <c r="E47" s="123">
        <v>1</v>
      </c>
      <c r="F47" s="122"/>
      <c r="G47" s="124"/>
    </row>
    <row r="48" spans="1:7" ht="140.25" customHeight="1" x14ac:dyDescent="0.2">
      <c r="A48" s="109" t="s">
        <v>148</v>
      </c>
      <c r="B48" s="110" t="s">
        <v>231</v>
      </c>
      <c r="C48" s="111" t="s">
        <v>232</v>
      </c>
      <c r="D48" s="111">
        <v>1</v>
      </c>
      <c r="E48" s="111" t="s">
        <v>233</v>
      </c>
      <c r="F48" s="111" t="s">
        <v>234</v>
      </c>
      <c r="G48" s="112">
        <f>ROUND(0.8  * 1 * 51.69,3)</f>
        <v>41.351999999999997</v>
      </c>
    </row>
    <row r="49" spans="1:7" ht="15.75" customHeight="1" x14ac:dyDescent="0.2">
      <c r="A49" s="97" t="s">
        <v>65</v>
      </c>
      <c r="B49" s="98" t="s">
        <v>66</v>
      </c>
      <c r="C49" s="98"/>
      <c r="D49" s="98"/>
      <c r="E49" s="98"/>
      <c r="F49" s="98"/>
      <c r="G49" s="99"/>
    </row>
    <row r="50" spans="1:7" ht="12.75" customHeight="1" x14ac:dyDescent="0.2">
      <c r="A50" s="116" t="s">
        <v>65</v>
      </c>
      <c r="B50" s="117" t="s">
        <v>67</v>
      </c>
      <c r="C50" s="117"/>
      <c r="D50" s="117"/>
      <c r="E50" s="117"/>
      <c r="F50" s="117"/>
      <c r="G50" s="118"/>
    </row>
    <row r="51" spans="1:7" ht="38.25" customHeight="1" x14ac:dyDescent="0.2">
      <c r="A51" s="116" t="s">
        <v>65</v>
      </c>
      <c r="B51" s="117" t="s">
        <v>106</v>
      </c>
      <c r="C51" s="117"/>
      <c r="D51" s="117"/>
      <c r="E51" s="117" t="s">
        <v>107</v>
      </c>
      <c r="F51" s="117"/>
      <c r="G51" s="118"/>
    </row>
    <row r="52" spans="1:7" ht="15.75" customHeight="1" x14ac:dyDescent="0.2">
      <c r="A52" s="116" t="s">
        <v>65</v>
      </c>
      <c r="B52" s="119" t="s">
        <v>70</v>
      </c>
      <c r="C52" s="119"/>
      <c r="D52" s="119"/>
      <c r="E52" s="119"/>
      <c r="F52" s="119"/>
      <c r="G52" s="120"/>
    </row>
    <row r="53" spans="1:7" ht="12.75" customHeight="1" x14ac:dyDescent="0.2">
      <c r="A53" s="121" t="s">
        <v>65</v>
      </c>
      <c r="B53" s="122" t="s">
        <v>71</v>
      </c>
      <c r="C53" s="122"/>
      <c r="D53" s="122"/>
      <c r="E53" s="123">
        <v>1</v>
      </c>
      <c r="F53" s="122"/>
      <c r="G53" s="124"/>
    </row>
    <row r="54" spans="1:7" ht="140.25" customHeight="1" x14ac:dyDescent="0.2">
      <c r="A54" s="109" t="s">
        <v>152</v>
      </c>
      <c r="B54" s="110" t="s">
        <v>235</v>
      </c>
      <c r="C54" s="111" t="s">
        <v>232</v>
      </c>
      <c r="D54" s="111">
        <v>1</v>
      </c>
      <c r="E54" s="111" t="s">
        <v>236</v>
      </c>
      <c r="F54" s="111" t="s">
        <v>237</v>
      </c>
      <c r="G54" s="112">
        <f>ROUND(0.5  * 1 * 51.69,3)</f>
        <v>25.844999999999999</v>
      </c>
    </row>
    <row r="55" spans="1:7" ht="15.75" customHeight="1" x14ac:dyDescent="0.2">
      <c r="A55" s="97" t="s">
        <v>65</v>
      </c>
      <c r="B55" s="98" t="s">
        <v>66</v>
      </c>
      <c r="C55" s="98"/>
      <c r="D55" s="98"/>
      <c r="E55" s="98"/>
      <c r="F55" s="98"/>
      <c r="G55" s="99"/>
    </row>
    <row r="56" spans="1:7" ht="12.75" customHeight="1" x14ac:dyDescent="0.2">
      <c r="A56" s="116" t="s">
        <v>65</v>
      </c>
      <c r="B56" s="117" t="s">
        <v>67</v>
      </c>
      <c r="C56" s="117"/>
      <c r="D56" s="117"/>
      <c r="E56" s="117"/>
      <c r="F56" s="117"/>
      <c r="G56" s="118"/>
    </row>
    <row r="57" spans="1:7" ht="38.25" customHeight="1" x14ac:dyDescent="0.2">
      <c r="A57" s="116" t="s">
        <v>65</v>
      </c>
      <c r="B57" s="117" t="s">
        <v>106</v>
      </c>
      <c r="C57" s="117"/>
      <c r="D57" s="117"/>
      <c r="E57" s="117" t="s">
        <v>107</v>
      </c>
      <c r="F57" s="117"/>
      <c r="G57" s="118"/>
    </row>
    <row r="58" spans="1:7" ht="15.75" customHeight="1" x14ac:dyDescent="0.2">
      <c r="A58" s="116" t="s">
        <v>65</v>
      </c>
      <c r="B58" s="119" t="s">
        <v>70</v>
      </c>
      <c r="C58" s="119"/>
      <c r="D58" s="119"/>
      <c r="E58" s="119"/>
      <c r="F58" s="119"/>
      <c r="G58" s="120"/>
    </row>
    <row r="59" spans="1:7" ht="12.75" customHeight="1" x14ac:dyDescent="0.2">
      <c r="A59" s="121" t="s">
        <v>65</v>
      </c>
      <c r="B59" s="122" t="s">
        <v>71</v>
      </c>
      <c r="C59" s="122"/>
      <c r="D59" s="122"/>
      <c r="E59" s="123">
        <v>1</v>
      </c>
      <c r="F59" s="122"/>
      <c r="G59" s="124"/>
    </row>
    <row r="60" spans="1:7" ht="25.5" customHeight="1" x14ac:dyDescent="0.2">
      <c r="A60" s="121" t="s">
        <v>156</v>
      </c>
      <c r="B60" s="125" t="s">
        <v>84</v>
      </c>
      <c r="C60" s="125"/>
      <c r="D60" s="125"/>
      <c r="E60" s="125"/>
      <c r="F60" s="125"/>
      <c r="G60" s="126">
        <f>ROUND((SUM($G$30:$G$54)),3)</f>
        <v>125.194</v>
      </c>
    </row>
    <row r="61" spans="1:7" ht="25.5" customHeight="1" x14ac:dyDescent="0.2">
      <c r="A61" s="90" t="s">
        <v>160</v>
      </c>
      <c r="B61" s="91" t="s">
        <v>86</v>
      </c>
      <c r="C61" s="91"/>
      <c r="D61" s="91"/>
      <c r="E61" s="91"/>
      <c r="F61" s="91"/>
      <c r="G61" s="115">
        <f>ROUND(($G$60),3)</f>
        <v>125.194</v>
      </c>
    </row>
    <row r="62" spans="1:7" ht="12.75" customHeight="1" x14ac:dyDescent="0.2">
      <c r="A62" s="90" t="s">
        <v>87</v>
      </c>
      <c r="B62" s="91" t="s">
        <v>59</v>
      </c>
      <c r="C62" s="91"/>
      <c r="D62" s="91"/>
      <c r="E62" s="91" t="s">
        <v>88</v>
      </c>
      <c r="F62" s="91"/>
      <c r="G62" s="92"/>
    </row>
    <row r="63" spans="1:7" ht="38.25" customHeight="1" x14ac:dyDescent="0.2">
      <c r="A63" s="90" t="s">
        <v>89</v>
      </c>
      <c r="B63" s="127" t="s">
        <v>238</v>
      </c>
      <c r="C63" s="127"/>
      <c r="D63" s="127"/>
      <c r="E63" s="127" t="s">
        <v>239</v>
      </c>
      <c r="F63" s="127" t="s">
        <v>240</v>
      </c>
      <c r="G63" s="128">
        <f>ROUND(($G$60) * 10 / 100 * 1,3)</f>
        <v>12.519</v>
      </c>
    </row>
    <row r="64" spans="1:7" ht="89.25" customHeight="1" x14ac:dyDescent="0.2">
      <c r="A64" s="90" t="s">
        <v>93</v>
      </c>
      <c r="B64" s="127" t="s">
        <v>241</v>
      </c>
      <c r="C64" s="127"/>
      <c r="D64" s="127"/>
      <c r="E64" s="127" t="s">
        <v>242</v>
      </c>
      <c r="F64" s="127" t="s">
        <v>243</v>
      </c>
      <c r="G64" s="128">
        <f>ROUND(($G$28) * 10 / 100 * 1,3)</f>
        <v>3.4049999999999998</v>
      </c>
    </row>
    <row r="65" spans="1:7" ht="76.5" customHeight="1" x14ac:dyDescent="0.2">
      <c r="A65" s="90" t="s">
        <v>181</v>
      </c>
      <c r="B65" s="127" t="s">
        <v>244</v>
      </c>
      <c r="C65" s="127"/>
      <c r="D65" s="127"/>
      <c r="E65" s="127" t="s">
        <v>245</v>
      </c>
      <c r="F65" s="127" t="s">
        <v>246</v>
      </c>
      <c r="G65" s="128">
        <f>ROUND(($G$28 + $G$64) * 10 / 100 * 1,3)</f>
        <v>3.746</v>
      </c>
    </row>
    <row r="66" spans="1:7" ht="38.25" customHeight="1" x14ac:dyDescent="0.2">
      <c r="A66" s="90" t="s">
        <v>185</v>
      </c>
      <c r="B66" s="127" t="s">
        <v>247</v>
      </c>
      <c r="C66" s="127"/>
      <c r="D66" s="127"/>
      <c r="E66" s="127" t="s">
        <v>248</v>
      </c>
      <c r="F66" s="127" t="s">
        <v>249</v>
      </c>
      <c r="G66" s="128">
        <f>ROUND(($G$28 + $G$64) * 1 * 1 * 6 / 100 * 1,3)</f>
        <v>2.2469999999999999</v>
      </c>
    </row>
    <row r="67" spans="1:7" ht="12.75" customHeight="1" x14ac:dyDescent="0.2">
      <c r="A67" s="90" t="s">
        <v>189</v>
      </c>
      <c r="B67" s="91" t="s">
        <v>94</v>
      </c>
      <c r="C67" s="91"/>
      <c r="D67" s="91"/>
      <c r="E67" s="91"/>
      <c r="F67" s="91"/>
      <c r="G67" s="115">
        <f>ROUND((SUM($G$63:$G$66)),3)</f>
        <v>21.917000000000002</v>
      </c>
    </row>
    <row r="68" spans="1:7" ht="12.75" customHeight="1" x14ac:dyDescent="0.2">
      <c r="A68" s="90" t="s">
        <v>95</v>
      </c>
      <c r="B68" s="91" t="s">
        <v>96</v>
      </c>
      <c r="C68" s="91"/>
      <c r="D68" s="91"/>
      <c r="E68" s="91"/>
      <c r="F68" s="91"/>
      <c r="G68" s="115">
        <f>ROUND(($G$28 + $G$61 + $G$67),3)</f>
        <v>181.16399999999999</v>
      </c>
    </row>
    <row r="69" spans="1:7" ht="12.75" customHeight="1" x14ac:dyDescent="0.2">
      <c r="A69" s="90" t="s">
        <v>97</v>
      </c>
      <c r="B69" s="127" t="s">
        <v>98</v>
      </c>
      <c r="C69" s="127"/>
      <c r="D69" s="127"/>
      <c r="E69" s="127"/>
      <c r="F69" s="127" t="s">
        <v>99</v>
      </c>
      <c r="G69" s="128">
        <f>ROUND(($G$68) * 20 / 100 * 1,3)</f>
        <v>36.232999999999997</v>
      </c>
    </row>
    <row r="70" spans="1:7" ht="12.75" customHeight="1" x14ac:dyDescent="0.2">
      <c r="A70" s="90" t="s">
        <v>100</v>
      </c>
      <c r="B70" s="91" t="s">
        <v>101</v>
      </c>
      <c r="C70" s="91"/>
      <c r="D70" s="91"/>
      <c r="E70" s="91"/>
      <c r="F70" s="91"/>
      <c r="G70" s="115">
        <f>ROUND((SUM($G$68:$G$69)),3)</f>
        <v>217.39699999999999</v>
      </c>
    </row>
    <row r="71" spans="1:7" ht="12.75" customHeight="1" x14ac:dyDescent="0.2"/>
  </sheetData>
  <mergeCells count="8">
    <mergeCell ref="A9:C9"/>
    <mergeCell ref="D9:G10"/>
    <mergeCell ref="A1:B1"/>
    <mergeCell ref="C1:G1"/>
    <mergeCell ref="B4:F4"/>
    <mergeCell ref="B5:F5"/>
    <mergeCell ref="A7:C7"/>
    <mergeCell ref="D7:G7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91704-5A35-44D5-94B4-23FA42E1838B}">
  <sheetPr codeName="Лист4"/>
  <dimension ref="A1:G204"/>
  <sheetViews>
    <sheetView view="pageBreakPreview" zoomScale="145" zoomScaleNormal="100" zoomScaleSheetLayoutView="145" workbookViewId="0">
      <selection activeCell="A207" sqref="A207:XFD207"/>
    </sheetView>
  </sheetViews>
  <sheetFormatPr defaultColWidth="11.5703125" defaultRowHeight="12.75" x14ac:dyDescent="0.2"/>
  <cols>
    <col min="1" max="1" width="3.7109375" style="86" customWidth="1"/>
    <col min="2" max="2" width="26.7109375" style="86" customWidth="1"/>
    <col min="3" max="3" width="7.7109375" style="86" customWidth="1"/>
    <col min="4" max="4" width="5" style="86" customWidth="1"/>
    <col min="5" max="5" width="27.7109375" style="86" customWidth="1"/>
    <col min="6" max="6" width="14.42578125" style="86" customWidth="1"/>
    <col min="7" max="7" width="11.5703125" style="86" customWidth="1"/>
    <col min="8" max="256" width="11.5703125" style="79"/>
    <col min="257" max="257" width="3.7109375" style="79" customWidth="1"/>
    <col min="258" max="258" width="26.7109375" style="79" customWidth="1"/>
    <col min="259" max="259" width="7.7109375" style="79" customWidth="1"/>
    <col min="260" max="260" width="5" style="79" customWidth="1"/>
    <col min="261" max="261" width="27.7109375" style="79" customWidth="1"/>
    <col min="262" max="262" width="14.42578125" style="79" customWidth="1"/>
    <col min="263" max="512" width="11.5703125" style="79"/>
    <col min="513" max="513" width="3.7109375" style="79" customWidth="1"/>
    <col min="514" max="514" width="26.7109375" style="79" customWidth="1"/>
    <col min="515" max="515" width="7.7109375" style="79" customWidth="1"/>
    <col min="516" max="516" width="5" style="79" customWidth="1"/>
    <col min="517" max="517" width="27.7109375" style="79" customWidth="1"/>
    <col min="518" max="518" width="14.42578125" style="79" customWidth="1"/>
    <col min="519" max="768" width="11.5703125" style="79"/>
    <col min="769" max="769" width="3.7109375" style="79" customWidth="1"/>
    <col min="770" max="770" width="26.7109375" style="79" customWidth="1"/>
    <col min="771" max="771" width="7.7109375" style="79" customWidth="1"/>
    <col min="772" max="772" width="5" style="79" customWidth="1"/>
    <col min="773" max="773" width="27.7109375" style="79" customWidth="1"/>
    <col min="774" max="774" width="14.42578125" style="79" customWidth="1"/>
    <col min="775" max="1024" width="11.5703125" style="79"/>
    <col min="1025" max="1025" width="3.7109375" style="79" customWidth="1"/>
    <col min="1026" max="1026" width="26.7109375" style="79" customWidth="1"/>
    <col min="1027" max="1027" width="7.7109375" style="79" customWidth="1"/>
    <col min="1028" max="1028" width="5" style="79" customWidth="1"/>
    <col min="1029" max="1029" width="27.7109375" style="79" customWidth="1"/>
    <col min="1030" max="1030" width="14.42578125" style="79" customWidth="1"/>
    <col min="1031" max="1280" width="11.5703125" style="79"/>
    <col min="1281" max="1281" width="3.7109375" style="79" customWidth="1"/>
    <col min="1282" max="1282" width="26.7109375" style="79" customWidth="1"/>
    <col min="1283" max="1283" width="7.7109375" style="79" customWidth="1"/>
    <col min="1284" max="1284" width="5" style="79" customWidth="1"/>
    <col min="1285" max="1285" width="27.7109375" style="79" customWidth="1"/>
    <col min="1286" max="1286" width="14.42578125" style="79" customWidth="1"/>
    <col min="1287" max="1536" width="11.5703125" style="79"/>
    <col min="1537" max="1537" width="3.7109375" style="79" customWidth="1"/>
    <col min="1538" max="1538" width="26.7109375" style="79" customWidth="1"/>
    <col min="1539" max="1539" width="7.7109375" style="79" customWidth="1"/>
    <col min="1540" max="1540" width="5" style="79" customWidth="1"/>
    <col min="1541" max="1541" width="27.7109375" style="79" customWidth="1"/>
    <col min="1542" max="1542" width="14.42578125" style="79" customWidth="1"/>
    <col min="1543" max="1792" width="11.5703125" style="79"/>
    <col min="1793" max="1793" width="3.7109375" style="79" customWidth="1"/>
    <col min="1794" max="1794" width="26.7109375" style="79" customWidth="1"/>
    <col min="1795" max="1795" width="7.7109375" style="79" customWidth="1"/>
    <col min="1796" max="1796" width="5" style="79" customWidth="1"/>
    <col min="1797" max="1797" width="27.7109375" style="79" customWidth="1"/>
    <col min="1798" max="1798" width="14.42578125" style="79" customWidth="1"/>
    <col min="1799" max="2048" width="11.5703125" style="79"/>
    <col min="2049" max="2049" width="3.7109375" style="79" customWidth="1"/>
    <col min="2050" max="2050" width="26.7109375" style="79" customWidth="1"/>
    <col min="2051" max="2051" width="7.7109375" style="79" customWidth="1"/>
    <col min="2052" max="2052" width="5" style="79" customWidth="1"/>
    <col min="2053" max="2053" width="27.7109375" style="79" customWidth="1"/>
    <col min="2054" max="2054" width="14.42578125" style="79" customWidth="1"/>
    <col min="2055" max="2304" width="11.5703125" style="79"/>
    <col min="2305" max="2305" width="3.7109375" style="79" customWidth="1"/>
    <col min="2306" max="2306" width="26.7109375" style="79" customWidth="1"/>
    <col min="2307" max="2307" width="7.7109375" style="79" customWidth="1"/>
    <col min="2308" max="2308" width="5" style="79" customWidth="1"/>
    <col min="2309" max="2309" width="27.7109375" style="79" customWidth="1"/>
    <col min="2310" max="2310" width="14.42578125" style="79" customWidth="1"/>
    <col min="2311" max="2560" width="11.5703125" style="79"/>
    <col min="2561" max="2561" width="3.7109375" style="79" customWidth="1"/>
    <col min="2562" max="2562" width="26.7109375" style="79" customWidth="1"/>
    <col min="2563" max="2563" width="7.7109375" style="79" customWidth="1"/>
    <col min="2564" max="2564" width="5" style="79" customWidth="1"/>
    <col min="2565" max="2565" width="27.7109375" style="79" customWidth="1"/>
    <col min="2566" max="2566" width="14.42578125" style="79" customWidth="1"/>
    <col min="2567" max="2816" width="11.5703125" style="79"/>
    <col min="2817" max="2817" width="3.7109375" style="79" customWidth="1"/>
    <col min="2818" max="2818" width="26.7109375" style="79" customWidth="1"/>
    <col min="2819" max="2819" width="7.7109375" style="79" customWidth="1"/>
    <col min="2820" max="2820" width="5" style="79" customWidth="1"/>
    <col min="2821" max="2821" width="27.7109375" style="79" customWidth="1"/>
    <col min="2822" max="2822" width="14.42578125" style="79" customWidth="1"/>
    <col min="2823" max="3072" width="11.5703125" style="79"/>
    <col min="3073" max="3073" width="3.7109375" style="79" customWidth="1"/>
    <col min="3074" max="3074" width="26.7109375" style="79" customWidth="1"/>
    <col min="3075" max="3075" width="7.7109375" style="79" customWidth="1"/>
    <col min="3076" max="3076" width="5" style="79" customWidth="1"/>
    <col min="3077" max="3077" width="27.7109375" style="79" customWidth="1"/>
    <col min="3078" max="3078" width="14.42578125" style="79" customWidth="1"/>
    <col min="3079" max="3328" width="11.5703125" style="79"/>
    <col min="3329" max="3329" width="3.7109375" style="79" customWidth="1"/>
    <col min="3330" max="3330" width="26.7109375" style="79" customWidth="1"/>
    <col min="3331" max="3331" width="7.7109375" style="79" customWidth="1"/>
    <col min="3332" max="3332" width="5" style="79" customWidth="1"/>
    <col min="3333" max="3333" width="27.7109375" style="79" customWidth="1"/>
    <col min="3334" max="3334" width="14.42578125" style="79" customWidth="1"/>
    <col min="3335" max="3584" width="11.5703125" style="79"/>
    <col min="3585" max="3585" width="3.7109375" style="79" customWidth="1"/>
    <col min="3586" max="3586" width="26.7109375" style="79" customWidth="1"/>
    <col min="3587" max="3587" width="7.7109375" style="79" customWidth="1"/>
    <col min="3588" max="3588" width="5" style="79" customWidth="1"/>
    <col min="3589" max="3589" width="27.7109375" style="79" customWidth="1"/>
    <col min="3590" max="3590" width="14.42578125" style="79" customWidth="1"/>
    <col min="3591" max="3840" width="11.5703125" style="79"/>
    <col min="3841" max="3841" width="3.7109375" style="79" customWidth="1"/>
    <col min="3842" max="3842" width="26.7109375" style="79" customWidth="1"/>
    <col min="3843" max="3843" width="7.7109375" style="79" customWidth="1"/>
    <col min="3844" max="3844" width="5" style="79" customWidth="1"/>
    <col min="3845" max="3845" width="27.7109375" style="79" customWidth="1"/>
    <col min="3846" max="3846" width="14.42578125" style="79" customWidth="1"/>
    <col min="3847" max="4096" width="11.5703125" style="79"/>
    <col min="4097" max="4097" width="3.7109375" style="79" customWidth="1"/>
    <col min="4098" max="4098" width="26.7109375" style="79" customWidth="1"/>
    <col min="4099" max="4099" width="7.7109375" style="79" customWidth="1"/>
    <col min="4100" max="4100" width="5" style="79" customWidth="1"/>
    <col min="4101" max="4101" width="27.7109375" style="79" customWidth="1"/>
    <col min="4102" max="4102" width="14.42578125" style="79" customWidth="1"/>
    <col min="4103" max="4352" width="11.5703125" style="79"/>
    <col min="4353" max="4353" width="3.7109375" style="79" customWidth="1"/>
    <col min="4354" max="4354" width="26.7109375" style="79" customWidth="1"/>
    <col min="4355" max="4355" width="7.7109375" style="79" customWidth="1"/>
    <col min="4356" max="4356" width="5" style="79" customWidth="1"/>
    <col min="4357" max="4357" width="27.7109375" style="79" customWidth="1"/>
    <col min="4358" max="4358" width="14.42578125" style="79" customWidth="1"/>
    <col min="4359" max="4608" width="11.5703125" style="79"/>
    <col min="4609" max="4609" width="3.7109375" style="79" customWidth="1"/>
    <col min="4610" max="4610" width="26.7109375" style="79" customWidth="1"/>
    <col min="4611" max="4611" width="7.7109375" style="79" customWidth="1"/>
    <col min="4612" max="4612" width="5" style="79" customWidth="1"/>
    <col min="4613" max="4613" width="27.7109375" style="79" customWidth="1"/>
    <col min="4614" max="4614" width="14.42578125" style="79" customWidth="1"/>
    <col min="4615" max="4864" width="11.5703125" style="79"/>
    <col min="4865" max="4865" width="3.7109375" style="79" customWidth="1"/>
    <col min="4866" max="4866" width="26.7109375" style="79" customWidth="1"/>
    <col min="4867" max="4867" width="7.7109375" style="79" customWidth="1"/>
    <col min="4868" max="4868" width="5" style="79" customWidth="1"/>
    <col min="4869" max="4869" width="27.7109375" style="79" customWidth="1"/>
    <col min="4870" max="4870" width="14.42578125" style="79" customWidth="1"/>
    <col min="4871" max="5120" width="11.5703125" style="79"/>
    <col min="5121" max="5121" width="3.7109375" style="79" customWidth="1"/>
    <col min="5122" max="5122" width="26.7109375" style="79" customWidth="1"/>
    <col min="5123" max="5123" width="7.7109375" style="79" customWidth="1"/>
    <col min="5124" max="5124" width="5" style="79" customWidth="1"/>
    <col min="5125" max="5125" width="27.7109375" style="79" customWidth="1"/>
    <col min="5126" max="5126" width="14.42578125" style="79" customWidth="1"/>
    <col min="5127" max="5376" width="11.5703125" style="79"/>
    <col min="5377" max="5377" width="3.7109375" style="79" customWidth="1"/>
    <col min="5378" max="5378" width="26.7109375" style="79" customWidth="1"/>
    <col min="5379" max="5379" width="7.7109375" style="79" customWidth="1"/>
    <col min="5380" max="5380" width="5" style="79" customWidth="1"/>
    <col min="5381" max="5381" width="27.7109375" style="79" customWidth="1"/>
    <col min="5382" max="5382" width="14.42578125" style="79" customWidth="1"/>
    <col min="5383" max="5632" width="11.5703125" style="79"/>
    <col min="5633" max="5633" width="3.7109375" style="79" customWidth="1"/>
    <col min="5634" max="5634" width="26.7109375" style="79" customWidth="1"/>
    <col min="5635" max="5635" width="7.7109375" style="79" customWidth="1"/>
    <col min="5636" max="5636" width="5" style="79" customWidth="1"/>
    <col min="5637" max="5637" width="27.7109375" style="79" customWidth="1"/>
    <col min="5638" max="5638" width="14.42578125" style="79" customWidth="1"/>
    <col min="5639" max="5888" width="11.5703125" style="79"/>
    <col min="5889" max="5889" width="3.7109375" style="79" customWidth="1"/>
    <col min="5890" max="5890" width="26.7109375" style="79" customWidth="1"/>
    <col min="5891" max="5891" width="7.7109375" style="79" customWidth="1"/>
    <col min="5892" max="5892" width="5" style="79" customWidth="1"/>
    <col min="5893" max="5893" width="27.7109375" style="79" customWidth="1"/>
    <col min="5894" max="5894" width="14.42578125" style="79" customWidth="1"/>
    <col min="5895" max="6144" width="11.5703125" style="79"/>
    <col min="6145" max="6145" width="3.7109375" style="79" customWidth="1"/>
    <col min="6146" max="6146" width="26.7109375" style="79" customWidth="1"/>
    <col min="6147" max="6147" width="7.7109375" style="79" customWidth="1"/>
    <col min="6148" max="6148" width="5" style="79" customWidth="1"/>
    <col min="6149" max="6149" width="27.7109375" style="79" customWidth="1"/>
    <col min="6150" max="6150" width="14.42578125" style="79" customWidth="1"/>
    <col min="6151" max="6400" width="11.5703125" style="79"/>
    <col min="6401" max="6401" width="3.7109375" style="79" customWidth="1"/>
    <col min="6402" max="6402" width="26.7109375" style="79" customWidth="1"/>
    <col min="6403" max="6403" width="7.7109375" style="79" customWidth="1"/>
    <col min="6404" max="6404" width="5" style="79" customWidth="1"/>
    <col min="6405" max="6405" width="27.7109375" style="79" customWidth="1"/>
    <col min="6406" max="6406" width="14.42578125" style="79" customWidth="1"/>
    <col min="6407" max="6656" width="11.5703125" style="79"/>
    <col min="6657" max="6657" width="3.7109375" style="79" customWidth="1"/>
    <col min="6658" max="6658" width="26.7109375" style="79" customWidth="1"/>
    <col min="6659" max="6659" width="7.7109375" style="79" customWidth="1"/>
    <col min="6660" max="6660" width="5" style="79" customWidth="1"/>
    <col min="6661" max="6661" width="27.7109375" style="79" customWidth="1"/>
    <col min="6662" max="6662" width="14.42578125" style="79" customWidth="1"/>
    <col min="6663" max="6912" width="11.5703125" style="79"/>
    <col min="6913" max="6913" width="3.7109375" style="79" customWidth="1"/>
    <col min="6914" max="6914" width="26.7109375" style="79" customWidth="1"/>
    <col min="6915" max="6915" width="7.7109375" style="79" customWidth="1"/>
    <col min="6916" max="6916" width="5" style="79" customWidth="1"/>
    <col min="6917" max="6917" width="27.7109375" style="79" customWidth="1"/>
    <col min="6918" max="6918" width="14.42578125" style="79" customWidth="1"/>
    <col min="6919" max="7168" width="11.5703125" style="79"/>
    <col min="7169" max="7169" width="3.7109375" style="79" customWidth="1"/>
    <col min="7170" max="7170" width="26.7109375" style="79" customWidth="1"/>
    <col min="7171" max="7171" width="7.7109375" style="79" customWidth="1"/>
    <col min="7172" max="7172" width="5" style="79" customWidth="1"/>
    <col min="7173" max="7173" width="27.7109375" style="79" customWidth="1"/>
    <col min="7174" max="7174" width="14.42578125" style="79" customWidth="1"/>
    <col min="7175" max="7424" width="11.5703125" style="79"/>
    <col min="7425" max="7425" width="3.7109375" style="79" customWidth="1"/>
    <col min="7426" max="7426" width="26.7109375" style="79" customWidth="1"/>
    <col min="7427" max="7427" width="7.7109375" style="79" customWidth="1"/>
    <col min="7428" max="7428" width="5" style="79" customWidth="1"/>
    <col min="7429" max="7429" width="27.7109375" style="79" customWidth="1"/>
    <col min="7430" max="7430" width="14.42578125" style="79" customWidth="1"/>
    <col min="7431" max="7680" width="11.5703125" style="79"/>
    <col min="7681" max="7681" width="3.7109375" style="79" customWidth="1"/>
    <col min="7682" max="7682" width="26.7109375" style="79" customWidth="1"/>
    <col min="7683" max="7683" width="7.7109375" style="79" customWidth="1"/>
    <col min="7684" max="7684" width="5" style="79" customWidth="1"/>
    <col min="7685" max="7685" width="27.7109375" style="79" customWidth="1"/>
    <col min="7686" max="7686" width="14.42578125" style="79" customWidth="1"/>
    <col min="7687" max="7936" width="11.5703125" style="79"/>
    <col min="7937" max="7937" width="3.7109375" style="79" customWidth="1"/>
    <col min="7938" max="7938" width="26.7109375" style="79" customWidth="1"/>
    <col min="7939" max="7939" width="7.7109375" style="79" customWidth="1"/>
    <col min="7940" max="7940" width="5" style="79" customWidth="1"/>
    <col min="7941" max="7941" width="27.7109375" style="79" customWidth="1"/>
    <col min="7942" max="7942" width="14.42578125" style="79" customWidth="1"/>
    <col min="7943" max="8192" width="11.5703125" style="79"/>
    <col min="8193" max="8193" width="3.7109375" style="79" customWidth="1"/>
    <col min="8194" max="8194" width="26.7109375" style="79" customWidth="1"/>
    <col min="8195" max="8195" width="7.7109375" style="79" customWidth="1"/>
    <col min="8196" max="8196" width="5" style="79" customWidth="1"/>
    <col min="8197" max="8197" width="27.7109375" style="79" customWidth="1"/>
    <col min="8198" max="8198" width="14.42578125" style="79" customWidth="1"/>
    <col min="8199" max="8448" width="11.5703125" style="79"/>
    <col min="8449" max="8449" width="3.7109375" style="79" customWidth="1"/>
    <col min="8450" max="8450" width="26.7109375" style="79" customWidth="1"/>
    <col min="8451" max="8451" width="7.7109375" style="79" customWidth="1"/>
    <col min="8452" max="8452" width="5" style="79" customWidth="1"/>
    <col min="8453" max="8453" width="27.7109375" style="79" customWidth="1"/>
    <col min="8454" max="8454" width="14.42578125" style="79" customWidth="1"/>
    <col min="8455" max="8704" width="11.5703125" style="79"/>
    <col min="8705" max="8705" width="3.7109375" style="79" customWidth="1"/>
    <col min="8706" max="8706" width="26.7109375" style="79" customWidth="1"/>
    <col min="8707" max="8707" width="7.7109375" style="79" customWidth="1"/>
    <col min="8708" max="8708" width="5" style="79" customWidth="1"/>
    <col min="8709" max="8709" width="27.7109375" style="79" customWidth="1"/>
    <col min="8710" max="8710" width="14.42578125" style="79" customWidth="1"/>
    <col min="8711" max="8960" width="11.5703125" style="79"/>
    <col min="8961" max="8961" width="3.7109375" style="79" customWidth="1"/>
    <col min="8962" max="8962" width="26.7109375" style="79" customWidth="1"/>
    <col min="8963" max="8963" width="7.7109375" style="79" customWidth="1"/>
    <col min="8964" max="8964" width="5" style="79" customWidth="1"/>
    <col min="8965" max="8965" width="27.7109375" style="79" customWidth="1"/>
    <col min="8966" max="8966" width="14.42578125" style="79" customWidth="1"/>
    <col min="8967" max="9216" width="11.5703125" style="79"/>
    <col min="9217" max="9217" width="3.7109375" style="79" customWidth="1"/>
    <col min="9218" max="9218" width="26.7109375" style="79" customWidth="1"/>
    <col min="9219" max="9219" width="7.7109375" style="79" customWidth="1"/>
    <col min="9220" max="9220" width="5" style="79" customWidth="1"/>
    <col min="9221" max="9221" width="27.7109375" style="79" customWidth="1"/>
    <col min="9222" max="9222" width="14.42578125" style="79" customWidth="1"/>
    <col min="9223" max="9472" width="11.5703125" style="79"/>
    <col min="9473" max="9473" width="3.7109375" style="79" customWidth="1"/>
    <col min="9474" max="9474" width="26.7109375" style="79" customWidth="1"/>
    <col min="9475" max="9475" width="7.7109375" style="79" customWidth="1"/>
    <col min="9476" max="9476" width="5" style="79" customWidth="1"/>
    <col min="9477" max="9477" width="27.7109375" style="79" customWidth="1"/>
    <col min="9478" max="9478" width="14.42578125" style="79" customWidth="1"/>
    <col min="9479" max="9728" width="11.5703125" style="79"/>
    <col min="9729" max="9729" width="3.7109375" style="79" customWidth="1"/>
    <col min="9730" max="9730" width="26.7109375" style="79" customWidth="1"/>
    <col min="9731" max="9731" width="7.7109375" style="79" customWidth="1"/>
    <col min="9732" max="9732" width="5" style="79" customWidth="1"/>
    <col min="9733" max="9733" width="27.7109375" style="79" customWidth="1"/>
    <col min="9734" max="9734" width="14.42578125" style="79" customWidth="1"/>
    <col min="9735" max="9984" width="11.5703125" style="79"/>
    <col min="9985" max="9985" width="3.7109375" style="79" customWidth="1"/>
    <col min="9986" max="9986" width="26.7109375" style="79" customWidth="1"/>
    <col min="9987" max="9987" width="7.7109375" style="79" customWidth="1"/>
    <col min="9988" max="9988" width="5" style="79" customWidth="1"/>
    <col min="9989" max="9989" width="27.7109375" style="79" customWidth="1"/>
    <col min="9990" max="9990" width="14.42578125" style="79" customWidth="1"/>
    <col min="9991" max="10240" width="11.5703125" style="79"/>
    <col min="10241" max="10241" width="3.7109375" style="79" customWidth="1"/>
    <col min="10242" max="10242" width="26.7109375" style="79" customWidth="1"/>
    <col min="10243" max="10243" width="7.7109375" style="79" customWidth="1"/>
    <col min="10244" max="10244" width="5" style="79" customWidth="1"/>
    <col min="10245" max="10245" width="27.7109375" style="79" customWidth="1"/>
    <col min="10246" max="10246" width="14.42578125" style="79" customWidth="1"/>
    <col min="10247" max="10496" width="11.5703125" style="79"/>
    <col min="10497" max="10497" width="3.7109375" style="79" customWidth="1"/>
    <col min="10498" max="10498" width="26.7109375" style="79" customWidth="1"/>
    <col min="10499" max="10499" width="7.7109375" style="79" customWidth="1"/>
    <col min="10500" max="10500" width="5" style="79" customWidth="1"/>
    <col min="10501" max="10501" width="27.7109375" style="79" customWidth="1"/>
    <col min="10502" max="10502" width="14.42578125" style="79" customWidth="1"/>
    <col min="10503" max="10752" width="11.5703125" style="79"/>
    <col min="10753" max="10753" width="3.7109375" style="79" customWidth="1"/>
    <col min="10754" max="10754" width="26.7109375" style="79" customWidth="1"/>
    <col min="10755" max="10755" width="7.7109375" style="79" customWidth="1"/>
    <col min="10756" max="10756" width="5" style="79" customWidth="1"/>
    <col min="10757" max="10757" width="27.7109375" style="79" customWidth="1"/>
    <col min="10758" max="10758" width="14.42578125" style="79" customWidth="1"/>
    <col min="10759" max="11008" width="11.5703125" style="79"/>
    <col min="11009" max="11009" width="3.7109375" style="79" customWidth="1"/>
    <col min="11010" max="11010" width="26.7109375" style="79" customWidth="1"/>
    <col min="11011" max="11011" width="7.7109375" style="79" customWidth="1"/>
    <col min="11012" max="11012" width="5" style="79" customWidth="1"/>
    <col min="11013" max="11013" width="27.7109375" style="79" customWidth="1"/>
    <col min="11014" max="11014" width="14.42578125" style="79" customWidth="1"/>
    <col min="11015" max="11264" width="11.5703125" style="79"/>
    <col min="11265" max="11265" width="3.7109375" style="79" customWidth="1"/>
    <col min="11266" max="11266" width="26.7109375" style="79" customWidth="1"/>
    <col min="11267" max="11267" width="7.7109375" style="79" customWidth="1"/>
    <col min="11268" max="11268" width="5" style="79" customWidth="1"/>
    <col min="11269" max="11269" width="27.7109375" style="79" customWidth="1"/>
    <col min="11270" max="11270" width="14.42578125" style="79" customWidth="1"/>
    <col min="11271" max="11520" width="11.5703125" style="79"/>
    <col min="11521" max="11521" width="3.7109375" style="79" customWidth="1"/>
    <col min="11522" max="11522" width="26.7109375" style="79" customWidth="1"/>
    <col min="11523" max="11523" width="7.7109375" style="79" customWidth="1"/>
    <col min="11524" max="11524" width="5" style="79" customWidth="1"/>
    <col min="11525" max="11525" width="27.7109375" style="79" customWidth="1"/>
    <col min="11526" max="11526" width="14.42578125" style="79" customWidth="1"/>
    <col min="11527" max="11776" width="11.5703125" style="79"/>
    <col min="11777" max="11777" width="3.7109375" style="79" customWidth="1"/>
    <col min="11778" max="11778" width="26.7109375" style="79" customWidth="1"/>
    <col min="11779" max="11779" width="7.7109375" style="79" customWidth="1"/>
    <col min="11780" max="11780" width="5" style="79" customWidth="1"/>
    <col min="11781" max="11781" width="27.7109375" style="79" customWidth="1"/>
    <col min="11782" max="11782" width="14.42578125" style="79" customWidth="1"/>
    <col min="11783" max="12032" width="11.5703125" style="79"/>
    <col min="12033" max="12033" width="3.7109375" style="79" customWidth="1"/>
    <col min="12034" max="12034" width="26.7109375" style="79" customWidth="1"/>
    <col min="12035" max="12035" width="7.7109375" style="79" customWidth="1"/>
    <col min="12036" max="12036" width="5" style="79" customWidth="1"/>
    <col min="12037" max="12037" width="27.7109375" style="79" customWidth="1"/>
    <col min="12038" max="12038" width="14.42578125" style="79" customWidth="1"/>
    <col min="12039" max="12288" width="11.5703125" style="79"/>
    <col min="12289" max="12289" width="3.7109375" style="79" customWidth="1"/>
    <col min="12290" max="12290" width="26.7109375" style="79" customWidth="1"/>
    <col min="12291" max="12291" width="7.7109375" style="79" customWidth="1"/>
    <col min="12292" max="12292" width="5" style="79" customWidth="1"/>
    <col min="12293" max="12293" width="27.7109375" style="79" customWidth="1"/>
    <col min="12294" max="12294" width="14.42578125" style="79" customWidth="1"/>
    <col min="12295" max="12544" width="11.5703125" style="79"/>
    <col min="12545" max="12545" width="3.7109375" style="79" customWidth="1"/>
    <col min="12546" max="12546" width="26.7109375" style="79" customWidth="1"/>
    <col min="12547" max="12547" width="7.7109375" style="79" customWidth="1"/>
    <col min="12548" max="12548" width="5" style="79" customWidth="1"/>
    <col min="12549" max="12549" width="27.7109375" style="79" customWidth="1"/>
    <col min="12550" max="12550" width="14.42578125" style="79" customWidth="1"/>
    <col min="12551" max="12800" width="11.5703125" style="79"/>
    <col min="12801" max="12801" width="3.7109375" style="79" customWidth="1"/>
    <col min="12802" max="12802" width="26.7109375" style="79" customWidth="1"/>
    <col min="12803" max="12803" width="7.7109375" style="79" customWidth="1"/>
    <col min="12804" max="12804" width="5" style="79" customWidth="1"/>
    <col min="12805" max="12805" width="27.7109375" style="79" customWidth="1"/>
    <col min="12806" max="12806" width="14.42578125" style="79" customWidth="1"/>
    <col min="12807" max="13056" width="11.5703125" style="79"/>
    <col min="13057" max="13057" width="3.7109375" style="79" customWidth="1"/>
    <col min="13058" max="13058" width="26.7109375" style="79" customWidth="1"/>
    <col min="13059" max="13059" width="7.7109375" style="79" customWidth="1"/>
    <col min="13060" max="13060" width="5" style="79" customWidth="1"/>
    <col min="13061" max="13061" width="27.7109375" style="79" customWidth="1"/>
    <col min="13062" max="13062" width="14.42578125" style="79" customWidth="1"/>
    <col min="13063" max="13312" width="11.5703125" style="79"/>
    <col min="13313" max="13313" width="3.7109375" style="79" customWidth="1"/>
    <col min="13314" max="13314" width="26.7109375" style="79" customWidth="1"/>
    <col min="13315" max="13315" width="7.7109375" style="79" customWidth="1"/>
    <col min="13316" max="13316" width="5" style="79" customWidth="1"/>
    <col min="13317" max="13317" width="27.7109375" style="79" customWidth="1"/>
    <col min="13318" max="13318" width="14.42578125" style="79" customWidth="1"/>
    <col min="13319" max="13568" width="11.5703125" style="79"/>
    <col min="13569" max="13569" width="3.7109375" style="79" customWidth="1"/>
    <col min="13570" max="13570" width="26.7109375" style="79" customWidth="1"/>
    <col min="13571" max="13571" width="7.7109375" style="79" customWidth="1"/>
    <col min="13572" max="13572" width="5" style="79" customWidth="1"/>
    <col min="13573" max="13573" width="27.7109375" style="79" customWidth="1"/>
    <col min="13574" max="13574" width="14.42578125" style="79" customWidth="1"/>
    <col min="13575" max="13824" width="11.5703125" style="79"/>
    <col min="13825" max="13825" width="3.7109375" style="79" customWidth="1"/>
    <col min="13826" max="13826" width="26.7109375" style="79" customWidth="1"/>
    <col min="13827" max="13827" width="7.7109375" style="79" customWidth="1"/>
    <col min="13828" max="13828" width="5" style="79" customWidth="1"/>
    <col min="13829" max="13829" width="27.7109375" style="79" customWidth="1"/>
    <col min="13830" max="13830" width="14.42578125" style="79" customWidth="1"/>
    <col min="13831" max="14080" width="11.5703125" style="79"/>
    <col min="14081" max="14081" width="3.7109375" style="79" customWidth="1"/>
    <col min="14082" max="14082" width="26.7109375" style="79" customWidth="1"/>
    <col min="14083" max="14083" width="7.7109375" style="79" customWidth="1"/>
    <col min="14084" max="14084" width="5" style="79" customWidth="1"/>
    <col min="14085" max="14085" width="27.7109375" style="79" customWidth="1"/>
    <col min="14086" max="14086" width="14.42578125" style="79" customWidth="1"/>
    <col min="14087" max="14336" width="11.5703125" style="79"/>
    <col min="14337" max="14337" width="3.7109375" style="79" customWidth="1"/>
    <col min="14338" max="14338" width="26.7109375" style="79" customWidth="1"/>
    <col min="14339" max="14339" width="7.7109375" style="79" customWidth="1"/>
    <col min="14340" max="14340" width="5" style="79" customWidth="1"/>
    <col min="14341" max="14341" width="27.7109375" style="79" customWidth="1"/>
    <col min="14342" max="14342" width="14.42578125" style="79" customWidth="1"/>
    <col min="14343" max="14592" width="11.5703125" style="79"/>
    <col min="14593" max="14593" width="3.7109375" style="79" customWidth="1"/>
    <col min="14594" max="14594" width="26.7109375" style="79" customWidth="1"/>
    <col min="14595" max="14595" width="7.7109375" style="79" customWidth="1"/>
    <col min="14596" max="14596" width="5" style="79" customWidth="1"/>
    <col min="14597" max="14597" width="27.7109375" style="79" customWidth="1"/>
    <col min="14598" max="14598" width="14.42578125" style="79" customWidth="1"/>
    <col min="14599" max="14848" width="11.5703125" style="79"/>
    <col min="14849" max="14849" width="3.7109375" style="79" customWidth="1"/>
    <col min="14850" max="14850" width="26.7109375" style="79" customWidth="1"/>
    <col min="14851" max="14851" width="7.7109375" style="79" customWidth="1"/>
    <col min="14852" max="14852" width="5" style="79" customWidth="1"/>
    <col min="14853" max="14853" width="27.7109375" style="79" customWidth="1"/>
    <col min="14854" max="14854" width="14.42578125" style="79" customWidth="1"/>
    <col min="14855" max="15104" width="11.5703125" style="79"/>
    <col min="15105" max="15105" width="3.7109375" style="79" customWidth="1"/>
    <col min="15106" max="15106" width="26.7109375" style="79" customWidth="1"/>
    <col min="15107" max="15107" width="7.7109375" style="79" customWidth="1"/>
    <col min="15108" max="15108" width="5" style="79" customWidth="1"/>
    <col min="15109" max="15109" width="27.7109375" style="79" customWidth="1"/>
    <col min="15110" max="15110" width="14.42578125" style="79" customWidth="1"/>
    <col min="15111" max="15360" width="11.5703125" style="79"/>
    <col min="15361" max="15361" width="3.7109375" style="79" customWidth="1"/>
    <col min="15362" max="15362" width="26.7109375" style="79" customWidth="1"/>
    <col min="15363" max="15363" width="7.7109375" style="79" customWidth="1"/>
    <col min="15364" max="15364" width="5" style="79" customWidth="1"/>
    <col min="15365" max="15365" width="27.7109375" style="79" customWidth="1"/>
    <col min="15366" max="15366" width="14.42578125" style="79" customWidth="1"/>
    <col min="15367" max="15616" width="11.5703125" style="79"/>
    <col min="15617" max="15617" width="3.7109375" style="79" customWidth="1"/>
    <col min="15618" max="15618" width="26.7109375" style="79" customWidth="1"/>
    <col min="15619" max="15619" width="7.7109375" style="79" customWidth="1"/>
    <col min="15620" max="15620" width="5" style="79" customWidth="1"/>
    <col min="15621" max="15621" width="27.7109375" style="79" customWidth="1"/>
    <col min="15622" max="15622" width="14.42578125" style="79" customWidth="1"/>
    <col min="15623" max="15872" width="11.5703125" style="79"/>
    <col min="15873" max="15873" width="3.7109375" style="79" customWidth="1"/>
    <col min="15874" max="15874" width="26.7109375" style="79" customWidth="1"/>
    <col min="15875" max="15875" width="7.7109375" style="79" customWidth="1"/>
    <col min="15876" max="15876" width="5" style="79" customWidth="1"/>
    <col min="15877" max="15877" width="27.7109375" style="79" customWidth="1"/>
    <col min="15878" max="15878" width="14.42578125" style="79" customWidth="1"/>
    <col min="15879" max="16128" width="11.5703125" style="79"/>
    <col min="16129" max="16129" width="3.7109375" style="79" customWidth="1"/>
    <col min="16130" max="16130" width="26.7109375" style="79" customWidth="1"/>
    <col min="16131" max="16131" width="7.7109375" style="79" customWidth="1"/>
    <col min="16132" max="16132" width="5" style="79" customWidth="1"/>
    <col min="16133" max="16133" width="27.7109375" style="79" customWidth="1"/>
    <col min="16134" max="16134" width="14.42578125" style="79" customWidth="1"/>
    <col min="16135" max="16384" width="11.5703125" style="79"/>
  </cols>
  <sheetData>
    <row r="1" spans="1:7" ht="51.2" customHeight="1" x14ac:dyDescent="0.2">
      <c r="A1" s="161" t="s">
        <v>52</v>
      </c>
      <c r="B1" s="161"/>
      <c r="C1" s="162" t="s">
        <v>102</v>
      </c>
      <c r="D1" s="162"/>
      <c r="E1" s="162"/>
      <c r="F1" s="162"/>
      <c r="G1" s="162"/>
    </row>
    <row r="2" spans="1:7" x14ac:dyDescent="0.2">
      <c r="A2" s="80"/>
      <c r="B2" s="80"/>
      <c r="C2" s="81"/>
      <c r="D2" s="81"/>
      <c r="E2" s="81"/>
      <c r="F2" s="81"/>
      <c r="G2" s="81"/>
    </row>
    <row r="3" spans="1:7" x14ac:dyDescent="0.2">
      <c r="A3" s="80"/>
      <c r="B3" s="80"/>
      <c r="C3" s="81"/>
      <c r="D3" s="81"/>
      <c r="E3" s="81"/>
      <c r="F3" s="81"/>
      <c r="G3" s="81"/>
    </row>
    <row r="4" spans="1:7" x14ac:dyDescent="0.2">
      <c r="A4" s="79"/>
      <c r="B4" s="163" t="s">
        <v>364</v>
      </c>
      <c r="C4" s="163"/>
      <c r="D4" s="163"/>
      <c r="E4" s="163"/>
      <c r="F4" s="163"/>
      <c r="G4" s="79"/>
    </row>
    <row r="5" spans="1:7" x14ac:dyDescent="0.2">
      <c r="A5" s="79"/>
      <c r="B5" s="164" t="s">
        <v>377</v>
      </c>
      <c r="C5" s="164"/>
      <c r="D5" s="164"/>
      <c r="E5" s="164"/>
      <c r="F5" s="164"/>
      <c r="G5" s="79"/>
    </row>
    <row r="6" spans="1:7" x14ac:dyDescent="0.2">
      <c r="A6" s="79"/>
      <c r="B6" s="79"/>
      <c r="C6" s="82"/>
      <c r="D6" s="82"/>
      <c r="E6" s="82"/>
      <c r="F6" s="79"/>
      <c r="G6" s="79"/>
    </row>
    <row r="7" spans="1:7" ht="38.25" customHeight="1" x14ac:dyDescent="0.2">
      <c r="A7" s="159" t="s">
        <v>54</v>
      </c>
      <c r="B7" s="159"/>
      <c r="C7" s="159"/>
      <c r="D7" s="165" t="str">
        <f>Геодезия!D7</f>
        <v xml:space="preserve">Строительство пристройки на 500 ученических мест к зданию школы №39 в г. Махачкала  </v>
      </c>
      <c r="E7" s="165"/>
      <c r="F7" s="165"/>
      <c r="G7" s="165"/>
    </row>
    <row r="8" spans="1:7" x14ac:dyDescent="0.2">
      <c r="A8" s="83"/>
      <c r="B8" s="83"/>
      <c r="C8" s="84"/>
      <c r="D8" s="85"/>
      <c r="E8" s="85"/>
      <c r="F8" s="85"/>
      <c r="G8" s="85"/>
    </row>
    <row r="9" spans="1:7" ht="12.75" customHeight="1" x14ac:dyDescent="0.2">
      <c r="A9" s="159" t="s">
        <v>55</v>
      </c>
      <c r="B9" s="159"/>
      <c r="C9" s="159"/>
      <c r="D9" s="160" t="s">
        <v>380</v>
      </c>
      <c r="E9" s="160"/>
      <c r="F9" s="160"/>
      <c r="G9" s="160"/>
    </row>
    <row r="10" spans="1:7" x14ac:dyDescent="0.2">
      <c r="A10" s="79"/>
      <c r="B10" s="79"/>
      <c r="C10" s="79"/>
      <c r="D10" s="160"/>
      <c r="E10" s="160"/>
      <c r="F10" s="160"/>
      <c r="G10" s="160"/>
    </row>
    <row r="11" spans="1:7" ht="32.25" customHeight="1" x14ac:dyDescent="0.2">
      <c r="A11" s="87" t="s">
        <v>56</v>
      </c>
      <c r="B11" s="203" t="s">
        <v>15</v>
      </c>
      <c r="C11" s="204"/>
      <c r="D11" s="205"/>
      <c r="E11" s="87" t="s">
        <v>18</v>
      </c>
      <c r="F11" s="87" t="s">
        <v>5</v>
      </c>
      <c r="G11" s="87" t="s">
        <v>6</v>
      </c>
    </row>
    <row r="12" spans="1:7" x14ac:dyDescent="0.2">
      <c r="A12" s="88">
        <v>1</v>
      </c>
      <c r="B12" s="197">
        <v>2</v>
      </c>
      <c r="C12" s="198"/>
      <c r="D12" s="199"/>
      <c r="E12" s="89">
        <v>3</v>
      </c>
      <c r="F12" s="89">
        <v>4</v>
      </c>
      <c r="G12" s="89">
        <v>5</v>
      </c>
    </row>
    <row r="13" spans="1:7" ht="12.75" customHeight="1" x14ac:dyDescent="0.2">
      <c r="A13" s="90" t="s">
        <v>7</v>
      </c>
      <c r="B13" s="200" t="s">
        <v>59</v>
      </c>
      <c r="C13" s="201"/>
      <c r="D13" s="202"/>
      <c r="E13" s="91" t="s">
        <v>21</v>
      </c>
      <c r="F13" s="91"/>
      <c r="G13" s="92"/>
    </row>
    <row r="14" spans="1:7" ht="191.25" customHeight="1" x14ac:dyDescent="0.2">
      <c r="A14" s="129" t="s">
        <v>60</v>
      </c>
      <c r="B14" s="179" t="s">
        <v>250</v>
      </c>
      <c r="C14" s="180"/>
      <c r="D14" s="181"/>
      <c r="E14" s="130" t="s">
        <v>251</v>
      </c>
      <c r="F14" s="130" t="s">
        <v>252</v>
      </c>
      <c r="G14" s="131">
        <f>ROUND(0.0062  * 2.2 * 51.69 * 1.1,3)</f>
        <v>0.77600000000000002</v>
      </c>
    </row>
    <row r="15" spans="1:7" ht="15.75" customHeight="1" x14ac:dyDescent="0.2">
      <c r="A15" s="97" t="s">
        <v>65</v>
      </c>
      <c r="B15" s="182" t="s">
        <v>66</v>
      </c>
      <c r="C15" s="183"/>
      <c r="D15" s="184"/>
      <c r="E15" s="98"/>
      <c r="F15" s="98"/>
      <c r="G15" s="99"/>
    </row>
    <row r="16" spans="1:7" ht="12.75" customHeight="1" x14ac:dyDescent="0.2">
      <c r="A16" s="116" t="s">
        <v>65</v>
      </c>
      <c r="B16" s="173" t="s">
        <v>67</v>
      </c>
      <c r="C16" s="174"/>
      <c r="D16" s="175"/>
      <c r="E16" s="117"/>
      <c r="F16" s="117"/>
      <c r="G16" s="118"/>
    </row>
    <row r="17" spans="1:7" ht="38.25" customHeight="1" x14ac:dyDescent="0.2">
      <c r="A17" s="116" t="s">
        <v>65</v>
      </c>
      <c r="B17" s="173" t="s">
        <v>106</v>
      </c>
      <c r="C17" s="174"/>
      <c r="D17" s="175"/>
      <c r="E17" s="117" t="s">
        <v>107</v>
      </c>
      <c r="F17" s="117"/>
      <c r="G17" s="118"/>
    </row>
    <row r="18" spans="1:7" ht="76.5" customHeight="1" x14ac:dyDescent="0.2">
      <c r="A18" s="116" t="s">
        <v>65</v>
      </c>
      <c r="B18" s="173" t="s">
        <v>253</v>
      </c>
      <c r="C18" s="174"/>
      <c r="D18" s="175"/>
      <c r="E18" s="117" t="s">
        <v>254</v>
      </c>
      <c r="F18" s="117"/>
      <c r="G18" s="118"/>
    </row>
    <row r="19" spans="1:7" ht="15.75" customHeight="1" x14ac:dyDescent="0.2">
      <c r="A19" s="116" t="s">
        <v>65</v>
      </c>
      <c r="B19" s="185" t="s">
        <v>70</v>
      </c>
      <c r="C19" s="186"/>
      <c r="D19" s="187"/>
      <c r="E19" s="119"/>
      <c r="F19" s="119"/>
      <c r="G19" s="120"/>
    </row>
    <row r="20" spans="1:7" ht="12.75" customHeight="1" x14ac:dyDescent="0.2">
      <c r="A20" s="121" t="s">
        <v>65</v>
      </c>
      <c r="B20" s="176" t="s">
        <v>71</v>
      </c>
      <c r="C20" s="177"/>
      <c r="D20" s="178"/>
      <c r="E20" s="123">
        <v>1</v>
      </c>
      <c r="F20" s="122"/>
      <c r="G20" s="124"/>
    </row>
    <row r="21" spans="1:7" ht="229.5" customHeight="1" x14ac:dyDescent="0.2">
      <c r="A21" s="190" t="s">
        <v>72</v>
      </c>
      <c r="B21" s="191" t="s">
        <v>255</v>
      </c>
      <c r="C21" s="192"/>
      <c r="D21" s="193"/>
      <c r="E21" s="188" t="s">
        <v>256</v>
      </c>
      <c r="F21" s="188" t="s">
        <v>257</v>
      </c>
      <c r="G21" s="189">
        <f>ROUND(0.0117  * 6 * 51.69 * 1.3,3)</f>
        <v>4.7169999999999996</v>
      </c>
    </row>
    <row r="22" spans="1:7" ht="12.75" customHeight="1" x14ac:dyDescent="0.2">
      <c r="A22" s="190"/>
      <c r="B22" s="191"/>
      <c r="C22" s="192"/>
      <c r="D22" s="193"/>
      <c r="E22" s="188"/>
      <c r="F22" s="188"/>
      <c r="G22" s="189"/>
    </row>
    <row r="23" spans="1:7" ht="15.75" customHeight="1" x14ac:dyDescent="0.2">
      <c r="A23" s="97" t="s">
        <v>65</v>
      </c>
      <c r="B23" s="182" t="s">
        <v>66</v>
      </c>
      <c r="C23" s="183"/>
      <c r="D23" s="184"/>
      <c r="E23" s="98"/>
      <c r="F23" s="98"/>
      <c r="G23" s="99"/>
    </row>
    <row r="24" spans="1:7" ht="12.75" customHeight="1" x14ac:dyDescent="0.2">
      <c r="A24" s="116" t="s">
        <v>65</v>
      </c>
      <c r="B24" s="173" t="s">
        <v>67</v>
      </c>
      <c r="C24" s="174"/>
      <c r="D24" s="175"/>
      <c r="E24" s="117"/>
      <c r="F24" s="117"/>
      <c r="G24" s="118"/>
    </row>
    <row r="25" spans="1:7" ht="38.25" customHeight="1" x14ac:dyDescent="0.2">
      <c r="A25" s="116" t="s">
        <v>65</v>
      </c>
      <c r="B25" s="173" t="s">
        <v>106</v>
      </c>
      <c r="C25" s="174"/>
      <c r="D25" s="175"/>
      <c r="E25" s="117" t="s">
        <v>107</v>
      </c>
      <c r="F25" s="117"/>
      <c r="G25" s="118"/>
    </row>
    <row r="26" spans="1:7" ht="63.75" customHeight="1" x14ac:dyDescent="0.2">
      <c r="A26" s="116" t="s">
        <v>65</v>
      </c>
      <c r="B26" s="173" t="s">
        <v>258</v>
      </c>
      <c r="C26" s="174"/>
      <c r="D26" s="175"/>
      <c r="E26" s="117" t="s">
        <v>259</v>
      </c>
      <c r="F26" s="117"/>
      <c r="G26" s="118"/>
    </row>
    <row r="27" spans="1:7" ht="15.75" customHeight="1" x14ac:dyDescent="0.2">
      <c r="A27" s="116" t="s">
        <v>65</v>
      </c>
      <c r="B27" s="185" t="s">
        <v>70</v>
      </c>
      <c r="C27" s="186"/>
      <c r="D27" s="187"/>
      <c r="E27" s="119"/>
      <c r="F27" s="119"/>
      <c r="G27" s="120"/>
    </row>
    <row r="28" spans="1:7" ht="12.75" customHeight="1" x14ac:dyDescent="0.2">
      <c r="A28" s="121" t="s">
        <v>65</v>
      </c>
      <c r="B28" s="176" t="s">
        <v>71</v>
      </c>
      <c r="C28" s="177"/>
      <c r="D28" s="178"/>
      <c r="E28" s="123">
        <v>1</v>
      </c>
      <c r="F28" s="122"/>
      <c r="G28" s="124"/>
    </row>
    <row r="29" spans="1:7" ht="127.5" customHeight="1" x14ac:dyDescent="0.2">
      <c r="A29" s="129" t="s">
        <v>76</v>
      </c>
      <c r="B29" s="179" t="s">
        <v>260</v>
      </c>
      <c r="C29" s="180"/>
      <c r="D29" s="181"/>
      <c r="E29" s="130" t="s">
        <v>261</v>
      </c>
      <c r="F29" s="130" t="s">
        <v>262</v>
      </c>
      <c r="G29" s="131">
        <f>ROUND(0.0492  * 30 * 51.69 * 1.1,3)</f>
        <v>83.924000000000007</v>
      </c>
    </row>
    <row r="30" spans="1:7" ht="15.75" customHeight="1" x14ac:dyDescent="0.2">
      <c r="A30" s="97" t="s">
        <v>65</v>
      </c>
      <c r="B30" s="182" t="s">
        <v>66</v>
      </c>
      <c r="C30" s="183"/>
      <c r="D30" s="184"/>
      <c r="E30" s="98"/>
      <c r="F30" s="98"/>
      <c r="G30" s="99"/>
    </row>
    <row r="31" spans="1:7" ht="12.75" customHeight="1" x14ac:dyDescent="0.2">
      <c r="A31" s="116" t="s">
        <v>65</v>
      </c>
      <c r="B31" s="173" t="s">
        <v>67</v>
      </c>
      <c r="C31" s="174"/>
      <c r="D31" s="175"/>
      <c r="E31" s="117"/>
      <c r="F31" s="117"/>
      <c r="G31" s="118"/>
    </row>
    <row r="32" spans="1:7" ht="38.25" customHeight="1" x14ac:dyDescent="0.2">
      <c r="A32" s="116" t="s">
        <v>65</v>
      </c>
      <c r="B32" s="173" t="s">
        <v>106</v>
      </c>
      <c r="C32" s="174"/>
      <c r="D32" s="175"/>
      <c r="E32" s="117" t="s">
        <v>107</v>
      </c>
      <c r="F32" s="117"/>
      <c r="G32" s="118"/>
    </row>
    <row r="33" spans="1:7" ht="38.25" customHeight="1" x14ac:dyDescent="0.2">
      <c r="A33" s="116" t="s">
        <v>65</v>
      </c>
      <c r="B33" s="173" t="s">
        <v>263</v>
      </c>
      <c r="C33" s="174"/>
      <c r="D33" s="175"/>
      <c r="E33" s="117" t="s">
        <v>264</v>
      </c>
      <c r="F33" s="117"/>
      <c r="G33" s="118"/>
    </row>
    <row r="34" spans="1:7" ht="15.75" customHeight="1" x14ac:dyDescent="0.2">
      <c r="A34" s="116" t="s">
        <v>65</v>
      </c>
      <c r="B34" s="185" t="s">
        <v>70</v>
      </c>
      <c r="C34" s="186"/>
      <c r="D34" s="187"/>
      <c r="E34" s="119"/>
      <c r="F34" s="119"/>
      <c r="G34" s="120"/>
    </row>
    <row r="35" spans="1:7" ht="12.75" customHeight="1" x14ac:dyDescent="0.2">
      <c r="A35" s="121" t="s">
        <v>65</v>
      </c>
      <c r="B35" s="176" t="s">
        <v>71</v>
      </c>
      <c r="C35" s="177"/>
      <c r="D35" s="178"/>
      <c r="E35" s="123">
        <v>1</v>
      </c>
      <c r="F35" s="122"/>
      <c r="G35" s="124"/>
    </row>
    <row r="36" spans="1:7" ht="191.25" customHeight="1" x14ac:dyDescent="0.2">
      <c r="A36" s="129" t="s">
        <v>78</v>
      </c>
      <c r="B36" s="179" t="s">
        <v>250</v>
      </c>
      <c r="C36" s="180"/>
      <c r="D36" s="181"/>
      <c r="E36" s="130" t="s">
        <v>251</v>
      </c>
      <c r="F36" s="130" t="s">
        <v>252</v>
      </c>
      <c r="G36" s="131">
        <f>ROUND(0.0062  * 2.2 * 51.69 * 1.1,3)</f>
        <v>0.77600000000000002</v>
      </c>
    </row>
    <row r="37" spans="1:7" ht="15.75" customHeight="1" x14ac:dyDescent="0.2">
      <c r="A37" s="97" t="s">
        <v>65</v>
      </c>
      <c r="B37" s="182" t="s">
        <v>66</v>
      </c>
      <c r="C37" s="183"/>
      <c r="D37" s="184"/>
      <c r="E37" s="98"/>
      <c r="F37" s="98"/>
      <c r="G37" s="99"/>
    </row>
    <row r="38" spans="1:7" ht="12.75" customHeight="1" x14ac:dyDescent="0.2">
      <c r="A38" s="116" t="s">
        <v>65</v>
      </c>
      <c r="B38" s="173" t="s">
        <v>67</v>
      </c>
      <c r="C38" s="174"/>
      <c r="D38" s="175"/>
      <c r="E38" s="117"/>
      <c r="F38" s="117"/>
      <c r="G38" s="118"/>
    </row>
    <row r="39" spans="1:7" ht="38.25" customHeight="1" x14ac:dyDescent="0.2">
      <c r="A39" s="116" t="s">
        <v>65</v>
      </c>
      <c r="B39" s="173" t="s">
        <v>106</v>
      </c>
      <c r="C39" s="174"/>
      <c r="D39" s="175"/>
      <c r="E39" s="117" t="s">
        <v>107</v>
      </c>
      <c r="F39" s="117"/>
      <c r="G39" s="118"/>
    </row>
    <row r="40" spans="1:7" ht="76.5" customHeight="1" x14ac:dyDescent="0.2">
      <c r="A40" s="116" t="s">
        <v>65</v>
      </c>
      <c r="B40" s="173" t="s">
        <v>253</v>
      </c>
      <c r="C40" s="174"/>
      <c r="D40" s="175"/>
      <c r="E40" s="117" t="s">
        <v>254</v>
      </c>
      <c r="F40" s="117"/>
      <c r="G40" s="118"/>
    </row>
    <row r="41" spans="1:7" ht="15.75" customHeight="1" x14ac:dyDescent="0.2">
      <c r="A41" s="116" t="s">
        <v>65</v>
      </c>
      <c r="B41" s="185" t="s">
        <v>70</v>
      </c>
      <c r="C41" s="186"/>
      <c r="D41" s="187"/>
      <c r="E41" s="119"/>
      <c r="F41" s="119"/>
      <c r="G41" s="120"/>
    </row>
    <row r="42" spans="1:7" ht="12.75" customHeight="1" x14ac:dyDescent="0.2">
      <c r="A42" s="121" t="s">
        <v>65</v>
      </c>
      <c r="B42" s="176" t="s">
        <v>71</v>
      </c>
      <c r="C42" s="177"/>
      <c r="D42" s="178"/>
      <c r="E42" s="123">
        <v>1</v>
      </c>
      <c r="F42" s="122"/>
      <c r="G42" s="124"/>
    </row>
    <row r="43" spans="1:7" ht="242.25" customHeight="1" x14ac:dyDescent="0.2">
      <c r="A43" s="129" t="s">
        <v>117</v>
      </c>
      <c r="B43" s="179" t="s">
        <v>255</v>
      </c>
      <c r="C43" s="180"/>
      <c r="D43" s="181"/>
      <c r="E43" s="130" t="s">
        <v>256</v>
      </c>
      <c r="F43" s="130" t="s">
        <v>257</v>
      </c>
      <c r="G43" s="131">
        <f>ROUND(0.0117  * 6 * 51.69 * 1.3,3)</f>
        <v>4.7169999999999996</v>
      </c>
    </row>
    <row r="44" spans="1:7" ht="15.75" customHeight="1" x14ac:dyDescent="0.2">
      <c r="A44" s="97" t="s">
        <v>65</v>
      </c>
      <c r="B44" s="182" t="s">
        <v>66</v>
      </c>
      <c r="C44" s="183"/>
      <c r="D44" s="184"/>
      <c r="E44" s="98"/>
      <c r="F44" s="98"/>
      <c r="G44" s="99"/>
    </row>
    <row r="45" spans="1:7" ht="12.75" customHeight="1" x14ac:dyDescent="0.2">
      <c r="A45" s="116" t="s">
        <v>65</v>
      </c>
      <c r="B45" s="173" t="s">
        <v>67</v>
      </c>
      <c r="C45" s="174"/>
      <c r="D45" s="175"/>
      <c r="E45" s="117"/>
      <c r="F45" s="117"/>
      <c r="G45" s="118"/>
    </row>
    <row r="46" spans="1:7" ht="38.25" customHeight="1" x14ac:dyDescent="0.2">
      <c r="A46" s="116" t="s">
        <v>65</v>
      </c>
      <c r="B46" s="173" t="s">
        <v>106</v>
      </c>
      <c r="C46" s="174"/>
      <c r="D46" s="175"/>
      <c r="E46" s="117" t="s">
        <v>107</v>
      </c>
      <c r="F46" s="117"/>
      <c r="G46" s="118"/>
    </row>
    <row r="47" spans="1:7" ht="63.75" customHeight="1" x14ac:dyDescent="0.2">
      <c r="A47" s="116" t="s">
        <v>65</v>
      </c>
      <c r="B47" s="173" t="s">
        <v>258</v>
      </c>
      <c r="C47" s="174"/>
      <c r="D47" s="175"/>
      <c r="E47" s="117" t="s">
        <v>259</v>
      </c>
      <c r="F47" s="117"/>
      <c r="G47" s="118"/>
    </row>
    <row r="48" spans="1:7" ht="15.75" customHeight="1" x14ac:dyDescent="0.2">
      <c r="A48" s="116" t="s">
        <v>65</v>
      </c>
      <c r="B48" s="185" t="s">
        <v>70</v>
      </c>
      <c r="C48" s="186"/>
      <c r="D48" s="187"/>
      <c r="E48" s="119"/>
      <c r="F48" s="119"/>
      <c r="G48" s="120"/>
    </row>
    <row r="49" spans="1:7" ht="12.75" customHeight="1" x14ac:dyDescent="0.2">
      <c r="A49" s="121" t="s">
        <v>65</v>
      </c>
      <c r="B49" s="176" t="s">
        <v>71</v>
      </c>
      <c r="C49" s="177"/>
      <c r="D49" s="178"/>
      <c r="E49" s="123">
        <v>1</v>
      </c>
      <c r="F49" s="122"/>
      <c r="G49" s="124"/>
    </row>
    <row r="50" spans="1:7" ht="267.75" customHeight="1" x14ac:dyDescent="0.2">
      <c r="A50" s="129" t="s">
        <v>121</v>
      </c>
      <c r="B50" s="179" t="s">
        <v>111</v>
      </c>
      <c r="C50" s="180"/>
      <c r="D50" s="181"/>
      <c r="E50" s="130" t="s">
        <v>265</v>
      </c>
      <c r="F50" s="130" t="s">
        <v>266</v>
      </c>
      <c r="G50" s="131">
        <f>ROUND(0.0203  * 2.2 * 51.69 * 1.1 * 1.3,3)</f>
        <v>3.3010000000000002</v>
      </c>
    </row>
    <row r="51" spans="1:7" ht="15.75" customHeight="1" x14ac:dyDescent="0.2">
      <c r="A51" s="97" t="s">
        <v>65</v>
      </c>
      <c r="B51" s="182" t="s">
        <v>66</v>
      </c>
      <c r="C51" s="183"/>
      <c r="D51" s="184"/>
      <c r="E51" s="98"/>
      <c r="F51" s="98"/>
      <c r="G51" s="99"/>
    </row>
    <row r="52" spans="1:7" ht="12.75" customHeight="1" x14ac:dyDescent="0.2">
      <c r="A52" s="116" t="s">
        <v>65</v>
      </c>
      <c r="B52" s="173" t="s">
        <v>67</v>
      </c>
      <c r="C52" s="174"/>
      <c r="D52" s="175"/>
      <c r="E52" s="117"/>
      <c r="F52" s="117"/>
      <c r="G52" s="118"/>
    </row>
    <row r="53" spans="1:7" ht="38.25" customHeight="1" x14ac:dyDescent="0.2">
      <c r="A53" s="116" t="s">
        <v>65</v>
      </c>
      <c r="B53" s="173" t="s">
        <v>106</v>
      </c>
      <c r="C53" s="174"/>
      <c r="D53" s="175"/>
      <c r="E53" s="117" t="s">
        <v>107</v>
      </c>
      <c r="F53" s="117"/>
      <c r="G53" s="118"/>
    </row>
    <row r="54" spans="1:7" ht="76.5" customHeight="1" x14ac:dyDescent="0.2">
      <c r="A54" s="116" t="s">
        <v>65</v>
      </c>
      <c r="B54" s="173" t="s">
        <v>253</v>
      </c>
      <c r="C54" s="174"/>
      <c r="D54" s="175"/>
      <c r="E54" s="117" t="s">
        <v>254</v>
      </c>
      <c r="F54" s="117"/>
      <c r="G54" s="118"/>
    </row>
    <row r="55" spans="1:7" ht="38.25" customHeight="1" x14ac:dyDescent="0.2">
      <c r="A55" s="116" t="s">
        <v>65</v>
      </c>
      <c r="B55" s="173" t="s">
        <v>267</v>
      </c>
      <c r="C55" s="174"/>
      <c r="D55" s="175"/>
      <c r="E55" s="117" t="s">
        <v>268</v>
      </c>
      <c r="F55" s="117"/>
      <c r="G55" s="118"/>
    </row>
    <row r="56" spans="1:7" ht="15.75" customHeight="1" x14ac:dyDescent="0.2">
      <c r="A56" s="116" t="s">
        <v>65</v>
      </c>
      <c r="B56" s="185" t="s">
        <v>70</v>
      </c>
      <c r="C56" s="186"/>
      <c r="D56" s="187"/>
      <c r="E56" s="119"/>
      <c r="F56" s="119"/>
      <c r="G56" s="120"/>
    </row>
    <row r="57" spans="1:7" ht="12.75" customHeight="1" x14ac:dyDescent="0.2">
      <c r="A57" s="121" t="s">
        <v>65</v>
      </c>
      <c r="B57" s="176" t="s">
        <v>71</v>
      </c>
      <c r="C57" s="177"/>
      <c r="D57" s="178"/>
      <c r="E57" s="123">
        <v>1</v>
      </c>
      <c r="F57" s="122"/>
      <c r="G57" s="124"/>
    </row>
    <row r="58" spans="1:7" ht="229.5" customHeight="1" x14ac:dyDescent="0.2">
      <c r="A58" s="129" t="s">
        <v>125</v>
      </c>
      <c r="B58" s="179" t="s">
        <v>269</v>
      </c>
      <c r="C58" s="180"/>
      <c r="D58" s="181"/>
      <c r="E58" s="130" t="s">
        <v>270</v>
      </c>
      <c r="F58" s="130" t="s">
        <v>271</v>
      </c>
      <c r="G58" s="131">
        <f>ROUND(0.0377  * 10 * 51.69 * 1.1 * 1.2,3)</f>
        <v>25.722999999999999</v>
      </c>
    </row>
    <row r="59" spans="1:7" ht="15.75" customHeight="1" x14ac:dyDescent="0.2">
      <c r="A59" s="97" t="s">
        <v>65</v>
      </c>
      <c r="B59" s="182" t="s">
        <v>66</v>
      </c>
      <c r="C59" s="183"/>
      <c r="D59" s="184"/>
      <c r="E59" s="98"/>
      <c r="F59" s="98"/>
      <c r="G59" s="99"/>
    </row>
    <row r="60" spans="1:7" ht="12.75" customHeight="1" x14ac:dyDescent="0.2">
      <c r="A60" s="116" t="s">
        <v>65</v>
      </c>
      <c r="B60" s="173" t="s">
        <v>67</v>
      </c>
      <c r="C60" s="174"/>
      <c r="D60" s="175"/>
      <c r="E60" s="117"/>
      <c r="F60" s="117"/>
      <c r="G60" s="118"/>
    </row>
    <row r="61" spans="1:7" ht="38.25" customHeight="1" x14ac:dyDescent="0.2">
      <c r="A61" s="116" t="s">
        <v>65</v>
      </c>
      <c r="B61" s="173" t="s">
        <v>106</v>
      </c>
      <c r="C61" s="174"/>
      <c r="D61" s="175"/>
      <c r="E61" s="117" t="s">
        <v>107</v>
      </c>
      <c r="F61" s="117"/>
      <c r="G61" s="118"/>
    </row>
    <row r="62" spans="1:7" ht="76.5" customHeight="1" x14ac:dyDescent="0.2">
      <c r="A62" s="116" t="s">
        <v>65</v>
      </c>
      <c r="B62" s="173" t="s">
        <v>253</v>
      </c>
      <c r="C62" s="174"/>
      <c r="D62" s="175"/>
      <c r="E62" s="117" t="s">
        <v>254</v>
      </c>
      <c r="F62" s="117"/>
      <c r="G62" s="118"/>
    </row>
    <row r="63" spans="1:7" ht="51" customHeight="1" x14ac:dyDescent="0.2">
      <c r="A63" s="116" t="s">
        <v>65</v>
      </c>
      <c r="B63" s="173" t="s">
        <v>272</v>
      </c>
      <c r="C63" s="174"/>
      <c r="D63" s="175"/>
      <c r="E63" s="117" t="s">
        <v>273</v>
      </c>
      <c r="F63" s="117"/>
      <c r="G63" s="118"/>
    </row>
    <row r="64" spans="1:7" ht="15.75" customHeight="1" x14ac:dyDescent="0.2">
      <c r="A64" s="116" t="s">
        <v>65</v>
      </c>
      <c r="B64" s="185" t="s">
        <v>70</v>
      </c>
      <c r="C64" s="186"/>
      <c r="D64" s="187"/>
      <c r="E64" s="119"/>
      <c r="F64" s="119"/>
      <c r="G64" s="120"/>
    </row>
    <row r="65" spans="1:7" ht="12.75" customHeight="1" x14ac:dyDescent="0.2">
      <c r="A65" s="121" t="s">
        <v>65</v>
      </c>
      <c r="B65" s="176" t="s">
        <v>71</v>
      </c>
      <c r="C65" s="177"/>
      <c r="D65" s="178"/>
      <c r="E65" s="123">
        <v>1</v>
      </c>
      <c r="F65" s="122"/>
      <c r="G65" s="124"/>
    </row>
    <row r="66" spans="1:7" ht="229.5" customHeight="1" x14ac:dyDescent="0.2">
      <c r="A66" s="129" t="s">
        <v>129</v>
      </c>
      <c r="B66" s="179" t="s">
        <v>274</v>
      </c>
      <c r="C66" s="180"/>
      <c r="D66" s="181"/>
      <c r="E66" s="130" t="s">
        <v>275</v>
      </c>
      <c r="F66" s="130" t="s">
        <v>276</v>
      </c>
      <c r="G66" s="131">
        <f>ROUND(0.0069  * 10 * 51.69 * 1.1 * 0.9 * 1.2,3)</f>
        <v>4.2370000000000001</v>
      </c>
    </row>
    <row r="67" spans="1:7" ht="15.75" customHeight="1" x14ac:dyDescent="0.2">
      <c r="A67" s="97" t="s">
        <v>65</v>
      </c>
      <c r="B67" s="182" t="s">
        <v>66</v>
      </c>
      <c r="C67" s="183"/>
      <c r="D67" s="184"/>
      <c r="E67" s="98"/>
      <c r="F67" s="98"/>
      <c r="G67" s="99"/>
    </row>
    <row r="68" spans="1:7" ht="12.75" customHeight="1" x14ac:dyDescent="0.2">
      <c r="A68" s="116" t="s">
        <v>65</v>
      </c>
      <c r="B68" s="173" t="s">
        <v>67</v>
      </c>
      <c r="C68" s="174"/>
      <c r="D68" s="175"/>
      <c r="E68" s="117"/>
      <c r="F68" s="117"/>
      <c r="G68" s="118"/>
    </row>
    <row r="69" spans="1:7" ht="38.25" customHeight="1" x14ac:dyDescent="0.2">
      <c r="A69" s="116" t="s">
        <v>65</v>
      </c>
      <c r="B69" s="173" t="s">
        <v>106</v>
      </c>
      <c r="C69" s="174"/>
      <c r="D69" s="175"/>
      <c r="E69" s="117" t="s">
        <v>107</v>
      </c>
      <c r="F69" s="117"/>
      <c r="G69" s="118"/>
    </row>
    <row r="70" spans="1:7" ht="76.5" customHeight="1" x14ac:dyDescent="0.2">
      <c r="A70" s="116" t="s">
        <v>65</v>
      </c>
      <c r="B70" s="173" t="s">
        <v>253</v>
      </c>
      <c r="C70" s="174"/>
      <c r="D70" s="175"/>
      <c r="E70" s="117" t="s">
        <v>254</v>
      </c>
      <c r="F70" s="117"/>
      <c r="G70" s="118"/>
    </row>
    <row r="71" spans="1:7" ht="63.75" customHeight="1" x14ac:dyDescent="0.2">
      <c r="A71" s="116" t="s">
        <v>65</v>
      </c>
      <c r="B71" s="173" t="s">
        <v>277</v>
      </c>
      <c r="C71" s="174"/>
      <c r="D71" s="175"/>
      <c r="E71" s="117" t="s">
        <v>278</v>
      </c>
      <c r="F71" s="117"/>
      <c r="G71" s="118"/>
    </row>
    <row r="72" spans="1:7" ht="51" customHeight="1" x14ac:dyDescent="0.2">
      <c r="A72" s="116" t="s">
        <v>65</v>
      </c>
      <c r="B72" s="173" t="s">
        <v>272</v>
      </c>
      <c r="C72" s="174"/>
      <c r="D72" s="175"/>
      <c r="E72" s="117" t="s">
        <v>279</v>
      </c>
      <c r="F72" s="117"/>
      <c r="G72" s="118"/>
    </row>
    <row r="73" spans="1:7" ht="15.75" customHeight="1" x14ac:dyDescent="0.2">
      <c r="A73" s="116" t="s">
        <v>65</v>
      </c>
      <c r="B73" s="185" t="s">
        <v>70</v>
      </c>
      <c r="C73" s="186"/>
      <c r="D73" s="187"/>
      <c r="E73" s="119"/>
      <c r="F73" s="119"/>
      <c r="G73" s="120"/>
    </row>
    <row r="74" spans="1:7" ht="12.75" customHeight="1" x14ac:dyDescent="0.2">
      <c r="A74" s="121" t="s">
        <v>65</v>
      </c>
      <c r="B74" s="176" t="s">
        <v>71</v>
      </c>
      <c r="C74" s="177"/>
      <c r="D74" s="178"/>
      <c r="E74" s="123">
        <v>1</v>
      </c>
      <c r="F74" s="122"/>
      <c r="G74" s="124"/>
    </row>
    <row r="75" spans="1:7" ht="12.75" customHeight="1" x14ac:dyDescent="0.2">
      <c r="A75" s="132" t="s">
        <v>133</v>
      </c>
      <c r="B75" s="166" t="s">
        <v>77</v>
      </c>
      <c r="C75" s="167"/>
      <c r="D75" s="168"/>
      <c r="E75" s="133"/>
      <c r="F75" s="133"/>
      <c r="G75" s="134">
        <f>ROUND((SUM($G$14:$G$66)),3)</f>
        <v>128.17099999999999</v>
      </c>
    </row>
    <row r="76" spans="1:7" ht="25.5" customHeight="1" x14ac:dyDescent="0.2">
      <c r="A76" s="132" t="s">
        <v>137</v>
      </c>
      <c r="B76" s="166" t="s">
        <v>79</v>
      </c>
      <c r="C76" s="167"/>
      <c r="D76" s="168"/>
      <c r="E76" s="133"/>
      <c r="F76" s="133"/>
      <c r="G76" s="134">
        <f>ROUND(($G$75),3)</f>
        <v>128.17099999999999</v>
      </c>
    </row>
    <row r="77" spans="1:7" ht="12.75" customHeight="1" x14ac:dyDescent="0.2">
      <c r="A77" s="132" t="s">
        <v>10</v>
      </c>
      <c r="B77" s="166" t="s">
        <v>59</v>
      </c>
      <c r="C77" s="167"/>
      <c r="D77" s="168"/>
      <c r="E77" s="133" t="s">
        <v>22</v>
      </c>
      <c r="F77" s="133"/>
      <c r="G77" s="135"/>
    </row>
    <row r="78" spans="1:7" ht="127.5" customHeight="1" x14ac:dyDescent="0.2">
      <c r="A78" s="129" t="s">
        <v>80</v>
      </c>
      <c r="B78" s="179" t="s">
        <v>280</v>
      </c>
      <c r="C78" s="180"/>
      <c r="D78" s="181"/>
      <c r="E78" s="130" t="s">
        <v>281</v>
      </c>
      <c r="F78" s="130" t="s">
        <v>282</v>
      </c>
      <c r="G78" s="131">
        <f>ROUND(0.148  * 10 * 51.69 * 1.1,3)</f>
        <v>84.150999999999996</v>
      </c>
    </row>
    <row r="79" spans="1:7" ht="15.75" customHeight="1" x14ac:dyDescent="0.2">
      <c r="A79" s="97" t="s">
        <v>65</v>
      </c>
      <c r="B79" s="182" t="s">
        <v>66</v>
      </c>
      <c r="C79" s="183"/>
      <c r="D79" s="184"/>
      <c r="E79" s="98"/>
      <c r="F79" s="98"/>
      <c r="G79" s="99"/>
    </row>
    <row r="80" spans="1:7" ht="12.75" customHeight="1" x14ac:dyDescent="0.2">
      <c r="A80" s="116" t="s">
        <v>65</v>
      </c>
      <c r="B80" s="173" t="s">
        <v>67</v>
      </c>
      <c r="C80" s="174"/>
      <c r="D80" s="175"/>
      <c r="E80" s="117"/>
      <c r="F80" s="117"/>
      <c r="G80" s="118"/>
    </row>
    <row r="81" spans="1:7" ht="38.25" customHeight="1" x14ac:dyDescent="0.2">
      <c r="A81" s="116" t="s">
        <v>65</v>
      </c>
      <c r="B81" s="173" t="s">
        <v>106</v>
      </c>
      <c r="C81" s="174"/>
      <c r="D81" s="175"/>
      <c r="E81" s="117" t="s">
        <v>107</v>
      </c>
      <c r="F81" s="117"/>
      <c r="G81" s="118"/>
    </row>
    <row r="82" spans="1:7" ht="76.5" customHeight="1" x14ac:dyDescent="0.2">
      <c r="A82" s="116" t="s">
        <v>65</v>
      </c>
      <c r="B82" s="173" t="s">
        <v>253</v>
      </c>
      <c r="C82" s="174"/>
      <c r="D82" s="175"/>
      <c r="E82" s="117" t="s">
        <v>254</v>
      </c>
      <c r="F82" s="117"/>
      <c r="G82" s="118"/>
    </row>
    <row r="83" spans="1:7" ht="15.75" customHeight="1" x14ac:dyDescent="0.2">
      <c r="A83" s="116" t="s">
        <v>65</v>
      </c>
      <c r="B83" s="185" t="s">
        <v>70</v>
      </c>
      <c r="C83" s="186"/>
      <c r="D83" s="187"/>
      <c r="E83" s="119"/>
      <c r="F83" s="119"/>
      <c r="G83" s="120"/>
    </row>
    <row r="84" spans="1:7" ht="12.75" customHeight="1" x14ac:dyDescent="0.2">
      <c r="A84" s="121" t="s">
        <v>65</v>
      </c>
      <c r="B84" s="176" t="s">
        <v>71</v>
      </c>
      <c r="C84" s="177"/>
      <c r="D84" s="178"/>
      <c r="E84" s="123">
        <v>1</v>
      </c>
      <c r="F84" s="122"/>
      <c r="G84" s="124"/>
    </row>
    <row r="85" spans="1:7" ht="165.75" customHeight="1" x14ac:dyDescent="0.2">
      <c r="A85" s="129" t="s">
        <v>83</v>
      </c>
      <c r="B85" s="179" t="s">
        <v>283</v>
      </c>
      <c r="C85" s="180"/>
      <c r="D85" s="181"/>
      <c r="E85" s="130" t="s">
        <v>284</v>
      </c>
      <c r="F85" s="130" t="s">
        <v>285</v>
      </c>
      <c r="G85" s="131">
        <f>ROUND(0.0197  * 5 * 51.69 * 1.1,3)</f>
        <v>5.601</v>
      </c>
    </row>
    <row r="86" spans="1:7" ht="15.75" customHeight="1" x14ac:dyDescent="0.2">
      <c r="A86" s="97" t="s">
        <v>65</v>
      </c>
      <c r="B86" s="182" t="s">
        <v>66</v>
      </c>
      <c r="C86" s="183"/>
      <c r="D86" s="184"/>
      <c r="E86" s="98"/>
      <c r="F86" s="98"/>
      <c r="G86" s="99"/>
    </row>
    <row r="87" spans="1:7" ht="12.75" customHeight="1" x14ac:dyDescent="0.2">
      <c r="A87" s="116" t="s">
        <v>65</v>
      </c>
      <c r="B87" s="173" t="s">
        <v>67</v>
      </c>
      <c r="C87" s="174"/>
      <c r="D87" s="175"/>
      <c r="E87" s="117"/>
      <c r="F87" s="117"/>
      <c r="G87" s="118"/>
    </row>
    <row r="88" spans="1:7" ht="38.25" customHeight="1" x14ac:dyDescent="0.2">
      <c r="A88" s="116" t="s">
        <v>65</v>
      </c>
      <c r="B88" s="173" t="s">
        <v>106</v>
      </c>
      <c r="C88" s="174"/>
      <c r="D88" s="175"/>
      <c r="E88" s="117" t="s">
        <v>107</v>
      </c>
      <c r="F88" s="117"/>
      <c r="G88" s="118"/>
    </row>
    <row r="89" spans="1:7" ht="76.5" customHeight="1" x14ac:dyDescent="0.2">
      <c r="A89" s="116" t="s">
        <v>65</v>
      </c>
      <c r="B89" s="173" t="s">
        <v>253</v>
      </c>
      <c r="C89" s="174"/>
      <c r="D89" s="175"/>
      <c r="E89" s="117" t="s">
        <v>254</v>
      </c>
      <c r="F89" s="117"/>
      <c r="G89" s="118"/>
    </row>
    <row r="90" spans="1:7" ht="15.75" customHeight="1" x14ac:dyDescent="0.2">
      <c r="A90" s="116" t="s">
        <v>65</v>
      </c>
      <c r="B90" s="185" t="s">
        <v>70</v>
      </c>
      <c r="C90" s="186"/>
      <c r="D90" s="187"/>
      <c r="E90" s="119"/>
      <c r="F90" s="119"/>
      <c r="G90" s="120"/>
    </row>
    <row r="91" spans="1:7" ht="12.75" customHeight="1" x14ac:dyDescent="0.2">
      <c r="A91" s="121" t="s">
        <v>65</v>
      </c>
      <c r="B91" s="176" t="s">
        <v>71</v>
      </c>
      <c r="C91" s="177"/>
      <c r="D91" s="178"/>
      <c r="E91" s="123">
        <v>1</v>
      </c>
      <c r="F91" s="122"/>
      <c r="G91" s="124"/>
    </row>
    <row r="92" spans="1:7" ht="165.75" customHeight="1" x14ac:dyDescent="0.2">
      <c r="A92" s="129" t="s">
        <v>85</v>
      </c>
      <c r="B92" s="179" t="s">
        <v>286</v>
      </c>
      <c r="C92" s="180"/>
      <c r="D92" s="181"/>
      <c r="E92" s="130" t="s">
        <v>287</v>
      </c>
      <c r="F92" s="130" t="s">
        <v>288</v>
      </c>
      <c r="G92" s="131">
        <f>ROUND(0.1474  * 5 * 51.69 * 1.1,3)</f>
        <v>41.905000000000001</v>
      </c>
    </row>
    <row r="93" spans="1:7" ht="15.75" customHeight="1" x14ac:dyDescent="0.2">
      <c r="A93" s="97" t="s">
        <v>65</v>
      </c>
      <c r="B93" s="182" t="s">
        <v>66</v>
      </c>
      <c r="C93" s="183"/>
      <c r="D93" s="184"/>
      <c r="E93" s="98"/>
      <c r="F93" s="98"/>
      <c r="G93" s="99"/>
    </row>
    <row r="94" spans="1:7" ht="12.75" customHeight="1" x14ac:dyDescent="0.2">
      <c r="A94" s="116" t="s">
        <v>65</v>
      </c>
      <c r="B94" s="173" t="s">
        <v>67</v>
      </c>
      <c r="C94" s="174"/>
      <c r="D94" s="175"/>
      <c r="E94" s="117"/>
      <c r="F94" s="117"/>
      <c r="G94" s="118"/>
    </row>
    <row r="95" spans="1:7" ht="38.25" customHeight="1" x14ac:dyDescent="0.2">
      <c r="A95" s="116" t="s">
        <v>65</v>
      </c>
      <c r="B95" s="173" t="s">
        <v>106</v>
      </c>
      <c r="C95" s="174"/>
      <c r="D95" s="175"/>
      <c r="E95" s="117" t="s">
        <v>107</v>
      </c>
      <c r="F95" s="117"/>
      <c r="G95" s="118"/>
    </row>
    <row r="96" spans="1:7" ht="76.5" customHeight="1" x14ac:dyDescent="0.2">
      <c r="A96" s="116" t="s">
        <v>65</v>
      </c>
      <c r="B96" s="173" t="s">
        <v>253</v>
      </c>
      <c r="C96" s="174"/>
      <c r="D96" s="175"/>
      <c r="E96" s="117" t="s">
        <v>254</v>
      </c>
      <c r="F96" s="117"/>
      <c r="G96" s="118"/>
    </row>
    <row r="97" spans="1:7" ht="15.75" customHeight="1" x14ac:dyDescent="0.2">
      <c r="A97" s="116" t="s">
        <v>65</v>
      </c>
      <c r="B97" s="185" t="s">
        <v>70</v>
      </c>
      <c r="C97" s="186"/>
      <c r="D97" s="187"/>
      <c r="E97" s="119"/>
      <c r="F97" s="119"/>
      <c r="G97" s="120"/>
    </row>
    <row r="98" spans="1:7" ht="12.75" customHeight="1" x14ac:dyDescent="0.2">
      <c r="A98" s="121" t="s">
        <v>65</v>
      </c>
      <c r="B98" s="176" t="s">
        <v>71</v>
      </c>
      <c r="C98" s="177"/>
      <c r="D98" s="178"/>
      <c r="E98" s="123">
        <v>1</v>
      </c>
      <c r="F98" s="122"/>
      <c r="G98" s="124"/>
    </row>
    <row r="99" spans="1:7" ht="165.75" customHeight="1" x14ac:dyDescent="0.2">
      <c r="A99" s="129" t="s">
        <v>148</v>
      </c>
      <c r="B99" s="179" t="s">
        <v>289</v>
      </c>
      <c r="C99" s="180"/>
      <c r="D99" s="181"/>
      <c r="E99" s="130" t="s">
        <v>290</v>
      </c>
      <c r="F99" s="130" t="s">
        <v>291</v>
      </c>
      <c r="G99" s="131">
        <f>ROUND(0.0205  * 10 * 51.69,3)</f>
        <v>10.596</v>
      </c>
    </row>
    <row r="100" spans="1:7" ht="15.75" customHeight="1" x14ac:dyDescent="0.2">
      <c r="A100" s="97" t="s">
        <v>65</v>
      </c>
      <c r="B100" s="182" t="s">
        <v>66</v>
      </c>
      <c r="C100" s="183"/>
      <c r="D100" s="184"/>
      <c r="E100" s="98"/>
      <c r="F100" s="98"/>
      <c r="G100" s="99"/>
    </row>
    <row r="101" spans="1:7" ht="12.75" customHeight="1" x14ac:dyDescent="0.2">
      <c r="A101" s="116" t="s">
        <v>65</v>
      </c>
      <c r="B101" s="173" t="s">
        <v>67</v>
      </c>
      <c r="C101" s="174"/>
      <c r="D101" s="175"/>
      <c r="E101" s="117"/>
      <c r="F101" s="117"/>
      <c r="G101" s="118"/>
    </row>
    <row r="102" spans="1:7" ht="38.25" customHeight="1" x14ac:dyDescent="0.2">
      <c r="A102" s="116" t="s">
        <v>65</v>
      </c>
      <c r="B102" s="173" t="s">
        <v>106</v>
      </c>
      <c r="C102" s="174"/>
      <c r="D102" s="175"/>
      <c r="E102" s="117" t="s">
        <v>107</v>
      </c>
      <c r="F102" s="117"/>
      <c r="G102" s="118"/>
    </row>
    <row r="103" spans="1:7" ht="15.75" customHeight="1" x14ac:dyDescent="0.2">
      <c r="A103" s="116" t="s">
        <v>65</v>
      </c>
      <c r="B103" s="185" t="s">
        <v>70</v>
      </c>
      <c r="C103" s="186"/>
      <c r="D103" s="187"/>
      <c r="E103" s="119"/>
      <c r="F103" s="119"/>
      <c r="G103" s="120"/>
    </row>
    <row r="104" spans="1:7" ht="12.75" customHeight="1" x14ac:dyDescent="0.2">
      <c r="A104" s="121" t="s">
        <v>65</v>
      </c>
      <c r="B104" s="176" t="s">
        <v>71</v>
      </c>
      <c r="C104" s="177"/>
      <c r="D104" s="178"/>
      <c r="E104" s="123">
        <v>1</v>
      </c>
      <c r="F104" s="122"/>
      <c r="G104" s="124"/>
    </row>
    <row r="105" spans="1:7" ht="165.75" customHeight="1" x14ac:dyDescent="0.2">
      <c r="A105" s="190" t="s">
        <v>152</v>
      </c>
      <c r="B105" s="191" t="s">
        <v>292</v>
      </c>
      <c r="C105" s="192"/>
      <c r="D105" s="193"/>
      <c r="E105" s="188" t="s">
        <v>293</v>
      </c>
      <c r="F105" s="188" t="s">
        <v>294</v>
      </c>
      <c r="G105" s="189">
        <f>ROUND(0.0962  * 5 * 51.69,3)</f>
        <v>24.863</v>
      </c>
    </row>
    <row r="106" spans="1:7" ht="12.75" customHeight="1" x14ac:dyDescent="0.2">
      <c r="A106" s="190"/>
      <c r="B106" s="191"/>
      <c r="C106" s="192"/>
      <c r="D106" s="193"/>
      <c r="E106" s="188"/>
      <c r="F106" s="188"/>
      <c r="G106" s="189"/>
    </row>
    <row r="107" spans="1:7" ht="15.75" customHeight="1" x14ac:dyDescent="0.2">
      <c r="A107" s="97" t="s">
        <v>65</v>
      </c>
      <c r="B107" s="182" t="s">
        <v>66</v>
      </c>
      <c r="C107" s="183"/>
      <c r="D107" s="184"/>
      <c r="E107" s="98"/>
      <c r="F107" s="98"/>
      <c r="G107" s="99"/>
    </row>
    <row r="108" spans="1:7" ht="12.75" customHeight="1" x14ac:dyDescent="0.2">
      <c r="A108" s="116" t="s">
        <v>65</v>
      </c>
      <c r="B108" s="173" t="s">
        <v>67</v>
      </c>
      <c r="C108" s="174"/>
      <c r="D108" s="175"/>
      <c r="E108" s="117"/>
      <c r="F108" s="117"/>
      <c r="G108" s="118"/>
    </row>
    <row r="109" spans="1:7" ht="38.25" customHeight="1" x14ac:dyDescent="0.2">
      <c r="A109" s="116" t="s">
        <v>65</v>
      </c>
      <c r="B109" s="173" t="s">
        <v>106</v>
      </c>
      <c r="C109" s="174"/>
      <c r="D109" s="175"/>
      <c r="E109" s="117" t="s">
        <v>107</v>
      </c>
      <c r="F109" s="117"/>
      <c r="G109" s="118"/>
    </row>
    <row r="110" spans="1:7" ht="15.75" customHeight="1" x14ac:dyDescent="0.2">
      <c r="A110" s="116" t="s">
        <v>65</v>
      </c>
      <c r="B110" s="185" t="s">
        <v>70</v>
      </c>
      <c r="C110" s="186"/>
      <c r="D110" s="187"/>
      <c r="E110" s="119"/>
      <c r="F110" s="119"/>
      <c r="G110" s="120"/>
    </row>
    <row r="111" spans="1:7" ht="12.75" customHeight="1" x14ac:dyDescent="0.2">
      <c r="A111" s="121" t="s">
        <v>65</v>
      </c>
      <c r="B111" s="176" t="s">
        <v>71</v>
      </c>
      <c r="C111" s="177"/>
      <c r="D111" s="178"/>
      <c r="E111" s="123">
        <v>1</v>
      </c>
      <c r="F111" s="122"/>
      <c r="G111" s="124"/>
    </row>
    <row r="112" spans="1:7" ht="165.75" customHeight="1" x14ac:dyDescent="0.2">
      <c r="A112" s="129" t="s">
        <v>156</v>
      </c>
      <c r="B112" s="179" t="s">
        <v>295</v>
      </c>
      <c r="C112" s="180"/>
      <c r="D112" s="181"/>
      <c r="E112" s="130" t="s">
        <v>296</v>
      </c>
      <c r="F112" s="130" t="s">
        <v>297</v>
      </c>
      <c r="G112" s="131">
        <f>ROUND(0.0512  * 8 * 51.69,3)</f>
        <v>21.172000000000001</v>
      </c>
    </row>
    <row r="113" spans="1:7" ht="15.75" customHeight="1" x14ac:dyDescent="0.2">
      <c r="A113" s="97" t="s">
        <v>65</v>
      </c>
      <c r="B113" s="182" t="s">
        <v>66</v>
      </c>
      <c r="C113" s="183"/>
      <c r="D113" s="184"/>
      <c r="E113" s="98"/>
      <c r="F113" s="98"/>
      <c r="G113" s="99"/>
    </row>
    <row r="114" spans="1:7" ht="12.75" customHeight="1" x14ac:dyDescent="0.2">
      <c r="A114" s="116" t="s">
        <v>65</v>
      </c>
      <c r="B114" s="173" t="s">
        <v>67</v>
      </c>
      <c r="C114" s="174"/>
      <c r="D114" s="175"/>
      <c r="E114" s="117"/>
      <c r="F114" s="117"/>
      <c r="G114" s="118"/>
    </row>
    <row r="115" spans="1:7" ht="38.25" customHeight="1" x14ac:dyDescent="0.2">
      <c r="A115" s="116" t="s">
        <v>65</v>
      </c>
      <c r="B115" s="173" t="s">
        <v>106</v>
      </c>
      <c r="C115" s="174"/>
      <c r="D115" s="175"/>
      <c r="E115" s="117" t="s">
        <v>107</v>
      </c>
      <c r="F115" s="117"/>
      <c r="G115" s="118"/>
    </row>
    <row r="116" spans="1:7" ht="15.75" customHeight="1" x14ac:dyDescent="0.2">
      <c r="A116" s="116" t="s">
        <v>65</v>
      </c>
      <c r="B116" s="185" t="s">
        <v>70</v>
      </c>
      <c r="C116" s="186"/>
      <c r="D116" s="187"/>
      <c r="E116" s="119"/>
      <c r="F116" s="119"/>
      <c r="G116" s="120"/>
    </row>
    <row r="117" spans="1:7" ht="12.75" customHeight="1" x14ac:dyDescent="0.2">
      <c r="A117" s="121" t="s">
        <v>65</v>
      </c>
      <c r="B117" s="176" t="s">
        <v>71</v>
      </c>
      <c r="C117" s="177"/>
      <c r="D117" s="178"/>
      <c r="E117" s="123">
        <v>1</v>
      </c>
      <c r="F117" s="122"/>
      <c r="G117" s="124"/>
    </row>
    <row r="118" spans="1:7" ht="165.75" customHeight="1" x14ac:dyDescent="0.2">
      <c r="A118" s="129" t="s">
        <v>160</v>
      </c>
      <c r="B118" s="179" t="s">
        <v>298</v>
      </c>
      <c r="C118" s="180"/>
      <c r="D118" s="181"/>
      <c r="E118" s="130" t="s">
        <v>299</v>
      </c>
      <c r="F118" s="130" t="s">
        <v>300</v>
      </c>
      <c r="G118" s="131">
        <f>ROUND(0.002  * 7 * 51.69,3)</f>
        <v>0.72399999999999998</v>
      </c>
    </row>
    <row r="119" spans="1:7" ht="15.75" customHeight="1" x14ac:dyDescent="0.2">
      <c r="A119" s="97" t="s">
        <v>65</v>
      </c>
      <c r="B119" s="182" t="s">
        <v>66</v>
      </c>
      <c r="C119" s="183"/>
      <c r="D119" s="184"/>
      <c r="E119" s="98"/>
      <c r="F119" s="98"/>
      <c r="G119" s="99"/>
    </row>
    <row r="120" spans="1:7" ht="12.75" customHeight="1" x14ac:dyDescent="0.2">
      <c r="A120" s="116" t="s">
        <v>65</v>
      </c>
      <c r="B120" s="173" t="s">
        <v>67</v>
      </c>
      <c r="C120" s="174"/>
      <c r="D120" s="175"/>
      <c r="E120" s="117"/>
      <c r="F120" s="117"/>
      <c r="G120" s="118"/>
    </row>
    <row r="121" spans="1:7" ht="38.25" customHeight="1" x14ac:dyDescent="0.2">
      <c r="A121" s="116" t="s">
        <v>65</v>
      </c>
      <c r="B121" s="173" t="s">
        <v>106</v>
      </c>
      <c r="C121" s="174"/>
      <c r="D121" s="175"/>
      <c r="E121" s="117" t="s">
        <v>107</v>
      </c>
      <c r="F121" s="117"/>
      <c r="G121" s="118"/>
    </row>
    <row r="122" spans="1:7" ht="15.75" customHeight="1" x14ac:dyDescent="0.2">
      <c r="A122" s="116" t="s">
        <v>65</v>
      </c>
      <c r="B122" s="185" t="s">
        <v>70</v>
      </c>
      <c r="C122" s="186"/>
      <c r="D122" s="187"/>
      <c r="E122" s="119"/>
      <c r="F122" s="119"/>
      <c r="G122" s="120"/>
    </row>
    <row r="123" spans="1:7" ht="12.75" customHeight="1" x14ac:dyDescent="0.2">
      <c r="A123" s="121" t="s">
        <v>65</v>
      </c>
      <c r="B123" s="176" t="s">
        <v>71</v>
      </c>
      <c r="C123" s="177"/>
      <c r="D123" s="178"/>
      <c r="E123" s="123">
        <v>1</v>
      </c>
      <c r="F123" s="122"/>
      <c r="G123" s="124"/>
    </row>
    <row r="124" spans="1:7" ht="165.75" customHeight="1" x14ac:dyDescent="0.2">
      <c r="A124" s="129" t="s">
        <v>164</v>
      </c>
      <c r="B124" s="179" t="s">
        <v>301</v>
      </c>
      <c r="C124" s="180"/>
      <c r="D124" s="181"/>
      <c r="E124" s="130" t="s">
        <v>302</v>
      </c>
      <c r="F124" s="130" t="s">
        <v>303</v>
      </c>
      <c r="G124" s="131">
        <f>ROUND(0.0076  * 8 * 51.69,3)</f>
        <v>3.1429999999999998</v>
      </c>
    </row>
    <row r="125" spans="1:7" ht="15.75" customHeight="1" x14ac:dyDescent="0.2">
      <c r="A125" s="97" t="s">
        <v>65</v>
      </c>
      <c r="B125" s="182" t="s">
        <v>66</v>
      </c>
      <c r="C125" s="183"/>
      <c r="D125" s="184"/>
      <c r="E125" s="98"/>
      <c r="F125" s="98"/>
      <c r="G125" s="99"/>
    </row>
    <row r="126" spans="1:7" ht="12.75" customHeight="1" x14ac:dyDescent="0.2">
      <c r="A126" s="116" t="s">
        <v>65</v>
      </c>
      <c r="B126" s="173" t="s">
        <v>67</v>
      </c>
      <c r="C126" s="174"/>
      <c r="D126" s="175"/>
      <c r="E126" s="117"/>
      <c r="F126" s="117"/>
      <c r="G126" s="118"/>
    </row>
    <row r="127" spans="1:7" ht="38.25" customHeight="1" x14ac:dyDescent="0.2">
      <c r="A127" s="116" t="s">
        <v>65</v>
      </c>
      <c r="B127" s="173" t="s">
        <v>106</v>
      </c>
      <c r="C127" s="174"/>
      <c r="D127" s="175"/>
      <c r="E127" s="117" t="s">
        <v>107</v>
      </c>
      <c r="F127" s="117"/>
      <c r="G127" s="118"/>
    </row>
    <row r="128" spans="1:7" ht="15.75" customHeight="1" x14ac:dyDescent="0.2">
      <c r="A128" s="116" t="s">
        <v>65</v>
      </c>
      <c r="B128" s="185" t="s">
        <v>70</v>
      </c>
      <c r="C128" s="186"/>
      <c r="D128" s="187"/>
      <c r="E128" s="119"/>
      <c r="F128" s="119"/>
      <c r="G128" s="120"/>
    </row>
    <row r="129" spans="1:7" ht="12.75" customHeight="1" x14ac:dyDescent="0.2">
      <c r="A129" s="121" t="s">
        <v>65</v>
      </c>
      <c r="B129" s="176" t="s">
        <v>71</v>
      </c>
      <c r="C129" s="177"/>
      <c r="D129" s="178"/>
      <c r="E129" s="123">
        <v>1</v>
      </c>
      <c r="F129" s="122"/>
      <c r="G129" s="124"/>
    </row>
    <row r="130" spans="1:7" ht="165.75" customHeight="1" x14ac:dyDescent="0.2">
      <c r="A130" s="129" t="s">
        <v>168</v>
      </c>
      <c r="B130" s="179" t="s">
        <v>304</v>
      </c>
      <c r="C130" s="180"/>
      <c r="D130" s="181"/>
      <c r="E130" s="130" t="s">
        <v>305</v>
      </c>
      <c r="F130" s="130" t="s">
        <v>306</v>
      </c>
      <c r="G130" s="131">
        <f>ROUND(0.0152  * 8 * 51.69,3)</f>
        <v>6.2859999999999996</v>
      </c>
    </row>
    <row r="131" spans="1:7" ht="15.75" customHeight="1" x14ac:dyDescent="0.2">
      <c r="A131" s="97" t="s">
        <v>65</v>
      </c>
      <c r="B131" s="182" t="s">
        <v>66</v>
      </c>
      <c r="C131" s="183"/>
      <c r="D131" s="184"/>
      <c r="E131" s="98"/>
      <c r="F131" s="98"/>
      <c r="G131" s="99"/>
    </row>
    <row r="132" spans="1:7" ht="12.75" customHeight="1" x14ac:dyDescent="0.2">
      <c r="A132" s="116" t="s">
        <v>65</v>
      </c>
      <c r="B132" s="173" t="s">
        <v>67</v>
      </c>
      <c r="C132" s="174"/>
      <c r="D132" s="175"/>
      <c r="E132" s="117"/>
      <c r="F132" s="117"/>
      <c r="G132" s="118"/>
    </row>
    <row r="133" spans="1:7" ht="38.25" customHeight="1" x14ac:dyDescent="0.2">
      <c r="A133" s="116" t="s">
        <v>65</v>
      </c>
      <c r="B133" s="173" t="s">
        <v>106</v>
      </c>
      <c r="C133" s="174"/>
      <c r="D133" s="175"/>
      <c r="E133" s="117" t="s">
        <v>107</v>
      </c>
      <c r="F133" s="117"/>
      <c r="G133" s="118"/>
    </row>
    <row r="134" spans="1:7" ht="15.75" customHeight="1" x14ac:dyDescent="0.2">
      <c r="A134" s="116" t="s">
        <v>65</v>
      </c>
      <c r="B134" s="185" t="s">
        <v>70</v>
      </c>
      <c r="C134" s="186"/>
      <c r="D134" s="187"/>
      <c r="E134" s="119"/>
      <c r="F134" s="119"/>
      <c r="G134" s="120"/>
    </row>
    <row r="135" spans="1:7" ht="12.75" customHeight="1" x14ac:dyDescent="0.2">
      <c r="A135" s="121" t="s">
        <v>65</v>
      </c>
      <c r="B135" s="176" t="s">
        <v>71</v>
      </c>
      <c r="C135" s="177"/>
      <c r="D135" s="178"/>
      <c r="E135" s="123">
        <v>1</v>
      </c>
      <c r="F135" s="122"/>
      <c r="G135" s="124"/>
    </row>
    <row r="136" spans="1:7" ht="165.75" customHeight="1" x14ac:dyDescent="0.2">
      <c r="A136" s="129" t="s">
        <v>172</v>
      </c>
      <c r="B136" s="179" t="s">
        <v>307</v>
      </c>
      <c r="C136" s="180"/>
      <c r="D136" s="181"/>
      <c r="E136" s="130" t="s">
        <v>308</v>
      </c>
      <c r="F136" s="130" t="s">
        <v>309</v>
      </c>
      <c r="G136" s="131">
        <f>ROUND(0.0089  * 8 * 51.69,3)</f>
        <v>3.68</v>
      </c>
    </row>
    <row r="137" spans="1:7" ht="15.75" customHeight="1" x14ac:dyDescent="0.2">
      <c r="A137" s="97" t="s">
        <v>65</v>
      </c>
      <c r="B137" s="182" t="s">
        <v>66</v>
      </c>
      <c r="C137" s="183"/>
      <c r="D137" s="184"/>
      <c r="E137" s="98"/>
      <c r="F137" s="98"/>
      <c r="G137" s="99"/>
    </row>
    <row r="138" spans="1:7" ht="12.75" customHeight="1" x14ac:dyDescent="0.2">
      <c r="A138" s="116" t="s">
        <v>65</v>
      </c>
      <c r="B138" s="173" t="s">
        <v>67</v>
      </c>
      <c r="C138" s="174"/>
      <c r="D138" s="175"/>
      <c r="E138" s="117"/>
      <c r="F138" s="117"/>
      <c r="G138" s="118"/>
    </row>
    <row r="139" spans="1:7" ht="38.25" customHeight="1" x14ac:dyDescent="0.2">
      <c r="A139" s="116" t="s">
        <v>65</v>
      </c>
      <c r="B139" s="173" t="s">
        <v>106</v>
      </c>
      <c r="C139" s="174"/>
      <c r="D139" s="175"/>
      <c r="E139" s="117" t="s">
        <v>107</v>
      </c>
      <c r="F139" s="117"/>
      <c r="G139" s="118"/>
    </row>
    <row r="140" spans="1:7" ht="15.75" customHeight="1" x14ac:dyDescent="0.2">
      <c r="A140" s="116" t="s">
        <v>65</v>
      </c>
      <c r="B140" s="185" t="s">
        <v>70</v>
      </c>
      <c r="C140" s="186"/>
      <c r="D140" s="187"/>
      <c r="E140" s="119"/>
      <c r="F140" s="119"/>
      <c r="G140" s="120"/>
    </row>
    <row r="141" spans="1:7" ht="12.75" customHeight="1" x14ac:dyDescent="0.2">
      <c r="A141" s="121" t="s">
        <v>65</v>
      </c>
      <c r="B141" s="176" t="s">
        <v>71</v>
      </c>
      <c r="C141" s="177"/>
      <c r="D141" s="178"/>
      <c r="E141" s="123">
        <v>1</v>
      </c>
      <c r="F141" s="122"/>
      <c r="G141" s="124"/>
    </row>
    <row r="142" spans="1:7" ht="165.75" customHeight="1" x14ac:dyDescent="0.2">
      <c r="A142" s="129" t="s">
        <v>174</v>
      </c>
      <c r="B142" s="179" t="s">
        <v>310</v>
      </c>
      <c r="C142" s="180"/>
      <c r="D142" s="181"/>
      <c r="E142" s="130" t="s">
        <v>311</v>
      </c>
      <c r="F142" s="130" t="s">
        <v>312</v>
      </c>
      <c r="G142" s="131">
        <f>ROUND(0.0142  * 8 * 51.69,3)</f>
        <v>5.8719999999999999</v>
      </c>
    </row>
    <row r="143" spans="1:7" ht="15.75" customHeight="1" x14ac:dyDescent="0.2">
      <c r="A143" s="97" t="s">
        <v>65</v>
      </c>
      <c r="B143" s="182" t="s">
        <v>66</v>
      </c>
      <c r="C143" s="183"/>
      <c r="D143" s="184"/>
      <c r="E143" s="98"/>
      <c r="F143" s="98"/>
      <c r="G143" s="99"/>
    </row>
    <row r="144" spans="1:7" ht="12.75" customHeight="1" x14ac:dyDescent="0.2">
      <c r="A144" s="116" t="s">
        <v>65</v>
      </c>
      <c r="B144" s="173" t="s">
        <v>67</v>
      </c>
      <c r="C144" s="174"/>
      <c r="D144" s="175"/>
      <c r="E144" s="117"/>
      <c r="F144" s="117"/>
      <c r="G144" s="118"/>
    </row>
    <row r="145" spans="1:7" ht="38.25" customHeight="1" x14ac:dyDescent="0.2">
      <c r="A145" s="116" t="s">
        <v>65</v>
      </c>
      <c r="B145" s="173" t="s">
        <v>106</v>
      </c>
      <c r="C145" s="174"/>
      <c r="D145" s="175"/>
      <c r="E145" s="117" t="s">
        <v>107</v>
      </c>
      <c r="F145" s="117"/>
      <c r="G145" s="118"/>
    </row>
    <row r="146" spans="1:7" ht="15.75" customHeight="1" x14ac:dyDescent="0.2">
      <c r="A146" s="116" t="s">
        <v>65</v>
      </c>
      <c r="B146" s="185" t="s">
        <v>70</v>
      </c>
      <c r="C146" s="186"/>
      <c r="D146" s="187"/>
      <c r="E146" s="119"/>
      <c r="F146" s="119"/>
      <c r="G146" s="120"/>
    </row>
    <row r="147" spans="1:7" ht="12.75" customHeight="1" x14ac:dyDescent="0.2">
      <c r="A147" s="121" t="s">
        <v>65</v>
      </c>
      <c r="B147" s="176" t="s">
        <v>71</v>
      </c>
      <c r="C147" s="177"/>
      <c r="D147" s="178"/>
      <c r="E147" s="123">
        <v>1</v>
      </c>
      <c r="F147" s="122"/>
      <c r="G147" s="124"/>
    </row>
    <row r="148" spans="1:7" ht="165.75" customHeight="1" x14ac:dyDescent="0.2">
      <c r="A148" s="129" t="s">
        <v>313</v>
      </c>
      <c r="B148" s="179" t="s">
        <v>314</v>
      </c>
      <c r="C148" s="180"/>
      <c r="D148" s="181"/>
      <c r="E148" s="130" t="s">
        <v>315</v>
      </c>
      <c r="F148" s="130" t="s">
        <v>316</v>
      </c>
      <c r="G148" s="131">
        <f>ROUND(0.0298  * 8 * 51.69,3)</f>
        <v>12.323</v>
      </c>
    </row>
    <row r="149" spans="1:7" ht="15.75" customHeight="1" x14ac:dyDescent="0.2">
      <c r="A149" s="97" t="s">
        <v>65</v>
      </c>
      <c r="B149" s="182" t="s">
        <v>66</v>
      </c>
      <c r="C149" s="183"/>
      <c r="D149" s="184"/>
      <c r="E149" s="98"/>
      <c r="F149" s="98"/>
      <c r="G149" s="99"/>
    </row>
    <row r="150" spans="1:7" ht="12.75" customHeight="1" x14ac:dyDescent="0.2">
      <c r="A150" s="116" t="s">
        <v>65</v>
      </c>
      <c r="B150" s="173" t="s">
        <v>67</v>
      </c>
      <c r="C150" s="174"/>
      <c r="D150" s="175"/>
      <c r="E150" s="117"/>
      <c r="F150" s="117"/>
      <c r="G150" s="118"/>
    </row>
    <row r="151" spans="1:7" ht="38.25" customHeight="1" x14ac:dyDescent="0.2">
      <c r="A151" s="116" t="s">
        <v>65</v>
      </c>
      <c r="B151" s="173" t="s">
        <v>106</v>
      </c>
      <c r="C151" s="174"/>
      <c r="D151" s="175"/>
      <c r="E151" s="117" t="s">
        <v>107</v>
      </c>
      <c r="F151" s="117"/>
      <c r="G151" s="118"/>
    </row>
    <row r="152" spans="1:7" ht="15.75" customHeight="1" x14ac:dyDescent="0.2">
      <c r="A152" s="116" t="s">
        <v>65</v>
      </c>
      <c r="B152" s="185" t="s">
        <v>70</v>
      </c>
      <c r="C152" s="186"/>
      <c r="D152" s="187"/>
      <c r="E152" s="119"/>
      <c r="F152" s="119"/>
      <c r="G152" s="120"/>
    </row>
    <row r="153" spans="1:7" ht="12.75" customHeight="1" x14ac:dyDescent="0.2">
      <c r="A153" s="121" t="s">
        <v>65</v>
      </c>
      <c r="B153" s="176" t="s">
        <v>71</v>
      </c>
      <c r="C153" s="177"/>
      <c r="D153" s="178"/>
      <c r="E153" s="123">
        <v>1</v>
      </c>
      <c r="F153" s="122"/>
      <c r="G153" s="124"/>
    </row>
    <row r="154" spans="1:7" ht="165.75" customHeight="1" x14ac:dyDescent="0.2">
      <c r="A154" s="129" t="s">
        <v>317</v>
      </c>
      <c r="B154" s="179" t="s">
        <v>318</v>
      </c>
      <c r="C154" s="180"/>
      <c r="D154" s="181"/>
      <c r="E154" s="130" t="s">
        <v>319</v>
      </c>
      <c r="F154" s="130" t="s">
        <v>320</v>
      </c>
      <c r="G154" s="131">
        <f>ROUND(0.0467  * 4 * 51.69,3)</f>
        <v>9.6560000000000006</v>
      </c>
    </row>
    <row r="155" spans="1:7" ht="15.75" customHeight="1" x14ac:dyDescent="0.2">
      <c r="A155" s="97" t="s">
        <v>65</v>
      </c>
      <c r="B155" s="182" t="s">
        <v>66</v>
      </c>
      <c r="C155" s="183"/>
      <c r="D155" s="184"/>
      <c r="E155" s="98"/>
      <c r="F155" s="98"/>
      <c r="G155" s="99"/>
    </row>
    <row r="156" spans="1:7" ht="12.75" customHeight="1" x14ac:dyDescent="0.2">
      <c r="A156" s="116" t="s">
        <v>65</v>
      </c>
      <c r="B156" s="173" t="s">
        <v>67</v>
      </c>
      <c r="C156" s="174"/>
      <c r="D156" s="175"/>
      <c r="E156" s="117"/>
      <c r="F156" s="117"/>
      <c r="G156" s="118"/>
    </row>
    <row r="157" spans="1:7" ht="38.25" customHeight="1" x14ac:dyDescent="0.2">
      <c r="A157" s="116" t="s">
        <v>65</v>
      </c>
      <c r="B157" s="173" t="s">
        <v>106</v>
      </c>
      <c r="C157" s="174"/>
      <c r="D157" s="175"/>
      <c r="E157" s="117" t="s">
        <v>107</v>
      </c>
      <c r="F157" s="117"/>
      <c r="G157" s="118"/>
    </row>
    <row r="158" spans="1:7" ht="15.75" customHeight="1" x14ac:dyDescent="0.2">
      <c r="A158" s="116" t="s">
        <v>65</v>
      </c>
      <c r="B158" s="185" t="s">
        <v>70</v>
      </c>
      <c r="C158" s="186"/>
      <c r="D158" s="187"/>
      <c r="E158" s="119"/>
      <c r="F158" s="119"/>
      <c r="G158" s="120"/>
    </row>
    <row r="159" spans="1:7" ht="12.75" customHeight="1" x14ac:dyDescent="0.2">
      <c r="A159" s="121" t="s">
        <v>65</v>
      </c>
      <c r="B159" s="176" t="s">
        <v>71</v>
      </c>
      <c r="C159" s="177"/>
      <c r="D159" s="178"/>
      <c r="E159" s="123">
        <v>1</v>
      </c>
      <c r="F159" s="122"/>
      <c r="G159" s="124"/>
    </row>
    <row r="160" spans="1:7" ht="25.5" customHeight="1" x14ac:dyDescent="0.2">
      <c r="A160" s="132" t="s">
        <v>321</v>
      </c>
      <c r="B160" s="166" t="s">
        <v>173</v>
      </c>
      <c r="C160" s="167"/>
      <c r="D160" s="168"/>
      <c r="E160" s="133"/>
      <c r="F160" s="133"/>
      <c r="G160" s="134">
        <f>ROUND((SUM($G$78:$G$154)),3)</f>
        <v>229.97200000000001</v>
      </c>
    </row>
    <row r="161" spans="1:7" ht="25.5" customHeight="1" x14ac:dyDescent="0.2">
      <c r="A161" s="132" t="s">
        <v>322</v>
      </c>
      <c r="B161" s="166" t="s">
        <v>175</v>
      </c>
      <c r="C161" s="167"/>
      <c r="D161" s="168"/>
      <c r="E161" s="133"/>
      <c r="F161" s="133"/>
      <c r="G161" s="134">
        <f>ROUND(($G$160),3)</f>
        <v>229.97200000000001</v>
      </c>
    </row>
    <row r="162" spans="1:7" ht="12.75" customHeight="1" x14ac:dyDescent="0.2">
      <c r="A162" s="132" t="s">
        <v>87</v>
      </c>
      <c r="B162" s="166" t="s">
        <v>59</v>
      </c>
      <c r="C162" s="167"/>
      <c r="D162" s="168"/>
      <c r="E162" s="133" t="s">
        <v>23</v>
      </c>
      <c r="F162" s="133"/>
      <c r="G162" s="135"/>
    </row>
    <row r="163" spans="1:7" ht="165.75" customHeight="1" x14ac:dyDescent="0.2">
      <c r="A163" s="129" t="s">
        <v>89</v>
      </c>
      <c r="B163" s="179" t="s">
        <v>250</v>
      </c>
      <c r="C163" s="180"/>
      <c r="D163" s="181"/>
      <c r="E163" s="130" t="s">
        <v>323</v>
      </c>
      <c r="F163" s="130" t="s">
        <v>324</v>
      </c>
      <c r="G163" s="131">
        <f>ROUND(0.00241  * 0 * 51.69 * 1.1,3)</f>
        <v>0</v>
      </c>
    </row>
    <row r="164" spans="1:7" ht="15.75" customHeight="1" x14ac:dyDescent="0.2">
      <c r="A164" s="97" t="s">
        <v>65</v>
      </c>
      <c r="B164" s="182" t="s">
        <v>66</v>
      </c>
      <c r="C164" s="183"/>
      <c r="D164" s="184"/>
      <c r="E164" s="98"/>
      <c r="F164" s="98"/>
      <c r="G164" s="99"/>
    </row>
    <row r="165" spans="1:7" ht="12.75" customHeight="1" x14ac:dyDescent="0.2">
      <c r="A165" s="116" t="s">
        <v>65</v>
      </c>
      <c r="B165" s="173" t="s">
        <v>67</v>
      </c>
      <c r="C165" s="174"/>
      <c r="D165" s="175"/>
      <c r="E165" s="117"/>
      <c r="F165" s="117"/>
      <c r="G165" s="118"/>
    </row>
    <row r="166" spans="1:7" ht="38.25" customHeight="1" x14ac:dyDescent="0.2">
      <c r="A166" s="116" t="s">
        <v>65</v>
      </c>
      <c r="B166" s="173" t="s">
        <v>106</v>
      </c>
      <c r="C166" s="174"/>
      <c r="D166" s="175"/>
      <c r="E166" s="117" t="s">
        <v>107</v>
      </c>
      <c r="F166" s="117"/>
      <c r="G166" s="118"/>
    </row>
    <row r="167" spans="1:7" ht="76.5" customHeight="1" x14ac:dyDescent="0.2">
      <c r="A167" s="116" t="s">
        <v>65</v>
      </c>
      <c r="B167" s="173" t="s">
        <v>253</v>
      </c>
      <c r="C167" s="174"/>
      <c r="D167" s="175"/>
      <c r="E167" s="117" t="s">
        <v>254</v>
      </c>
      <c r="F167" s="117"/>
      <c r="G167" s="118"/>
    </row>
    <row r="168" spans="1:7" ht="15.75" customHeight="1" x14ac:dyDescent="0.2">
      <c r="A168" s="116" t="s">
        <v>65</v>
      </c>
      <c r="B168" s="185" t="s">
        <v>70</v>
      </c>
      <c r="C168" s="186"/>
      <c r="D168" s="187"/>
      <c r="E168" s="119"/>
      <c r="F168" s="119"/>
      <c r="G168" s="120"/>
    </row>
    <row r="169" spans="1:7" ht="12.75" customHeight="1" x14ac:dyDescent="0.2">
      <c r="A169" s="121" t="s">
        <v>65</v>
      </c>
      <c r="B169" s="176" t="s">
        <v>71</v>
      </c>
      <c r="C169" s="177"/>
      <c r="D169" s="178"/>
      <c r="E169" s="123">
        <v>1</v>
      </c>
      <c r="F169" s="122"/>
      <c r="G169" s="124"/>
    </row>
    <row r="170" spans="1:7" ht="242.25" customHeight="1" x14ac:dyDescent="0.2">
      <c r="A170" s="129" t="s">
        <v>93</v>
      </c>
      <c r="B170" s="179" t="s">
        <v>255</v>
      </c>
      <c r="C170" s="180"/>
      <c r="D170" s="181"/>
      <c r="E170" s="130" t="s">
        <v>325</v>
      </c>
      <c r="F170" s="130" t="s">
        <v>326</v>
      </c>
      <c r="G170" s="131">
        <f>ROUND(0.0075  * 9 * 51.69 * 1.3,3)</f>
        <v>4.5359999999999996</v>
      </c>
    </row>
    <row r="171" spans="1:7" ht="15.75" customHeight="1" x14ac:dyDescent="0.2">
      <c r="A171" s="97" t="s">
        <v>65</v>
      </c>
      <c r="B171" s="182" t="s">
        <v>66</v>
      </c>
      <c r="C171" s="183"/>
      <c r="D171" s="184"/>
      <c r="E171" s="98"/>
      <c r="F171" s="98"/>
      <c r="G171" s="99"/>
    </row>
    <row r="172" spans="1:7" ht="12.75" customHeight="1" x14ac:dyDescent="0.2">
      <c r="A172" s="116" t="s">
        <v>65</v>
      </c>
      <c r="B172" s="173" t="s">
        <v>67</v>
      </c>
      <c r="C172" s="174"/>
      <c r="D172" s="175"/>
      <c r="E172" s="117"/>
      <c r="F172" s="117"/>
      <c r="G172" s="118"/>
    </row>
    <row r="173" spans="1:7" ht="38.25" customHeight="1" x14ac:dyDescent="0.2">
      <c r="A173" s="116" t="s">
        <v>65</v>
      </c>
      <c r="B173" s="173" t="s">
        <v>106</v>
      </c>
      <c r="C173" s="174"/>
      <c r="D173" s="175"/>
      <c r="E173" s="117" t="s">
        <v>107</v>
      </c>
      <c r="F173" s="117"/>
      <c r="G173" s="118"/>
    </row>
    <row r="174" spans="1:7" ht="63.75" customHeight="1" x14ac:dyDescent="0.2">
      <c r="A174" s="116" t="s">
        <v>65</v>
      </c>
      <c r="B174" s="173" t="s">
        <v>258</v>
      </c>
      <c r="C174" s="174"/>
      <c r="D174" s="175"/>
      <c r="E174" s="117" t="s">
        <v>259</v>
      </c>
      <c r="F174" s="117"/>
      <c r="G174" s="118"/>
    </row>
    <row r="175" spans="1:7" ht="15.75" customHeight="1" x14ac:dyDescent="0.2">
      <c r="A175" s="116" t="s">
        <v>65</v>
      </c>
      <c r="B175" s="185" t="s">
        <v>70</v>
      </c>
      <c r="C175" s="186"/>
      <c r="D175" s="187"/>
      <c r="E175" s="119"/>
      <c r="F175" s="119"/>
      <c r="G175" s="120"/>
    </row>
    <row r="176" spans="1:7" ht="12.75" customHeight="1" x14ac:dyDescent="0.2">
      <c r="A176" s="121" t="s">
        <v>65</v>
      </c>
      <c r="B176" s="176" t="s">
        <v>71</v>
      </c>
      <c r="C176" s="177"/>
      <c r="D176" s="178"/>
      <c r="E176" s="123">
        <v>1</v>
      </c>
      <c r="F176" s="122"/>
      <c r="G176" s="124"/>
    </row>
    <row r="177" spans="1:7" ht="114.75" customHeight="1" x14ac:dyDescent="0.2">
      <c r="A177" s="129" t="s">
        <v>181</v>
      </c>
      <c r="B177" s="179" t="s">
        <v>260</v>
      </c>
      <c r="C177" s="180"/>
      <c r="D177" s="181"/>
      <c r="E177" s="130" t="s">
        <v>327</v>
      </c>
      <c r="F177" s="130" t="s">
        <v>328</v>
      </c>
      <c r="G177" s="131">
        <f>ROUND(0.0148  * 30 * 51.69,3)</f>
        <v>22.95</v>
      </c>
    </row>
    <row r="178" spans="1:7" ht="15.75" customHeight="1" x14ac:dyDescent="0.2">
      <c r="A178" s="97" t="s">
        <v>65</v>
      </c>
      <c r="B178" s="182" t="s">
        <v>66</v>
      </c>
      <c r="C178" s="183"/>
      <c r="D178" s="184"/>
      <c r="E178" s="98"/>
      <c r="F178" s="98"/>
      <c r="G178" s="99"/>
    </row>
    <row r="179" spans="1:7" ht="12.75" customHeight="1" x14ac:dyDescent="0.2">
      <c r="A179" s="116" t="s">
        <v>65</v>
      </c>
      <c r="B179" s="173" t="s">
        <v>67</v>
      </c>
      <c r="C179" s="174"/>
      <c r="D179" s="175"/>
      <c r="E179" s="117"/>
      <c r="F179" s="117"/>
      <c r="G179" s="118"/>
    </row>
    <row r="180" spans="1:7" ht="38.25" customHeight="1" x14ac:dyDescent="0.2">
      <c r="A180" s="116" t="s">
        <v>65</v>
      </c>
      <c r="B180" s="173" t="s">
        <v>106</v>
      </c>
      <c r="C180" s="174"/>
      <c r="D180" s="175"/>
      <c r="E180" s="117" t="s">
        <v>107</v>
      </c>
      <c r="F180" s="117"/>
      <c r="G180" s="118"/>
    </row>
    <row r="181" spans="1:7" ht="15.75" customHeight="1" x14ac:dyDescent="0.2">
      <c r="A181" s="116" t="s">
        <v>65</v>
      </c>
      <c r="B181" s="185" t="s">
        <v>70</v>
      </c>
      <c r="C181" s="186"/>
      <c r="D181" s="187"/>
      <c r="E181" s="119"/>
      <c r="F181" s="119"/>
      <c r="G181" s="120"/>
    </row>
    <row r="182" spans="1:7" ht="12.75" customHeight="1" x14ac:dyDescent="0.2">
      <c r="A182" s="121" t="s">
        <v>65</v>
      </c>
      <c r="B182" s="176" t="s">
        <v>71</v>
      </c>
      <c r="C182" s="177"/>
      <c r="D182" s="178"/>
      <c r="E182" s="123">
        <v>1</v>
      </c>
      <c r="F182" s="122"/>
      <c r="G182" s="124"/>
    </row>
    <row r="183" spans="1:7" ht="267.75" customHeight="1" x14ac:dyDescent="0.2">
      <c r="A183" s="129" t="s">
        <v>185</v>
      </c>
      <c r="B183" s="179" t="s">
        <v>111</v>
      </c>
      <c r="C183" s="180"/>
      <c r="D183" s="181"/>
      <c r="E183" s="130" t="s">
        <v>329</v>
      </c>
      <c r="F183" s="130" t="s">
        <v>330</v>
      </c>
      <c r="G183" s="131">
        <f>ROUND(0.0021  * 2.2 * 51.69 * 1.1 * 1.3,3)</f>
        <v>0.34100000000000003</v>
      </c>
    </row>
    <row r="184" spans="1:7" ht="15.75" customHeight="1" x14ac:dyDescent="0.2">
      <c r="A184" s="97" t="s">
        <v>65</v>
      </c>
      <c r="B184" s="182" t="s">
        <v>66</v>
      </c>
      <c r="C184" s="183"/>
      <c r="D184" s="184"/>
      <c r="E184" s="98"/>
      <c r="F184" s="98"/>
      <c r="G184" s="99"/>
    </row>
    <row r="185" spans="1:7" ht="12.75" customHeight="1" x14ac:dyDescent="0.2">
      <c r="A185" s="116" t="s">
        <v>65</v>
      </c>
      <c r="B185" s="173" t="s">
        <v>67</v>
      </c>
      <c r="C185" s="174"/>
      <c r="D185" s="175"/>
      <c r="E185" s="117"/>
      <c r="F185" s="117"/>
      <c r="G185" s="118"/>
    </row>
    <row r="186" spans="1:7" ht="38.25" customHeight="1" x14ac:dyDescent="0.2">
      <c r="A186" s="116" t="s">
        <v>65</v>
      </c>
      <c r="B186" s="173" t="s">
        <v>106</v>
      </c>
      <c r="C186" s="174"/>
      <c r="D186" s="175"/>
      <c r="E186" s="117" t="s">
        <v>107</v>
      </c>
      <c r="F186" s="117"/>
      <c r="G186" s="118"/>
    </row>
    <row r="187" spans="1:7" ht="76.5" customHeight="1" x14ac:dyDescent="0.2">
      <c r="A187" s="116" t="s">
        <v>65</v>
      </c>
      <c r="B187" s="173" t="s">
        <v>253</v>
      </c>
      <c r="C187" s="174"/>
      <c r="D187" s="175"/>
      <c r="E187" s="117" t="s">
        <v>254</v>
      </c>
      <c r="F187" s="117"/>
      <c r="G187" s="118"/>
    </row>
    <row r="188" spans="1:7" ht="38.25" customHeight="1" x14ac:dyDescent="0.2">
      <c r="A188" s="116" t="s">
        <v>65</v>
      </c>
      <c r="B188" s="173" t="s">
        <v>267</v>
      </c>
      <c r="C188" s="174"/>
      <c r="D188" s="175"/>
      <c r="E188" s="117" t="s">
        <v>268</v>
      </c>
      <c r="F188" s="117"/>
      <c r="G188" s="118"/>
    </row>
    <row r="189" spans="1:7" ht="15.75" customHeight="1" x14ac:dyDescent="0.2">
      <c r="A189" s="116" t="s">
        <v>65</v>
      </c>
      <c r="B189" s="185" t="s">
        <v>70</v>
      </c>
      <c r="C189" s="186"/>
      <c r="D189" s="187"/>
      <c r="E189" s="119"/>
      <c r="F189" s="119"/>
      <c r="G189" s="120"/>
    </row>
    <row r="190" spans="1:7" ht="12.75" customHeight="1" x14ac:dyDescent="0.2">
      <c r="A190" s="121" t="s">
        <v>65</v>
      </c>
      <c r="B190" s="176" t="s">
        <v>71</v>
      </c>
      <c r="C190" s="177"/>
      <c r="D190" s="178"/>
      <c r="E190" s="123">
        <v>1</v>
      </c>
      <c r="F190" s="122"/>
      <c r="G190" s="124"/>
    </row>
    <row r="191" spans="1:7" ht="114.75" customHeight="1" x14ac:dyDescent="0.2">
      <c r="A191" s="129" t="s">
        <v>189</v>
      </c>
      <c r="B191" s="179" t="s">
        <v>331</v>
      </c>
      <c r="C191" s="180"/>
      <c r="D191" s="181"/>
      <c r="E191" s="130" t="s">
        <v>332</v>
      </c>
      <c r="F191" s="130" t="s">
        <v>333</v>
      </c>
      <c r="G191" s="131">
        <f>ROUND(0.2  * 1 * 51.69,3)</f>
        <v>10.337999999999999</v>
      </c>
    </row>
    <row r="192" spans="1:7" ht="15.75" customHeight="1" x14ac:dyDescent="0.2">
      <c r="A192" s="97" t="s">
        <v>65</v>
      </c>
      <c r="B192" s="182" t="s">
        <v>66</v>
      </c>
      <c r="C192" s="183"/>
      <c r="D192" s="184"/>
      <c r="E192" s="98"/>
      <c r="F192" s="98"/>
      <c r="G192" s="99"/>
    </row>
    <row r="193" spans="1:7" ht="12.75" customHeight="1" x14ac:dyDescent="0.2">
      <c r="A193" s="116" t="s">
        <v>65</v>
      </c>
      <c r="B193" s="173" t="s">
        <v>67</v>
      </c>
      <c r="C193" s="174"/>
      <c r="D193" s="175"/>
      <c r="E193" s="117"/>
      <c r="F193" s="117"/>
      <c r="G193" s="118"/>
    </row>
    <row r="194" spans="1:7" ht="38.25" customHeight="1" x14ac:dyDescent="0.2">
      <c r="A194" s="116" t="s">
        <v>65</v>
      </c>
      <c r="B194" s="173" t="s">
        <v>106</v>
      </c>
      <c r="C194" s="174"/>
      <c r="D194" s="175"/>
      <c r="E194" s="117" t="s">
        <v>107</v>
      </c>
      <c r="F194" s="117"/>
      <c r="G194" s="118"/>
    </row>
    <row r="195" spans="1:7" ht="15.75" customHeight="1" x14ac:dyDescent="0.2">
      <c r="A195" s="116" t="s">
        <v>65</v>
      </c>
      <c r="B195" s="185" t="s">
        <v>70</v>
      </c>
      <c r="C195" s="186"/>
      <c r="D195" s="187"/>
      <c r="E195" s="119"/>
      <c r="F195" s="119"/>
      <c r="G195" s="120"/>
    </row>
    <row r="196" spans="1:7" ht="12.75" customHeight="1" x14ac:dyDescent="0.2">
      <c r="A196" s="121" t="s">
        <v>65</v>
      </c>
      <c r="B196" s="176" t="s">
        <v>71</v>
      </c>
      <c r="C196" s="177"/>
      <c r="D196" s="178"/>
      <c r="E196" s="123">
        <v>1</v>
      </c>
      <c r="F196" s="122"/>
      <c r="G196" s="124"/>
    </row>
    <row r="197" spans="1:7" ht="12.75" customHeight="1" x14ac:dyDescent="0.2">
      <c r="A197" s="132" t="s">
        <v>194</v>
      </c>
      <c r="B197" s="166" t="s">
        <v>84</v>
      </c>
      <c r="C197" s="167"/>
      <c r="D197" s="168"/>
      <c r="E197" s="133"/>
      <c r="F197" s="133"/>
      <c r="G197" s="134">
        <f>ROUND((SUM($G$163:$G$191)),3)</f>
        <v>38.164999999999999</v>
      </c>
    </row>
    <row r="198" spans="1:7" ht="12.75" customHeight="1" x14ac:dyDescent="0.2">
      <c r="A198" s="132" t="s">
        <v>198</v>
      </c>
      <c r="B198" s="166" t="s">
        <v>86</v>
      </c>
      <c r="C198" s="167"/>
      <c r="D198" s="168"/>
      <c r="E198" s="133"/>
      <c r="F198" s="133"/>
      <c r="G198" s="134">
        <f>ROUND(($G$197),3)</f>
        <v>38.164999999999999</v>
      </c>
    </row>
    <row r="199" spans="1:7" ht="12.75" customHeight="1" x14ac:dyDescent="0.2">
      <c r="A199" s="132" t="s">
        <v>95</v>
      </c>
      <c r="B199" s="166" t="s">
        <v>59</v>
      </c>
      <c r="C199" s="167"/>
      <c r="D199" s="168"/>
      <c r="E199" s="133" t="s">
        <v>88</v>
      </c>
      <c r="F199" s="133"/>
      <c r="G199" s="135"/>
    </row>
    <row r="200" spans="1:7" ht="12.75" customHeight="1" x14ac:dyDescent="0.2">
      <c r="A200" s="132" t="s">
        <v>208</v>
      </c>
      <c r="B200" s="166" t="s">
        <v>94</v>
      </c>
      <c r="C200" s="167"/>
      <c r="D200" s="168"/>
      <c r="E200" s="133"/>
      <c r="F200" s="133"/>
      <c r="G200" s="134">
        <f>ROUND(0,3)</f>
        <v>0</v>
      </c>
    </row>
    <row r="201" spans="1:7" ht="12.75" customHeight="1" x14ac:dyDescent="0.2">
      <c r="A201" s="132" t="s">
        <v>97</v>
      </c>
      <c r="B201" s="166" t="s">
        <v>96</v>
      </c>
      <c r="C201" s="167"/>
      <c r="D201" s="168"/>
      <c r="E201" s="133"/>
      <c r="F201" s="133"/>
      <c r="G201" s="134">
        <f>ROUND(($G$76 + $G$161 +SUM( $G$198:$G$200)),3)</f>
        <v>396.30799999999999</v>
      </c>
    </row>
    <row r="202" spans="1:7" ht="12.75" customHeight="1" x14ac:dyDescent="0.2">
      <c r="A202" s="132" t="s">
        <v>100</v>
      </c>
      <c r="B202" s="170" t="s">
        <v>98</v>
      </c>
      <c r="C202" s="171"/>
      <c r="D202" s="172"/>
      <c r="E202" s="136"/>
      <c r="F202" s="136" t="s">
        <v>209</v>
      </c>
      <c r="G202" s="137">
        <f>ROUND(($G$201) * 20 / 100 * 1,3)</f>
        <v>79.262</v>
      </c>
    </row>
    <row r="203" spans="1:7" ht="12.75" customHeight="1" x14ac:dyDescent="0.2">
      <c r="A203" s="132" t="s">
        <v>210</v>
      </c>
      <c r="B203" s="166" t="s">
        <v>101</v>
      </c>
      <c r="C203" s="167"/>
      <c r="D203" s="168"/>
      <c r="E203" s="133"/>
      <c r="F203" s="133"/>
      <c r="G203" s="134">
        <f>ROUND((SUM($G$201:$G$202)),3)</f>
        <v>475.57</v>
      </c>
    </row>
    <row r="204" spans="1:7" ht="12.75" customHeight="1" x14ac:dyDescent="0.2">
      <c r="B204" s="169"/>
      <c r="C204" s="169"/>
      <c r="D204" s="169"/>
    </row>
  </sheetData>
  <mergeCells count="208">
    <mergeCell ref="A9:C9"/>
    <mergeCell ref="D9:G10"/>
    <mergeCell ref="B11:D11"/>
    <mergeCell ref="A1:B1"/>
    <mergeCell ref="C1:G1"/>
    <mergeCell ref="B4:F4"/>
    <mergeCell ref="B5:F5"/>
    <mergeCell ref="A7:C7"/>
    <mergeCell ref="D7:G7"/>
    <mergeCell ref="A21:A22"/>
    <mergeCell ref="B21:D22"/>
    <mergeCell ref="E21:E22"/>
    <mergeCell ref="B12:D12"/>
    <mergeCell ref="B13:D13"/>
    <mergeCell ref="B14:D14"/>
    <mergeCell ref="B15:D15"/>
    <mergeCell ref="B16:D16"/>
    <mergeCell ref="B17:D17"/>
    <mergeCell ref="F21:F22"/>
    <mergeCell ref="G21:G22"/>
    <mergeCell ref="B23:D23"/>
    <mergeCell ref="B24:D24"/>
    <mergeCell ref="B25:D25"/>
    <mergeCell ref="B26:D26"/>
    <mergeCell ref="B18:D18"/>
    <mergeCell ref="B19:D19"/>
    <mergeCell ref="B20:D20"/>
    <mergeCell ref="B33:D33"/>
    <mergeCell ref="B34:D34"/>
    <mergeCell ref="B35:D35"/>
    <mergeCell ref="B36:D36"/>
    <mergeCell ref="B37:D37"/>
    <mergeCell ref="B38:D38"/>
    <mergeCell ref="B27:D27"/>
    <mergeCell ref="B28:D28"/>
    <mergeCell ref="B29:D29"/>
    <mergeCell ref="B30:D30"/>
    <mergeCell ref="B31:D31"/>
    <mergeCell ref="B32:D32"/>
    <mergeCell ref="B45:D45"/>
    <mergeCell ref="B46:D46"/>
    <mergeCell ref="B47:D47"/>
    <mergeCell ref="B48:D48"/>
    <mergeCell ref="B49:D49"/>
    <mergeCell ref="B50:D50"/>
    <mergeCell ref="B39:D39"/>
    <mergeCell ref="B40:D40"/>
    <mergeCell ref="B41:D41"/>
    <mergeCell ref="B42:D42"/>
    <mergeCell ref="B43:D43"/>
    <mergeCell ref="B44:D44"/>
    <mergeCell ref="B57:D57"/>
    <mergeCell ref="B58:D58"/>
    <mergeCell ref="B59:D59"/>
    <mergeCell ref="B60:D60"/>
    <mergeCell ref="B61:D61"/>
    <mergeCell ref="B62:D62"/>
    <mergeCell ref="B51:D51"/>
    <mergeCell ref="B52:D52"/>
    <mergeCell ref="B53:D53"/>
    <mergeCell ref="B54:D54"/>
    <mergeCell ref="B55:D55"/>
    <mergeCell ref="B56:D56"/>
    <mergeCell ref="B69:D69"/>
    <mergeCell ref="B70:D70"/>
    <mergeCell ref="B71:D71"/>
    <mergeCell ref="B72:D72"/>
    <mergeCell ref="B73:D73"/>
    <mergeCell ref="B74:D74"/>
    <mergeCell ref="B63:D63"/>
    <mergeCell ref="B64:D64"/>
    <mergeCell ref="B65:D65"/>
    <mergeCell ref="B66:D66"/>
    <mergeCell ref="B67:D67"/>
    <mergeCell ref="B68:D68"/>
    <mergeCell ref="B81:D81"/>
    <mergeCell ref="B82:D82"/>
    <mergeCell ref="B83:D83"/>
    <mergeCell ref="B84:D84"/>
    <mergeCell ref="B85:D85"/>
    <mergeCell ref="B86:D86"/>
    <mergeCell ref="B75:D75"/>
    <mergeCell ref="B76:D76"/>
    <mergeCell ref="B77:D77"/>
    <mergeCell ref="B78:D78"/>
    <mergeCell ref="B79:D79"/>
    <mergeCell ref="B80:D80"/>
    <mergeCell ref="B93:D93"/>
    <mergeCell ref="B94:D94"/>
    <mergeCell ref="B95:D95"/>
    <mergeCell ref="B96:D96"/>
    <mergeCell ref="B97:D97"/>
    <mergeCell ref="B98:D98"/>
    <mergeCell ref="B87:D87"/>
    <mergeCell ref="B88:D88"/>
    <mergeCell ref="B89:D89"/>
    <mergeCell ref="B90:D90"/>
    <mergeCell ref="B91:D91"/>
    <mergeCell ref="B92:D92"/>
    <mergeCell ref="A105:A106"/>
    <mergeCell ref="B105:D106"/>
    <mergeCell ref="E105:E106"/>
    <mergeCell ref="F105:F106"/>
    <mergeCell ref="G105:G106"/>
    <mergeCell ref="B107:D107"/>
    <mergeCell ref="B99:D99"/>
    <mergeCell ref="B100:D100"/>
    <mergeCell ref="B101:D101"/>
    <mergeCell ref="B102:D102"/>
    <mergeCell ref="B103:D103"/>
    <mergeCell ref="B104:D104"/>
    <mergeCell ref="B114:D114"/>
    <mergeCell ref="B115:D115"/>
    <mergeCell ref="B116:D116"/>
    <mergeCell ref="B117:D117"/>
    <mergeCell ref="B118:D118"/>
    <mergeCell ref="B119:D119"/>
    <mergeCell ref="B108:D108"/>
    <mergeCell ref="B109:D109"/>
    <mergeCell ref="B110:D110"/>
    <mergeCell ref="B111:D111"/>
    <mergeCell ref="B112:D112"/>
    <mergeCell ref="B113:D113"/>
    <mergeCell ref="B126:D126"/>
    <mergeCell ref="B127:D127"/>
    <mergeCell ref="B128:D128"/>
    <mergeCell ref="B129:D129"/>
    <mergeCell ref="B130:D130"/>
    <mergeCell ref="B131:D131"/>
    <mergeCell ref="B120:D120"/>
    <mergeCell ref="B121:D121"/>
    <mergeCell ref="B122:D122"/>
    <mergeCell ref="B123:D123"/>
    <mergeCell ref="B124:D124"/>
    <mergeCell ref="B125:D125"/>
    <mergeCell ref="B138:D138"/>
    <mergeCell ref="B139:D139"/>
    <mergeCell ref="B140:D140"/>
    <mergeCell ref="B141:D141"/>
    <mergeCell ref="B142:D142"/>
    <mergeCell ref="B143:D143"/>
    <mergeCell ref="B132:D132"/>
    <mergeCell ref="B133:D133"/>
    <mergeCell ref="B134:D134"/>
    <mergeCell ref="B135:D135"/>
    <mergeCell ref="B136:D136"/>
    <mergeCell ref="B137:D137"/>
    <mergeCell ref="B150:D150"/>
    <mergeCell ref="B151:D151"/>
    <mergeCell ref="B152:D152"/>
    <mergeCell ref="B153:D153"/>
    <mergeCell ref="B154:D154"/>
    <mergeCell ref="B155:D155"/>
    <mergeCell ref="B144:D144"/>
    <mergeCell ref="B145:D145"/>
    <mergeCell ref="B146:D146"/>
    <mergeCell ref="B147:D147"/>
    <mergeCell ref="B148:D148"/>
    <mergeCell ref="B149:D149"/>
    <mergeCell ref="B162:D162"/>
    <mergeCell ref="B163:D163"/>
    <mergeCell ref="B164:D164"/>
    <mergeCell ref="B165:D165"/>
    <mergeCell ref="B166:D166"/>
    <mergeCell ref="B167:D167"/>
    <mergeCell ref="B156:D156"/>
    <mergeCell ref="B157:D157"/>
    <mergeCell ref="B158:D158"/>
    <mergeCell ref="B159:D159"/>
    <mergeCell ref="B160:D160"/>
    <mergeCell ref="B161:D161"/>
    <mergeCell ref="B174:D174"/>
    <mergeCell ref="B175:D175"/>
    <mergeCell ref="B176:D176"/>
    <mergeCell ref="B177:D177"/>
    <mergeCell ref="B178:D178"/>
    <mergeCell ref="B179:D179"/>
    <mergeCell ref="B168:D168"/>
    <mergeCell ref="B169:D169"/>
    <mergeCell ref="B170:D170"/>
    <mergeCell ref="B171:D171"/>
    <mergeCell ref="B172:D172"/>
    <mergeCell ref="B173:D173"/>
    <mergeCell ref="B186:D186"/>
    <mergeCell ref="B187:D187"/>
    <mergeCell ref="B188:D188"/>
    <mergeCell ref="B189:D189"/>
    <mergeCell ref="B190:D190"/>
    <mergeCell ref="B191:D191"/>
    <mergeCell ref="B180:D180"/>
    <mergeCell ref="B181:D181"/>
    <mergeCell ref="B182:D182"/>
    <mergeCell ref="B183:D183"/>
    <mergeCell ref="B184:D184"/>
    <mergeCell ref="B185:D185"/>
    <mergeCell ref="B204:D204"/>
    <mergeCell ref="B198:D198"/>
    <mergeCell ref="B199:D199"/>
    <mergeCell ref="B200:D200"/>
    <mergeCell ref="B201:D201"/>
    <mergeCell ref="B202:D202"/>
    <mergeCell ref="B203:D203"/>
    <mergeCell ref="B192:D192"/>
    <mergeCell ref="B193:D193"/>
    <mergeCell ref="B194:D194"/>
    <mergeCell ref="B195:D195"/>
    <mergeCell ref="B196:D196"/>
    <mergeCell ref="B197:D197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8AA16-1228-4A85-BE1A-D0AC2D6272D2}">
  <sheetPr codeName="Лист5"/>
  <dimension ref="A1:G53"/>
  <sheetViews>
    <sheetView view="pageBreakPreview" zoomScale="145" zoomScaleNormal="100" zoomScaleSheetLayoutView="145" workbookViewId="0">
      <selection activeCell="A56" sqref="A56:XFD56"/>
    </sheetView>
  </sheetViews>
  <sheetFormatPr defaultColWidth="11.5703125" defaultRowHeight="12.75" x14ac:dyDescent="0.2"/>
  <cols>
    <col min="1" max="1" width="3.7109375" style="86" customWidth="1"/>
    <col min="2" max="2" width="26.7109375" style="86" customWidth="1"/>
    <col min="3" max="3" width="7.7109375" style="86" customWidth="1"/>
    <col min="4" max="4" width="5" style="86" customWidth="1"/>
    <col min="5" max="5" width="27.7109375" style="86" customWidth="1"/>
    <col min="6" max="6" width="14.42578125" style="86" customWidth="1"/>
    <col min="7" max="7" width="11.5703125" style="86"/>
    <col min="8" max="256" width="11.5703125" style="79"/>
    <col min="257" max="257" width="3.7109375" style="79" customWidth="1"/>
    <col min="258" max="258" width="26.7109375" style="79" customWidth="1"/>
    <col min="259" max="259" width="7.7109375" style="79" customWidth="1"/>
    <col min="260" max="260" width="5" style="79" customWidth="1"/>
    <col min="261" max="261" width="27.7109375" style="79" customWidth="1"/>
    <col min="262" max="262" width="14.42578125" style="79" customWidth="1"/>
    <col min="263" max="512" width="11.5703125" style="79"/>
    <col min="513" max="513" width="3.7109375" style="79" customWidth="1"/>
    <col min="514" max="514" width="26.7109375" style="79" customWidth="1"/>
    <col min="515" max="515" width="7.7109375" style="79" customWidth="1"/>
    <col min="516" max="516" width="5" style="79" customWidth="1"/>
    <col min="517" max="517" width="27.7109375" style="79" customWidth="1"/>
    <col min="518" max="518" width="14.42578125" style="79" customWidth="1"/>
    <col min="519" max="768" width="11.5703125" style="79"/>
    <col min="769" max="769" width="3.7109375" style="79" customWidth="1"/>
    <col min="770" max="770" width="26.7109375" style="79" customWidth="1"/>
    <col min="771" max="771" width="7.7109375" style="79" customWidth="1"/>
    <col min="772" max="772" width="5" style="79" customWidth="1"/>
    <col min="773" max="773" width="27.7109375" style="79" customWidth="1"/>
    <col min="774" max="774" width="14.42578125" style="79" customWidth="1"/>
    <col min="775" max="1024" width="11.5703125" style="79"/>
    <col min="1025" max="1025" width="3.7109375" style="79" customWidth="1"/>
    <col min="1026" max="1026" width="26.7109375" style="79" customWidth="1"/>
    <col min="1027" max="1027" width="7.7109375" style="79" customWidth="1"/>
    <col min="1028" max="1028" width="5" style="79" customWidth="1"/>
    <col min="1029" max="1029" width="27.7109375" style="79" customWidth="1"/>
    <col min="1030" max="1030" width="14.42578125" style="79" customWidth="1"/>
    <col min="1031" max="1280" width="11.5703125" style="79"/>
    <col min="1281" max="1281" width="3.7109375" style="79" customWidth="1"/>
    <col min="1282" max="1282" width="26.7109375" style="79" customWidth="1"/>
    <col min="1283" max="1283" width="7.7109375" style="79" customWidth="1"/>
    <col min="1284" max="1284" width="5" style="79" customWidth="1"/>
    <col min="1285" max="1285" width="27.7109375" style="79" customWidth="1"/>
    <col min="1286" max="1286" width="14.42578125" style="79" customWidth="1"/>
    <col min="1287" max="1536" width="11.5703125" style="79"/>
    <col min="1537" max="1537" width="3.7109375" style="79" customWidth="1"/>
    <col min="1538" max="1538" width="26.7109375" style="79" customWidth="1"/>
    <col min="1539" max="1539" width="7.7109375" style="79" customWidth="1"/>
    <col min="1540" max="1540" width="5" style="79" customWidth="1"/>
    <col min="1541" max="1541" width="27.7109375" style="79" customWidth="1"/>
    <col min="1542" max="1542" width="14.42578125" style="79" customWidth="1"/>
    <col min="1543" max="1792" width="11.5703125" style="79"/>
    <col min="1793" max="1793" width="3.7109375" style="79" customWidth="1"/>
    <col min="1794" max="1794" width="26.7109375" style="79" customWidth="1"/>
    <col min="1795" max="1795" width="7.7109375" style="79" customWidth="1"/>
    <col min="1796" max="1796" width="5" style="79" customWidth="1"/>
    <col min="1797" max="1797" width="27.7109375" style="79" customWidth="1"/>
    <col min="1798" max="1798" width="14.42578125" style="79" customWidth="1"/>
    <col min="1799" max="2048" width="11.5703125" style="79"/>
    <col min="2049" max="2049" width="3.7109375" style="79" customWidth="1"/>
    <col min="2050" max="2050" width="26.7109375" style="79" customWidth="1"/>
    <col min="2051" max="2051" width="7.7109375" style="79" customWidth="1"/>
    <col min="2052" max="2052" width="5" style="79" customWidth="1"/>
    <col min="2053" max="2053" width="27.7109375" style="79" customWidth="1"/>
    <col min="2054" max="2054" width="14.42578125" style="79" customWidth="1"/>
    <col min="2055" max="2304" width="11.5703125" style="79"/>
    <col min="2305" max="2305" width="3.7109375" style="79" customWidth="1"/>
    <col min="2306" max="2306" width="26.7109375" style="79" customWidth="1"/>
    <col min="2307" max="2307" width="7.7109375" style="79" customWidth="1"/>
    <col min="2308" max="2308" width="5" style="79" customWidth="1"/>
    <col min="2309" max="2309" width="27.7109375" style="79" customWidth="1"/>
    <col min="2310" max="2310" width="14.42578125" style="79" customWidth="1"/>
    <col min="2311" max="2560" width="11.5703125" style="79"/>
    <col min="2561" max="2561" width="3.7109375" style="79" customWidth="1"/>
    <col min="2562" max="2562" width="26.7109375" style="79" customWidth="1"/>
    <col min="2563" max="2563" width="7.7109375" style="79" customWidth="1"/>
    <col min="2564" max="2564" width="5" style="79" customWidth="1"/>
    <col min="2565" max="2565" width="27.7109375" style="79" customWidth="1"/>
    <col min="2566" max="2566" width="14.42578125" style="79" customWidth="1"/>
    <col min="2567" max="2816" width="11.5703125" style="79"/>
    <col min="2817" max="2817" width="3.7109375" style="79" customWidth="1"/>
    <col min="2818" max="2818" width="26.7109375" style="79" customWidth="1"/>
    <col min="2819" max="2819" width="7.7109375" style="79" customWidth="1"/>
    <col min="2820" max="2820" width="5" style="79" customWidth="1"/>
    <col min="2821" max="2821" width="27.7109375" style="79" customWidth="1"/>
    <col min="2822" max="2822" width="14.42578125" style="79" customWidth="1"/>
    <col min="2823" max="3072" width="11.5703125" style="79"/>
    <col min="3073" max="3073" width="3.7109375" style="79" customWidth="1"/>
    <col min="3074" max="3074" width="26.7109375" style="79" customWidth="1"/>
    <col min="3075" max="3075" width="7.7109375" style="79" customWidth="1"/>
    <col min="3076" max="3076" width="5" style="79" customWidth="1"/>
    <col min="3077" max="3077" width="27.7109375" style="79" customWidth="1"/>
    <col min="3078" max="3078" width="14.42578125" style="79" customWidth="1"/>
    <col min="3079" max="3328" width="11.5703125" style="79"/>
    <col min="3329" max="3329" width="3.7109375" style="79" customWidth="1"/>
    <col min="3330" max="3330" width="26.7109375" style="79" customWidth="1"/>
    <col min="3331" max="3331" width="7.7109375" style="79" customWidth="1"/>
    <col min="3332" max="3332" width="5" style="79" customWidth="1"/>
    <col min="3333" max="3333" width="27.7109375" style="79" customWidth="1"/>
    <col min="3334" max="3334" width="14.42578125" style="79" customWidth="1"/>
    <col min="3335" max="3584" width="11.5703125" style="79"/>
    <col min="3585" max="3585" width="3.7109375" style="79" customWidth="1"/>
    <col min="3586" max="3586" width="26.7109375" style="79" customWidth="1"/>
    <col min="3587" max="3587" width="7.7109375" style="79" customWidth="1"/>
    <col min="3588" max="3588" width="5" style="79" customWidth="1"/>
    <col min="3589" max="3589" width="27.7109375" style="79" customWidth="1"/>
    <col min="3590" max="3590" width="14.42578125" style="79" customWidth="1"/>
    <col min="3591" max="3840" width="11.5703125" style="79"/>
    <col min="3841" max="3841" width="3.7109375" style="79" customWidth="1"/>
    <col min="3842" max="3842" width="26.7109375" style="79" customWidth="1"/>
    <col min="3843" max="3843" width="7.7109375" style="79" customWidth="1"/>
    <col min="3844" max="3844" width="5" style="79" customWidth="1"/>
    <col min="3845" max="3845" width="27.7109375" style="79" customWidth="1"/>
    <col min="3846" max="3846" width="14.42578125" style="79" customWidth="1"/>
    <col min="3847" max="4096" width="11.5703125" style="79"/>
    <col min="4097" max="4097" width="3.7109375" style="79" customWidth="1"/>
    <col min="4098" max="4098" width="26.7109375" style="79" customWidth="1"/>
    <col min="4099" max="4099" width="7.7109375" style="79" customWidth="1"/>
    <col min="4100" max="4100" width="5" style="79" customWidth="1"/>
    <col min="4101" max="4101" width="27.7109375" style="79" customWidth="1"/>
    <col min="4102" max="4102" width="14.42578125" style="79" customWidth="1"/>
    <col min="4103" max="4352" width="11.5703125" style="79"/>
    <col min="4353" max="4353" width="3.7109375" style="79" customWidth="1"/>
    <col min="4354" max="4354" width="26.7109375" style="79" customWidth="1"/>
    <col min="4355" max="4355" width="7.7109375" style="79" customWidth="1"/>
    <col min="4356" max="4356" width="5" style="79" customWidth="1"/>
    <col min="4357" max="4357" width="27.7109375" style="79" customWidth="1"/>
    <col min="4358" max="4358" width="14.42578125" style="79" customWidth="1"/>
    <col min="4359" max="4608" width="11.5703125" style="79"/>
    <col min="4609" max="4609" width="3.7109375" style="79" customWidth="1"/>
    <col min="4610" max="4610" width="26.7109375" style="79" customWidth="1"/>
    <col min="4611" max="4611" width="7.7109375" style="79" customWidth="1"/>
    <col min="4612" max="4612" width="5" style="79" customWidth="1"/>
    <col min="4613" max="4613" width="27.7109375" style="79" customWidth="1"/>
    <col min="4614" max="4614" width="14.42578125" style="79" customWidth="1"/>
    <col min="4615" max="4864" width="11.5703125" style="79"/>
    <col min="4865" max="4865" width="3.7109375" style="79" customWidth="1"/>
    <col min="4866" max="4866" width="26.7109375" style="79" customWidth="1"/>
    <col min="4867" max="4867" width="7.7109375" style="79" customWidth="1"/>
    <col min="4868" max="4868" width="5" style="79" customWidth="1"/>
    <col min="4869" max="4869" width="27.7109375" style="79" customWidth="1"/>
    <col min="4870" max="4870" width="14.42578125" style="79" customWidth="1"/>
    <col min="4871" max="5120" width="11.5703125" style="79"/>
    <col min="5121" max="5121" width="3.7109375" style="79" customWidth="1"/>
    <col min="5122" max="5122" width="26.7109375" style="79" customWidth="1"/>
    <col min="5123" max="5123" width="7.7109375" style="79" customWidth="1"/>
    <col min="5124" max="5124" width="5" style="79" customWidth="1"/>
    <col min="5125" max="5125" width="27.7109375" style="79" customWidth="1"/>
    <col min="5126" max="5126" width="14.42578125" style="79" customWidth="1"/>
    <col min="5127" max="5376" width="11.5703125" style="79"/>
    <col min="5377" max="5377" width="3.7109375" style="79" customWidth="1"/>
    <col min="5378" max="5378" width="26.7109375" style="79" customWidth="1"/>
    <col min="5379" max="5379" width="7.7109375" style="79" customWidth="1"/>
    <col min="5380" max="5380" width="5" style="79" customWidth="1"/>
    <col min="5381" max="5381" width="27.7109375" style="79" customWidth="1"/>
    <col min="5382" max="5382" width="14.42578125" style="79" customWidth="1"/>
    <col min="5383" max="5632" width="11.5703125" style="79"/>
    <col min="5633" max="5633" width="3.7109375" style="79" customWidth="1"/>
    <col min="5634" max="5634" width="26.7109375" style="79" customWidth="1"/>
    <col min="5635" max="5635" width="7.7109375" style="79" customWidth="1"/>
    <col min="5636" max="5636" width="5" style="79" customWidth="1"/>
    <col min="5637" max="5637" width="27.7109375" style="79" customWidth="1"/>
    <col min="5638" max="5638" width="14.42578125" style="79" customWidth="1"/>
    <col min="5639" max="5888" width="11.5703125" style="79"/>
    <col min="5889" max="5889" width="3.7109375" style="79" customWidth="1"/>
    <col min="5890" max="5890" width="26.7109375" style="79" customWidth="1"/>
    <col min="5891" max="5891" width="7.7109375" style="79" customWidth="1"/>
    <col min="5892" max="5892" width="5" style="79" customWidth="1"/>
    <col min="5893" max="5893" width="27.7109375" style="79" customWidth="1"/>
    <col min="5894" max="5894" width="14.42578125" style="79" customWidth="1"/>
    <col min="5895" max="6144" width="11.5703125" style="79"/>
    <col min="6145" max="6145" width="3.7109375" style="79" customWidth="1"/>
    <col min="6146" max="6146" width="26.7109375" style="79" customWidth="1"/>
    <col min="6147" max="6147" width="7.7109375" style="79" customWidth="1"/>
    <col min="6148" max="6148" width="5" style="79" customWidth="1"/>
    <col min="6149" max="6149" width="27.7109375" style="79" customWidth="1"/>
    <col min="6150" max="6150" width="14.42578125" style="79" customWidth="1"/>
    <col min="6151" max="6400" width="11.5703125" style="79"/>
    <col min="6401" max="6401" width="3.7109375" style="79" customWidth="1"/>
    <col min="6402" max="6402" width="26.7109375" style="79" customWidth="1"/>
    <col min="6403" max="6403" width="7.7109375" style="79" customWidth="1"/>
    <col min="6404" max="6404" width="5" style="79" customWidth="1"/>
    <col min="6405" max="6405" width="27.7109375" style="79" customWidth="1"/>
    <col min="6406" max="6406" width="14.42578125" style="79" customWidth="1"/>
    <col min="6407" max="6656" width="11.5703125" style="79"/>
    <col min="6657" max="6657" width="3.7109375" style="79" customWidth="1"/>
    <col min="6658" max="6658" width="26.7109375" style="79" customWidth="1"/>
    <col min="6659" max="6659" width="7.7109375" style="79" customWidth="1"/>
    <col min="6660" max="6660" width="5" style="79" customWidth="1"/>
    <col min="6661" max="6661" width="27.7109375" style="79" customWidth="1"/>
    <col min="6662" max="6662" width="14.42578125" style="79" customWidth="1"/>
    <col min="6663" max="6912" width="11.5703125" style="79"/>
    <col min="6913" max="6913" width="3.7109375" style="79" customWidth="1"/>
    <col min="6914" max="6914" width="26.7109375" style="79" customWidth="1"/>
    <col min="6915" max="6915" width="7.7109375" style="79" customWidth="1"/>
    <col min="6916" max="6916" width="5" style="79" customWidth="1"/>
    <col min="6917" max="6917" width="27.7109375" style="79" customWidth="1"/>
    <col min="6918" max="6918" width="14.42578125" style="79" customWidth="1"/>
    <col min="6919" max="7168" width="11.5703125" style="79"/>
    <col min="7169" max="7169" width="3.7109375" style="79" customWidth="1"/>
    <col min="7170" max="7170" width="26.7109375" style="79" customWidth="1"/>
    <col min="7171" max="7171" width="7.7109375" style="79" customWidth="1"/>
    <col min="7172" max="7172" width="5" style="79" customWidth="1"/>
    <col min="7173" max="7173" width="27.7109375" style="79" customWidth="1"/>
    <col min="7174" max="7174" width="14.42578125" style="79" customWidth="1"/>
    <col min="7175" max="7424" width="11.5703125" style="79"/>
    <col min="7425" max="7425" width="3.7109375" style="79" customWidth="1"/>
    <col min="7426" max="7426" width="26.7109375" style="79" customWidth="1"/>
    <col min="7427" max="7427" width="7.7109375" style="79" customWidth="1"/>
    <col min="7428" max="7428" width="5" style="79" customWidth="1"/>
    <col min="7429" max="7429" width="27.7109375" style="79" customWidth="1"/>
    <col min="7430" max="7430" width="14.42578125" style="79" customWidth="1"/>
    <col min="7431" max="7680" width="11.5703125" style="79"/>
    <col min="7681" max="7681" width="3.7109375" style="79" customWidth="1"/>
    <col min="7682" max="7682" width="26.7109375" style="79" customWidth="1"/>
    <col min="7683" max="7683" width="7.7109375" style="79" customWidth="1"/>
    <col min="7684" max="7684" width="5" style="79" customWidth="1"/>
    <col min="7685" max="7685" width="27.7109375" style="79" customWidth="1"/>
    <col min="7686" max="7686" width="14.42578125" style="79" customWidth="1"/>
    <col min="7687" max="7936" width="11.5703125" style="79"/>
    <col min="7937" max="7937" width="3.7109375" style="79" customWidth="1"/>
    <col min="7938" max="7938" width="26.7109375" style="79" customWidth="1"/>
    <col min="7939" max="7939" width="7.7109375" style="79" customWidth="1"/>
    <col min="7940" max="7940" width="5" style="79" customWidth="1"/>
    <col min="7941" max="7941" width="27.7109375" style="79" customWidth="1"/>
    <col min="7942" max="7942" width="14.42578125" style="79" customWidth="1"/>
    <col min="7943" max="8192" width="11.5703125" style="79"/>
    <col min="8193" max="8193" width="3.7109375" style="79" customWidth="1"/>
    <col min="8194" max="8194" width="26.7109375" style="79" customWidth="1"/>
    <col min="8195" max="8195" width="7.7109375" style="79" customWidth="1"/>
    <col min="8196" max="8196" width="5" style="79" customWidth="1"/>
    <col min="8197" max="8197" width="27.7109375" style="79" customWidth="1"/>
    <col min="8198" max="8198" width="14.42578125" style="79" customWidth="1"/>
    <col min="8199" max="8448" width="11.5703125" style="79"/>
    <col min="8449" max="8449" width="3.7109375" style="79" customWidth="1"/>
    <col min="8450" max="8450" width="26.7109375" style="79" customWidth="1"/>
    <col min="8451" max="8451" width="7.7109375" style="79" customWidth="1"/>
    <col min="8452" max="8452" width="5" style="79" customWidth="1"/>
    <col min="8453" max="8453" width="27.7109375" style="79" customWidth="1"/>
    <col min="8454" max="8454" width="14.42578125" style="79" customWidth="1"/>
    <col min="8455" max="8704" width="11.5703125" style="79"/>
    <col min="8705" max="8705" width="3.7109375" style="79" customWidth="1"/>
    <col min="8706" max="8706" width="26.7109375" style="79" customWidth="1"/>
    <col min="8707" max="8707" width="7.7109375" style="79" customWidth="1"/>
    <col min="8708" max="8708" width="5" style="79" customWidth="1"/>
    <col min="8709" max="8709" width="27.7109375" style="79" customWidth="1"/>
    <col min="8710" max="8710" width="14.42578125" style="79" customWidth="1"/>
    <col min="8711" max="8960" width="11.5703125" style="79"/>
    <col min="8961" max="8961" width="3.7109375" style="79" customWidth="1"/>
    <col min="8962" max="8962" width="26.7109375" style="79" customWidth="1"/>
    <col min="8963" max="8963" width="7.7109375" style="79" customWidth="1"/>
    <col min="8964" max="8964" width="5" style="79" customWidth="1"/>
    <col min="8965" max="8965" width="27.7109375" style="79" customWidth="1"/>
    <col min="8966" max="8966" width="14.42578125" style="79" customWidth="1"/>
    <col min="8967" max="9216" width="11.5703125" style="79"/>
    <col min="9217" max="9217" width="3.7109375" style="79" customWidth="1"/>
    <col min="9218" max="9218" width="26.7109375" style="79" customWidth="1"/>
    <col min="9219" max="9219" width="7.7109375" style="79" customWidth="1"/>
    <col min="9220" max="9220" width="5" style="79" customWidth="1"/>
    <col min="9221" max="9221" width="27.7109375" style="79" customWidth="1"/>
    <col min="9222" max="9222" width="14.42578125" style="79" customWidth="1"/>
    <col min="9223" max="9472" width="11.5703125" style="79"/>
    <col min="9473" max="9473" width="3.7109375" style="79" customWidth="1"/>
    <col min="9474" max="9474" width="26.7109375" style="79" customWidth="1"/>
    <col min="9475" max="9475" width="7.7109375" style="79" customWidth="1"/>
    <col min="9476" max="9476" width="5" style="79" customWidth="1"/>
    <col min="9477" max="9477" width="27.7109375" style="79" customWidth="1"/>
    <col min="9478" max="9478" width="14.42578125" style="79" customWidth="1"/>
    <col min="9479" max="9728" width="11.5703125" style="79"/>
    <col min="9729" max="9729" width="3.7109375" style="79" customWidth="1"/>
    <col min="9730" max="9730" width="26.7109375" style="79" customWidth="1"/>
    <col min="9731" max="9731" width="7.7109375" style="79" customWidth="1"/>
    <col min="9732" max="9732" width="5" style="79" customWidth="1"/>
    <col min="9733" max="9733" width="27.7109375" style="79" customWidth="1"/>
    <col min="9734" max="9734" width="14.42578125" style="79" customWidth="1"/>
    <col min="9735" max="9984" width="11.5703125" style="79"/>
    <col min="9985" max="9985" width="3.7109375" style="79" customWidth="1"/>
    <col min="9986" max="9986" width="26.7109375" style="79" customWidth="1"/>
    <col min="9987" max="9987" width="7.7109375" style="79" customWidth="1"/>
    <col min="9988" max="9988" width="5" style="79" customWidth="1"/>
    <col min="9989" max="9989" width="27.7109375" style="79" customWidth="1"/>
    <col min="9990" max="9990" width="14.42578125" style="79" customWidth="1"/>
    <col min="9991" max="10240" width="11.5703125" style="79"/>
    <col min="10241" max="10241" width="3.7109375" style="79" customWidth="1"/>
    <col min="10242" max="10242" width="26.7109375" style="79" customWidth="1"/>
    <col min="10243" max="10243" width="7.7109375" style="79" customWidth="1"/>
    <col min="10244" max="10244" width="5" style="79" customWidth="1"/>
    <col min="10245" max="10245" width="27.7109375" style="79" customWidth="1"/>
    <col min="10246" max="10246" width="14.42578125" style="79" customWidth="1"/>
    <col min="10247" max="10496" width="11.5703125" style="79"/>
    <col min="10497" max="10497" width="3.7109375" style="79" customWidth="1"/>
    <col min="10498" max="10498" width="26.7109375" style="79" customWidth="1"/>
    <col min="10499" max="10499" width="7.7109375" style="79" customWidth="1"/>
    <col min="10500" max="10500" width="5" style="79" customWidth="1"/>
    <col min="10501" max="10501" width="27.7109375" style="79" customWidth="1"/>
    <col min="10502" max="10502" width="14.42578125" style="79" customWidth="1"/>
    <col min="10503" max="10752" width="11.5703125" style="79"/>
    <col min="10753" max="10753" width="3.7109375" style="79" customWidth="1"/>
    <col min="10754" max="10754" width="26.7109375" style="79" customWidth="1"/>
    <col min="10755" max="10755" width="7.7109375" style="79" customWidth="1"/>
    <col min="10756" max="10756" width="5" style="79" customWidth="1"/>
    <col min="10757" max="10757" width="27.7109375" style="79" customWidth="1"/>
    <col min="10758" max="10758" width="14.42578125" style="79" customWidth="1"/>
    <col min="10759" max="11008" width="11.5703125" style="79"/>
    <col min="11009" max="11009" width="3.7109375" style="79" customWidth="1"/>
    <col min="11010" max="11010" width="26.7109375" style="79" customWidth="1"/>
    <col min="11011" max="11011" width="7.7109375" style="79" customWidth="1"/>
    <col min="11012" max="11012" width="5" style="79" customWidth="1"/>
    <col min="11013" max="11013" width="27.7109375" style="79" customWidth="1"/>
    <col min="11014" max="11014" width="14.42578125" style="79" customWidth="1"/>
    <col min="11015" max="11264" width="11.5703125" style="79"/>
    <col min="11265" max="11265" width="3.7109375" style="79" customWidth="1"/>
    <col min="11266" max="11266" width="26.7109375" style="79" customWidth="1"/>
    <col min="11267" max="11267" width="7.7109375" style="79" customWidth="1"/>
    <col min="11268" max="11268" width="5" style="79" customWidth="1"/>
    <col min="11269" max="11269" width="27.7109375" style="79" customWidth="1"/>
    <col min="11270" max="11270" width="14.42578125" style="79" customWidth="1"/>
    <col min="11271" max="11520" width="11.5703125" style="79"/>
    <col min="11521" max="11521" width="3.7109375" style="79" customWidth="1"/>
    <col min="11522" max="11522" width="26.7109375" style="79" customWidth="1"/>
    <col min="11523" max="11523" width="7.7109375" style="79" customWidth="1"/>
    <col min="11524" max="11524" width="5" style="79" customWidth="1"/>
    <col min="11525" max="11525" width="27.7109375" style="79" customWidth="1"/>
    <col min="11526" max="11526" width="14.42578125" style="79" customWidth="1"/>
    <col min="11527" max="11776" width="11.5703125" style="79"/>
    <col min="11777" max="11777" width="3.7109375" style="79" customWidth="1"/>
    <col min="11778" max="11778" width="26.7109375" style="79" customWidth="1"/>
    <col min="11779" max="11779" width="7.7109375" style="79" customWidth="1"/>
    <col min="11780" max="11780" width="5" style="79" customWidth="1"/>
    <col min="11781" max="11781" width="27.7109375" style="79" customWidth="1"/>
    <col min="11782" max="11782" width="14.42578125" style="79" customWidth="1"/>
    <col min="11783" max="12032" width="11.5703125" style="79"/>
    <col min="12033" max="12033" width="3.7109375" style="79" customWidth="1"/>
    <col min="12034" max="12034" width="26.7109375" style="79" customWidth="1"/>
    <col min="12035" max="12035" width="7.7109375" style="79" customWidth="1"/>
    <col min="12036" max="12036" width="5" style="79" customWidth="1"/>
    <col min="12037" max="12037" width="27.7109375" style="79" customWidth="1"/>
    <col min="12038" max="12038" width="14.42578125" style="79" customWidth="1"/>
    <col min="12039" max="12288" width="11.5703125" style="79"/>
    <col min="12289" max="12289" width="3.7109375" style="79" customWidth="1"/>
    <col min="12290" max="12290" width="26.7109375" style="79" customWidth="1"/>
    <col min="12291" max="12291" width="7.7109375" style="79" customWidth="1"/>
    <col min="12292" max="12292" width="5" style="79" customWidth="1"/>
    <col min="12293" max="12293" width="27.7109375" style="79" customWidth="1"/>
    <col min="12294" max="12294" width="14.42578125" style="79" customWidth="1"/>
    <col min="12295" max="12544" width="11.5703125" style="79"/>
    <col min="12545" max="12545" width="3.7109375" style="79" customWidth="1"/>
    <col min="12546" max="12546" width="26.7109375" style="79" customWidth="1"/>
    <col min="12547" max="12547" width="7.7109375" style="79" customWidth="1"/>
    <col min="12548" max="12548" width="5" style="79" customWidth="1"/>
    <col min="12549" max="12549" width="27.7109375" style="79" customWidth="1"/>
    <col min="12550" max="12550" width="14.42578125" style="79" customWidth="1"/>
    <col min="12551" max="12800" width="11.5703125" style="79"/>
    <col min="12801" max="12801" width="3.7109375" style="79" customWidth="1"/>
    <col min="12802" max="12802" width="26.7109375" style="79" customWidth="1"/>
    <col min="12803" max="12803" width="7.7109375" style="79" customWidth="1"/>
    <col min="12804" max="12804" width="5" style="79" customWidth="1"/>
    <col min="12805" max="12805" width="27.7109375" style="79" customWidth="1"/>
    <col min="12806" max="12806" width="14.42578125" style="79" customWidth="1"/>
    <col min="12807" max="13056" width="11.5703125" style="79"/>
    <col min="13057" max="13057" width="3.7109375" style="79" customWidth="1"/>
    <col min="13058" max="13058" width="26.7109375" style="79" customWidth="1"/>
    <col min="13059" max="13059" width="7.7109375" style="79" customWidth="1"/>
    <col min="13060" max="13060" width="5" style="79" customWidth="1"/>
    <col min="13061" max="13061" width="27.7109375" style="79" customWidth="1"/>
    <col min="13062" max="13062" width="14.42578125" style="79" customWidth="1"/>
    <col min="13063" max="13312" width="11.5703125" style="79"/>
    <col min="13313" max="13313" width="3.7109375" style="79" customWidth="1"/>
    <col min="13314" max="13314" width="26.7109375" style="79" customWidth="1"/>
    <col min="13315" max="13315" width="7.7109375" style="79" customWidth="1"/>
    <col min="13316" max="13316" width="5" style="79" customWidth="1"/>
    <col min="13317" max="13317" width="27.7109375" style="79" customWidth="1"/>
    <col min="13318" max="13318" width="14.42578125" style="79" customWidth="1"/>
    <col min="13319" max="13568" width="11.5703125" style="79"/>
    <col min="13569" max="13569" width="3.7109375" style="79" customWidth="1"/>
    <col min="13570" max="13570" width="26.7109375" style="79" customWidth="1"/>
    <col min="13571" max="13571" width="7.7109375" style="79" customWidth="1"/>
    <col min="13572" max="13572" width="5" style="79" customWidth="1"/>
    <col min="13573" max="13573" width="27.7109375" style="79" customWidth="1"/>
    <col min="13574" max="13574" width="14.42578125" style="79" customWidth="1"/>
    <col min="13575" max="13824" width="11.5703125" style="79"/>
    <col min="13825" max="13825" width="3.7109375" style="79" customWidth="1"/>
    <col min="13826" max="13826" width="26.7109375" style="79" customWidth="1"/>
    <col min="13827" max="13827" width="7.7109375" style="79" customWidth="1"/>
    <col min="13828" max="13828" width="5" style="79" customWidth="1"/>
    <col min="13829" max="13829" width="27.7109375" style="79" customWidth="1"/>
    <col min="13830" max="13830" width="14.42578125" style="79" customWidth="1"/>
    <col min="13831" max="14080" width="11.5703125" style="79"/>
    <col min="14081" max="14081" width="3.7109375" style="79" customWidth="1"/>
    <col min="14082" max="14082" width="26.7109375" style="79" customWidth="1"/>
    <col min="14083" max="14083" width="7.7109375" style="79" customWidth="1"/>
    <col min="14084" max="14084" width="5" style="79" customWidth="1"/>
    <col min="14085" max="14085" width="27.7109375" style="79" customWidth="1"/>
    <col min="14086" max="14086" width="14.42578125" style="79" customWidth="1"/>
    <col min="14087" max="14336" width="11.5703125" style="79"/>
    <col min="14337" max="14337" width="3.7109375" style="79" customWidth="1"/>
    <col min="14338" max="14338" width="26.7109375" style="79" customWidth="1"/>
    <col min="14339" max="14339" width="7.7109375" style="79" customWidth="1"/>
    <col min="14340" max="14340" width="5" style="79" customWidth="1"/>
    <col min="14341" max="14341" width="27.7109375" style="79" customWidth="1"/>
    <col min="14342" max="14342" width="14.42578125" style="79" customWidth="1"/>
    <col min="14343" max="14592" width="11.5703125" style="79"/>
    <col min="14593" max="14593" width="3.7109375" style="79" customWidth="1"/>
    <col min="14594" max="14594" width="26.7109375" style="79" customWidth="1"/>
    <col min="14595" max="14595" width="7.7109375" style="79" customWidth="1"/>
    <col min="14596" max="14596" width="5" style="79" customWidth="1"/>
    <col min="14597" max="14597" width="27.7109375" style="79" customWidth="1"/>
    <col min="14598" max="14598" width="14.42578125" style="79" customWidth="1"/>
    <col min="14599" max="14848" width="11.5703125" style="79"/>
    <col min="14849" max="14849" width="3.7109375" style="79" customWidth="1"/>
    <col min="14850" max="14850" width="26.7109375" style="79" customWidth="1"/>
    <col min="14851" max="14851" width="7.7109375" style="79" customWidth="1"/>
    <col min="14852" max="14852" width="5" style="79" customWidth="1"/>
    <col min="14853" max="14853" width="27.7109375" style="79" customWidth="1"/>
    <col min="14854" max="14854" width="14.42578125" style="79" customWidth="1"/>
    <col min="14855" max="15104" width="11.5703125" style="79"/>
    <col min="15105" max="15105" width="3.7109375" style="79" customWidth="1"/>
    <col min="15106" max="15106" width="26.7109375" style="79" customWidth="1"/>
    <col min="15107" max="15107" width="7.7109375" style="79" customWidth="1"/>
    <col min="15108" max="15108" width="5" style="79" customWidth="1"/>
    <col min="15109" max="15109" width="27.7109375" style="79" customWidth="1"/>
    <col min="15110" max="15110" width="14.42578125" style="79" customWidth="1"/>
    <col min="15111" max="15360" width="11.5703125" style="79"/>
    <col min="15361" max="15361" width="3.7109375" style="79" customWidth="1"/>
    <col min="15362" max="15362" width="26.7109375" style="79" customWidth="1"/>
    <col min="15363" max="15363" width="7.7109375" style="79" customWidth="1"/>
    <col min="15364" max="15364" width="5" style="79" customWidth="1"/>
    <col min="15365" max="15365" width="27.7109375" style="79" customWidth="1"/>
    <col min="15366" max="15366" width="14.42578125" style="79" customWidth="1"/>
    <col min="15367" max="15616" width="11.5703125" style="79"/>
    <col min="15617" max="15617" width="3.7109375" style="79" customWidth="1"/>
    <col min="15618" max="15618" width="26.7109375" style="79" customWidth="1"/>
    <col min="15619" max="15619" width="7.7109375" style="79" customWidth="1"/>
    <col min="15620" max="15620" width="5" style="79" customWidth="1"/>
    <col min="15621" max="15621" width="27.7109375" style="79" customWidth="1"/>
    <col min="15622" max="15622" width="14.42578125" style="79" customWidth="1"/>
    <col min="15623" max="15872" width="11.5703125" style="79"/>
    <col min="15873" max="15873" width="3.7109375" style="79" customWidth="1"/>
    <col min="15874" max="15874" width="26.7109375" style="79" customWidth="1"/>
    <col min="15875" max="15875" width="7.7109375" style="79" customWidth="1"/>
    <col min="15876" max="15876" width="5" style="79" customWidth="1"/>
    <col min="15877" max="15877" width="27.7109375" style="79" customWidth="1"/>
    <col min="15878" max="15878" width="14.42578125" style="79" customWidth="1"/>
    <col min="15879" max="16128" width="11.5703125" style="79"/>
    <col min="16129" max="16129" width="3.7109375" style="79" customWidth="1"/>
    <col min="16130" max="16130" width="26.7109375" style="79" customWidth="1"/>
    <col min="16131" max="16131" width="7.7109375" style="79" customWidth="1"/>
    <col min="16132" max="16132" width="5" style="79" customWidth="1"/>
    <col min="16133" max="16133" width="27.7109375" style="79" customWidth="1"/>
    <col min="16134" max="16134" width="14.42578125" style="79" customWidth="1"/>
    <col min="16135" max="16384" width="11.5703125" style="79"/>
  </cols>
  <sheetData>
    <row r="1" spans="1:7" ht="51.2" customHeight="1" x14ac:dyDescent="0.2">
      <c r="A1" s="161" t="s">
        <v>52</v>
      </c>
      <c r="B1" s="161"/>
      <c r="C1" s="162" t="s">
        <v>102</v>
      </c>
      <c r="D1" s="162"/>
      <c r="E1" s="162"/>
      <c r="F1" s="162"/>
      <c r="G1" s="162"/>
    </row>
    <row r="2" spans="1:7" x14ac:dyDescent="0.2">
      <c r="A2" s="80"/>
      <c r="B2" s="80"/>
      <c r="C2" s="81"/>
      <c r="D2" s="81"/>
      <c r="E2" s="81"/>
      <c r="F2" s="81"/>
      <c r="G2" s="81"/>
    </row>
    <row r="3" spans="1:7" x14ac:dyDescent="0.2">
      <c r="A3" s="80"/>
      <c r="B3" s="80"/>
      <c r="C3" s="81"/>
      <c r="D3" s="81"/>
      <c r="E3" s="81"/>
      <c r="F3" s="81"/>
      <c r="G3" s="81"/>
    </row>
    <row r="4" spans="1:7" ht="12.75" customHeight="1" x14ac:dyDescent="0.2">
      <c r="A4" s="79"/>
      <c r="B4" s="163" t="s">
        <v>365</v>
      </c>
      <c r="C4" s="163"/>
      <c r="D4" s="163"/>
      <c r="E4" s="163"/>
      <c r="F4" s="163"/>
      <c r="G4" s="79"/>
    </row>
    <row r="5" spans="1:7" x14ac:dyDescent="0.2">
      <c r="A5" s="79"/>
      <c r="B5" s="164" t="s">
        <v>378</v>
      </c>
      <c r="C5" s="164"/>
      <c r="D5" s="164"/>
      <c r="E5" s="164"/>
      <c r="F5" s="164"/>
      <c r="G5" s="79"/>
    </row>
    <row r="6" spans="1:7" x14ac:dyDescent="0.2">
      <c r="A6" s="79"/>
      <c r="B6" s="79"/>
      <c r="C6" s="82"/>
      <c r="D6" s="82"/>
      <c r="E6" s="82"/>
      <c r="F6" s="79"/>
      <c r="G6" s="79"/>
    </row>
    <row r="7" spans="1:7" ht="38.25" customHeight="1" x14ac:dyDescent="0.2">
      <c r="A7" s="159" t="s">
        <v>54</v>
      </c>
      <c r="B7" s="159"/>
      <c r="C7" s="159"/>
      <c r="D7" s="165" t="str">
        <f>Геодезия!D7</f>
        <v xml:space="preserve">Строительство пристройки на 500 ученических мест к зданию школы №39 в г. Махачкала  </v>
      </c>
      <c r="E7" s="165"/>
      <c r="F7" s="165"/>
      <c r="G7" s="165"/>
    </row>
    <row r="8" spans="1:7" x14ac:dyDescent="0.2">
      <c r="A8" s="83"/>
      <c r="B8" s="83"/>
      <c r="C8" s="84"/>
      <c r="D8" s="85"/>
      <c r="E8" s="85"/>
      <c r="F8" s="85"/>
      <c r="G8" s="85"/>
    </row>
    <row r="9" spans="1:7" ht="12.75" customHeight="1" x14ac:dyDescent="0.2">
      <c r="A9" s="159" t="s">
        <v>55</v>
      </c>
      <c r="B9" s="159"/>
      <c r="C9" s="159"/>
      <c r="D9" s="160" t="s">
        <v>380</v>
      </c>
      <c r="E9" s="160"/>
      <c r="F9" s="160"/>
      <c r="G9" s="160"/>
    </row>
    <row r="10" spans="1:7" x14ac:dyDescent="0.2">
      <c r="A10" s="79"/>
      <c r="B10" s="79"/>
      <c r="C10" s="79"/>
      <c r="D10" s="160"/>
      <c r="E10" s="160"/>
      <c r="F10" s="160"/>
      <c r="G10" s="160"/>
    </row>
    <row r="11" spans="1:7" ht="32.25" customHeight="1" x14ac:dyDescent="0.2">
      <c r="A11" s="87" t="s">
        <v>56</v>
      </c>
      <c r="B11" s="203" t="s">
        <v>15</v>
      </c>
      <c r="C11" s="204"/>
      <c r="D11" s="205"/>
      <c r="E11" s="87" t="s">
        <v>18</v>
      </c>
      <c r="F11" s="87" t="s">
        <v>5</v>
      </c>
      <c r="G11" s="87" t="s">
        <v>6</v>
      </c>
    </row>
    <row r="12" spans="1:7" x14ac:dyDescent="0.2">
      <c r="A12" s="88">
        <v>1</v>
      </c>
      <c r="B12" s="197">
        <v>2</v>
      </c>
      <c r="C12" s="198"/>
      <c r="D12" s="199"/>
      <c r="E12" s="89">
        <v>3</v>
      </c>
      <c r="F12" s="89">
        <v>4</v>
      </c>
      <c r="G12" s="89">
        <v>5</v>
      </c>
    </row>
    <row r="13" spans="1:7" ht="12.75" customHeight="1" x14ac:dyDescent="0.2">
      <c r="A13" s="206" t="s">
        <v>65</v>
      </c>
      <c r="B13" s="207"/>
      <c r="C13" s="207"/>
      <c r="D13" s="207"/>
      <c r="E13" s="207"/>
      <c r="F13" s="207"/>
      <c r="G13" s="208"/>
    </row>
    <row r="14" spans="1:7" ht="25.5" customHeight="1" x14ac:dyDescent="0.2">
      <c r="A14" s="209" t="s">
        <v>334</v>
      </c>
      <c r="B14" s="210"/>
      <c r="C14" s="210"/>
      <c r="D14" s="210"/>
      <c r="E14" s="210"/>
      <c r="F14" s="210"/>
      <c r="G14" s="211"/>
    </row>
    <row r="15" spans="1:7" ht="12.75" customHeight="1" x14ac:dyDescent="0.2">
      <c r="A15" s="132" t="s">
        <v>7</v>
      </c>
      <c r="B15" s="166" t="s">
        <v>59</v>
      </c>
      <c r="C15" s="167"/>
      <c r="D15" s="168"/>
      <c r="E15" s="133" t="s">
        <v>21</v>
      </c>
      <c r="F15" s="133"/>
      <c r="G15" s="135"/>
    </row>
    <row r="16" spans="1:7" ht="165.75" customHeight="1" x14ac:dyDescent="0.2">
      <c r="A16" s="129" t="s">
        <v>60</v>
      </c>
      <c r="B16" s="179" t="s">
        <v>335</v>
      </c>
      <c r="C16" s="180"/>
      <c r="D16" s="181"/>
      <c r="E16" s="130" t="s">
        <v>336</v>
      </c>
      <c r="F16" s="130" t="s">
        <v>337</v>
      </c>
      <c r="G16" s="138">
        <f>ROUND(24  * 1 * 51.69/1000,2)</f>
        <v>1.24</v>
      </c>
    </row>
    <row r="17" spans="1:7" ht="15.75" customHeight="1" x14ac:dyDescent="0.2">
      <c r="A17" s="97" t="s">
        <v>65</v>
      </c>
      <c r="B17" s="182" t="s">
        <v>66</v>
      </c>
      <c r="C17" s="183"/>
      <c r="D17" s="184"/>
      <c r="E17" s="98"/>
      <c r="F17" s="98"/>
      <c r="G17" s="99"/>
    </row>
    <row r="18" spans="1:7" ht="38.25" customHeight="1" x14ac:dyDescent="0.2">
      <c r="A18" s="121" t="s">
        <v>65</v>
      </c>
      <c r="B18" s="176"/>
      <c r="C18" s="177"/>
      <c r="D18" s="178"/>
      <c r="E18" s="122" t="s">
        <v>107</v>
      </c>
      <c r="F18" s="122"/>
      <c r="G18" s="124"/>
    </row>
    <row r="19" spans="1:7" ht="165.75" customHeight="1" x14ac:dyDescent="0.2">
      <c r="A19" s="129" t="s">
        <v>72</v>
      </c>
      <c r="B19" s="179" t="s">
        <v>338</v>
      </c>
      <c r="C19" s="180"/>
      <c r="D19" s="181"/>
      <c r="E19" s="130" t="s">
        <v>339</v>
      </c>
      <c r="F19" s="130" t="s">
        <v>340</v>
      </c>
      <c r="G19" s="138">
        <f>ROUND(33  * 3 * 51.69/1000,2)</f>
        <v>5.12</v>
      </c>
    </row>
    <row r="20" spans="1:7" ht="15.75" customHeight="1" x14ac:dyDescent="0.2">
      <c r="A20" s="97" t="s">
        <v>65</v>
      </c>
      <c r="B20" s="182" t="s">
        <v>66</v>
      </c>
      <c r="C20" s="183"/>
      <c r="D20" s="184"/>
      <c r="E20" s="98"/>
      <c r="F20" s="98"/>
      <c r="G20" s="99"/>
    </row>
    <row r="21" spans="1:7" ht="38.25" customHeight="1" x14ac:dyDescent="0.2">
      <c r="A21" s="121" t="s">
        <v>65</v>
      </c>
      <c r="B21" s="176"/>
      <c r="C21" s="177"/>
      <c r="D21" s="178"/>
      <c r="E21" s="122" t="s">
        <v>107</v>
      </c>
      <c r="F21" s="122"/>
      <c r="G21" s="124"/>
    </row>
    <row r="22" spans="1:7" ht="178.5" customHeight="1" x14ac:dyDescent="0.2">
      <c r="A22" s="129" t="s">
        <v>76</v>
      </c>
      <c r="B22" s="179" t="s">
        <v>341</v>
      </c>
      <c r="C22" s="180"/>
      <c r="D22" s="181"/>
      <c r="E22" s="130" t="s">
        <v>342</v>
      </c>
      <c r="F22" s="130" t="s">
        <v>343</v>
      </c>
      <c r="G22" s="138">
        <f>ROUND(19  * 3 * 51.69/1000,2)</f>
        <v>2.95</v>
      </c>
    </row>
    <row r="23" spans="1:7" ht="15.75" customHeight="1" x14ac:dyDescent="0.2">
      <c r="A23" s="97" t="s">
        <v>65</v>
      </c>
      <c r="B23" s="182" t="s">
        <v>66</v>
      </c>
      <c r="C23" s="183"/>
      <c r="D23" s="184"/>
      <c r="E23" s="98"/>
      <c r="F23" s="98"/>
      <c r="G23" s="99"/>
    </row>
    <row r="24" spans="1:7" ht="38.25" customHeight="1" x14ac:dyDescent="0.2">
      <c r="A24" s="121" t="s">
        <v>65</v>
      </c>
      <c r="B24" s="176"/>
      <c r="C24" s="177"/>
      <c r="D24" s="178"/>
      <c r="E24" s="122" t="s">
        <v>107</v>
      </c>
      <c r="F24" s="122"/>
      <c r="G24" s="124"/>
    </row>
    <row r="25" spans="1:7" ht="204" customHeight="1" x14ac:dyDescent="0.2">
      <c r="A25" s="129" t="s">
        <v>78</v>
      </c>
      <c r="B25" s="179" t="s">
        <v>344</v>
      </c>
      <c r="C25" s="180"/>
      <c r="D25" s="181"/>
      <c r="E25" s="130" t="s">
        <v>345</v>
      </c>
      <c r="F25" s="130" t="s">
        <v>346</v>
      </c>
      <c r="G25" s="138">
        <f>ROUND(127  * 1 * 51.69/1000,2)</f>
        <v>6.56</v>
      </c>
    </row>
    <row r="26" spans="1:7" ht="15.75" customHeight="1" x14ac:dyDescent="0.2">
      <c r="A26" s="97" t="s">
        <v>65</v>
      </c>
      <c r="B26" s="182" t="s">
        <v>66</v>
      </c>
      <c r="C26" s="183"/>
      <c r="D26" s="184"/>
      <c r="E26" s="98"/>
      <c r="F26" s="98"/>
      <c r="G26" s="99"/>
    </row>
    <row r="27" spans="1:7" ht="38.25" customHeight="1" x14ac:dyDescent="0.2">
      <c r="A27" s="121" t="s">
        <v>65</v>
      </c>
      <c r="B27" s="176"/>
      <c r="C27" s="177"/>
      <c r="D27" s="178"/>
      <c r="E27" s="122" t="s">
        <v>107</v>
      </c>
      <c r="F27" s="122"/>
      <c r="G27" s="124"/>
    </row>
    <row r="28" spans="1:7" ht="191.25" customHeight="1" x14ac:dyDescent="0.2">
      <c r="A28" s="129" t="s">
        <v>117</v>
      </c>
      <c r="B28" s="179" t="s">
        <v>347</v>
      </c>
      <c r="C28" s="180"/>
      <c r="D28" s="181"/>
      <c r="E28" s="130" t="s">
        <v>348</v>
      </c>
      <c r="F28" s="130" t="s">
        <v>349</v>
      </c>
      <c r="G28" s="138">
        <f>ROUND(126  * 1 * 51.69/1000,2)</f>
        <v>6.51</v>
      </c>
    </row>
    <row r="29" spans="1:7" ht="15.75" customHeight="1" x14ac:dyDescent="0.2">
      <c r="A29" s="97" t="s">
        <v>65</v>
      </c>
      <c r="B29" s="182" t="s">
        <v>66</v>
      </c>
      <c r="C29" s="183"/>
      <c r="D29" s="184"/>
      <c r="E29" s="98"/>
      <c r="F29" s="98"/>
      <c r="G29" s="99"/>
    </row>
    <row r="30" spans="1:7" ht="38.25" customHeight="1" x14ac:dyDescent="0.2">
      <c r="A30" s="121" t="s">
        <v>65</v>
      </c>
      <c r="B30" s="176"/>
      <c r="C30" s="177"/>
      <c r="D30" s="178"/>
      <c r="E30" s="122" t="s">
        <v>107</v>
      </c>
      <c r="F30" s="122"/>
      <c r="G30" s="124"/>
    </row>
    <row r="31" spans="1:7" ht="12.75" customHeight="1" x14ac:dyDescent="0.2">
      <c r="A31" s="132" t="s">
        <v>121</v>
      </c>
      <c r="B31" s="166" t="s">
        <v>77</v>
      </c>
      <c r="C31" s="167"/>
      <c r="D31" s="168"/>
      <c r="E31" s="133"/>
      <c r="F31" s="133"/>
      <c r="G31" s="139">
        <f>ROUND((SUM($G$16:$G$28)),2)</f>
        <v>22.38</v>
      </c>
    </row>
    <row r="32" spans="1:7" ht="12.75" customHeight="1" x14ac:dyDescent="0.2">
      <c r="A32" s="132" t="s">
        <v>125</v>
      </c>
      <c r="B32" s="166" t="s">
        <v>79</v>
      </c>
      <c r="C32" s="167"/>
      <c r="D32" s="168"/>
      <c r="E32" s="133"/>
      <c r="F32" s="133"/>
      <c r="G32" s="139">
        <f>ROUND(($G$31),2)</f>
        <v>22.38</v>
      </c>
    </row>
    <row r="33" spans="1:7" ht="12.75" customHeight="1" x14ac:dyDescent="0.2">
      <c r="A33" s="132" t="s">
        <v>10</v>
      </c>
      <c r="B33" s="166" t="s">
        <v>59</v>
      </c>
      <c r="C33" s="167"/>
      <c r="D33" s="168"/>
      <c r="E33" s="133" t="s">
        <v>23</v>
      </c>
      <c r="F33" s="133"/>
      <c r="G33" s="135"/>
    </row>
    <row r="34" spans="1:7" ht="165.75" customHeight="1" x14ac:dyDescent="0.2">
      <c r="A34" s="129" t="s">
        <v>80</v>
      </c>
      <c r="B34" s="179" t="s">
        <v>335</v>
      </c>
      <c r="C34" s="180"/>
      <c r="D34" s="181"/>
      <c r="E34" s="130" t="s">
        <v>350</v>
      </c>
      <c r="F34" s="130" t="s">
        <v>351</v>
      </c>
      <c r="G34" s="138">
        <f>ROUND(8  * 1 * 51.69/1000,2)</f>
        <v>0.41</v>
      </c>
    </row>
    <row r="35" spans="1:7" ht="15.75" customHeight="1" x14ac:dyDescent="0.2">
      <c r="A35" s="97" t="s">
        <v>65</v>
      </c>
      <c r="B35" s="182" t="s">
        <v>66</v>
      </c>
      <c r="C35" s="183"/>
      <c r="D35" s="184"/>
      <c r="E35" s="98"/>
      <c r="F35" s="98"/>
      <c r="G35" s="99"/>
    </row>
    <row r="36" spans="1:7" ht="38.25" customHeight="1" x14ac:dyDescent="0.2">
      <c r="A36" s="121" t="s">
        <v>65</v>
      </c>
      <c r="B36" s="176"/>
      <c r="C36" s="177"/>
      <c r="D36" s="178"/>
      <c r="E36" s="122" t="s">
        <v>107</v>
      </c>
      <c r="F36" s="122"/>
      <c r="G36" s="124"/>
    </row>
    <row r="37" spans="1:7" ht="178.5" customHeight="1" x14ac:dyDescent="0.2">
      <c r="A37" s="129" t="s">
        <v>83</v>
      </c>
      <c r="B37" s="179" t="s">
        <v>352</v>
      </c>
      <c r="C37" s="180"/>
      <c r="D37" s="181"/>
      <c r="E37" s="130" t="s">
        <v>353</v>
      </c>
      <c r="F37" s="130" t="s">
        <v>354</v>
      </c>
      <c r="G37" s="138">
        <f>ROUND(1966  * 1 * 51.69/1000,2)</f>
        <v>101.62</v>
      </c>
    </row>
    <row r="38" spans="1:7" ht="15.75" customHeight="1" x14ac:dyDescent="0.2">
      <c r="A38" s="97" t="s">
        <v>65</v>
      </c>
      <c r="B38" s="182" t="s">
        <v>66</v>
      </c>
      <c r="C38" s="183"/>
      <c r="D38" s="184"/>
      <c r="E38" s="98"/>
      <c r="F38" s="98"/>
      <c r="G38" s="99"/>
    </row>
    <row r="39" spans="1:7" ht="38.25" customHeight="1" x14ac:dyDescent="0.2">
      <c r="A39" s="121" t="s">
        <v>65</v>
      </c>
      <c r="B39" s="176"/>
      <c r="C39" s="177"/>
      <c r="D39" s="178"/>
      <c r="E39" s="122" t="s">
        <v>107</v>
      </c>
      <c r="F39" s="122"/>
      <c r="G39" s="124"/>
    </row>
    <row r="40" spans="1:7" ht="178.5" customHeight="1" x14ac:dyDescent="0.2">
      <c r="A40" s="129" t="s">
        <v>85</v>
      </c>
      <c r="B40" s="179" t="s">
        <v>355</v>
      </c>
      <c r="C40" s="180"/>
      <c r="D40" s="181"/>
      <c r="E40" s="130" t="s">
        <v>356</v>
      </c>
      <c r="F40" s="130" t="s">
        <v>357</v>
      </c>
      <c r="G40" s="138">
        <f>ROUND(68  * 1 * 51.69/1000,2)</f>
        <v>3.51</v>
      </c>
    </row>
    <row r="41" spans="1:7" ht="15.75" customHeight="1" x14ac:dyDescent="0.2">
      <c r="A41" s="97" t="s">
        <v>65</v>
      </c>
      <c r="B41" s="182" t="s">
        <v>66</v>
      </c>
      <c r="C41" s="183"/>
      <c r="D41" s="184"/>
      <c r="E41" s="98"/>
      <c r="F41" s="98"/>
      <c r="G41" s="99"/>
    </row>
    <row r="42" spans="1:7" ht="38.25" customHeight="1" x14ac:dyDescent="0.2">
      <c r="A42" s="121" t="s">
        <v>65</v>
      </c>
      <c r="B42" s="176"/>
      <c r="C42" s="177"/>
      <c r="D42" s="178"/>
      <c r="E42" s="122" t="s">
        <v>107</v>
      </c>
      <c r="F42" s="122"/>
      <c r="G42" s="124"/>
    </row>
    <row r="43" spans="1:7" ht="178.5" customHeight="1" x14ac:dyDescent="0.2">
      <c r="A43" s="129" t="s">
        <v>148</v>
      </c>
      <c r="B43" s="179" t="s">
        <v>358</v>
      </c>
      <c r="C43" s="180"/>
      <c r="D43" s="181"/>
      <c r="E43" s="130" t="s">
        <v>359</v>
      </c>
      <c r="F43" s="130" t="s">
        <v>360</v>
      </c>
      <c r="G43" s="138">
        <f>ROUND(201  * 1 * 51.69/1000,2)</f>
        <v>10.39</v>
      </c>
    </row>
    <row r="44" spans="1:7" ht="15.75" customHeight="1" x14ac:dyDescent="0.2">
      <c r="A44" s="97" t="s">
        <v>65</v>
      </c>
      <c r="B44" s="182" t="s">
        <v>66</v>
      </c>
      <c r="C44" s="183"/>
      <c r="D44" s="184"/>
      <c r="E44" s="98"/>
      <c r="F44" s="98"/>
      <c r="G44" s="99"/>
    </row>
    <row r="45" spans="1:7" ht="38.25" customHeight="1" x14ac:dyDescent="0.2">
      <c r="A45" s="121" t="s">
        <v>65</v>
      </c>
      <c r="B45" s="176"/>
      <c r="C45" s="177"/>
      <c r="D45" s="178"/>
      <c r="E45" s="122" t="s">
        <v>107</v>
      </c>
      <c r="F45" s="122"/>
      <c r="G45" s="124"/>
    </row>
    <row r="46" spans="1:7" ht="12.75" customHeight="1" x14ac:dyDescent="0.2">
      <c r="A46" s="132" t="s">
        <v>152</v>
      </c>
      <c r="B46" s="166" t="s">
        <v>84</v>
      </c>
      <c r="C46" s="167"/>
      <c r="D46" s="168"/>
      <c r="E46" s="133"/>
      <c r="F46" s="133"/>
      <c r="G46" s="139">
        <f>ROUND((SUM($G$34:$G$43)),2)</f>
        <v>115.93</v>
      </c>
    </row>
    <row r="47" spans="1:7" ht="12.75" customHeight="1" x14ac:dyDescent="0.2">
      <c r="A47" s="132" t="s">
        <v>156</v>
      </c>
      <c r="B47" s="166" t="s">
        <v>86</v>
      </c>
      <c r="C47" s="167"/>
      <c r="D47" s="168"/>
      <c r="E47" s="133"/>
      <c r="F47" s="133"/>
      <c r="G47" s="139">
        <f>ROUND(($G$46),2)</f>
        <v>115.93</v>
      </c>
    </row>
    <row r="48" spans="1:7" ht="12.75" customHeight="1" x14ac:dyDescent="0.2">
      <c r="A48" s="132" t="s">
        <v>87</v>
      </c>
      <c r="B48" s="166" t="s">
        <v>59</v>
      </c>
      <c r="C48" s="167"/>
      <c r="D48" s="168"/>
      <c r="E48" s="133" t="s">
        <v>88</v>
      </c>
      <c r="F48" s="133"/>
      <c r="G48" s="135"/>
    </row>
    <row r="49" spans="1:7" ht="12.75" customHeight="1" x14ac:dyDescent="0.2">
      <c r="A49" s="132" t="s">
        <v>89</v>
      </c>
      <c r="B49" s="166" t="s">
        <v>94</v>
      </c>
      <c r="C49" s="167"/>
      <c r="D49" s="168"/>
      <c r="E49" s="133"/>
      <c r="F49" s="133"/>
      <c r="G49" s="139">
        <f>ROUND(0,2)</f>
        <v>0</v>
      </c>
    </row>
    <row r="50" spans="1:7" ht="12.75" customHeight="1" x14ac:dyDescent="0.2">
      <c r="A50" s="132" t="s">
        <v>95</v>
      </c>
      <c r="B50" s="166" t="s">
        <v>96</v>
      </c>
      <c r="C50" s="167"/>
      <c r="D50" s="168"/>
      <c r="E50" s="133"/>
      <c r="F50" s="133"/>
      <c r="G50" s="139">
        <f>ROUND(($G$32 +SUM( $G$47:$G$49)),2)</f>
        <v>138.31</v>
      </c>
    </row>
    <row r="51" spans="1:7" ht="12.75" customHeight="1" x14ac:dyDescent="0.2">
      <c r="A51" s="132" t="s">
        <v>97</v>
      </c>
      <c r="B51" s="170" t="s">
        <v>98</v>
      </c>
      <c r="C51" s="171"/>
      <c r="D51" s="172"/>
      <c r="E51" s="136"/>
      <c r="F51" s="136" t="s">
        <v>99</v>
      </c>
      <c r="G51" s="140">
        <f>ROUND(($G$50) * 20 / 100 * 1,2)</f>
        <v>27.66</v>
      </c>
    </row>
    <row r="52" spans="1:7" ht="12.75" customHeight="1" x14ac:dyDescent="0.2">
      <c r="A52" s="132" t="s">
        <v>100</v>
      </c>
      <c r="B52" s="166" t="s">
        <v>101</v>
      </c>
      <c r="C52" s="167"/>
      <c r="D52" s="168"/>
      <c r="E52" s="133"/>
      <c r="F52" s="133"/>
      <c r="G52" s="139">
        <f>ROUND((SUM($G$50:$G$51)),2)</f>
        <v>165.97</v>
      </c>
    </row>
    <row r="53" spans="1:7" ht="12.75" customHeight="1" x14ac:dyDescent="0.2">
      <c r="B53" s="169"/>
      <c r="C53" s="169"/>
      <c r="D53" s="169"/>
    </row>
  </sheetData>
  <mergeCells count="51">
    <mergeCell ref="B17:D17"/>
    <mergeCell ref="A9:C9"/>
    <mergeCell ref="D9:G10"/>
    <mergeCell ref="B11:D11"/>
    <mergeCell ref="A1:B1"/>
    <mergeCell ref="C1:G1"/>
    <mergeCell ref="B4:F4"/>
    <mergeCell ref="B5:F5"/>
    <mergeCell ref="A7:C7"/>
    <mergeCell ref="D7:G7"/>
    <mergeCell ref="B12:D12"/>
    <mergeCell ref="A13:G13"/>
    <mergeCell ref="A14:G14"/>
    <mergeCell ref="B15:D15"/>
    <mergeCell ref="B16:D16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41:D41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53:D53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</mergeCells>
  <pageMargins left="0.39374999999999999" right="0.39374999999999999" top="0.59027777777777779" bottom="0.82777777777777783" header="0.51180555555555562" footer="0.59027777777777779"/>
  <pageSetup paperSize="9" scale="99" orientation="portrait" useFirstPageNumber="1" horizontalDpi="300" verticalDpi="300" r:id="rId1"/>
  <headerFooter alignWithMargins="0">
    <oddFooter>&amp;CСтраница &amp;P</oddFoot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Type="http://www.w3.org/2000/09/xmldsig#Object" URI="#idPackageObject">
      <DigestMethod Algorithm="urn:ietf:params:xml:ns:cpxmlsec:algorithms:gostr34112012-256"/>
      <DigestValue>3UemFesvhLcwTAf/pJzqS6EtM26ScDU42uGAqVejqR8=</DigestValue>
    </Reference>
    <Reference Type="http://www.w3.org/2000/09/xmldsig#Object" URI="#idOfficeObject">
      <DigestMethod Algorithm="urn:ietf:params:xml:ns:cpxmlsec:algorithms:gostr34112012-256"/>
      <DigestValue>O22XZ5VedS8j5lPffOfeD4RZC/vabItx0esG70dXLqA=</DigestValue>
    </Reference>
    <Reference Type="http://uri.etsi.org/01903#SignedProperties" URI="#idSignedProperties">
      <Transforms>
        <Transform Algorithm="http://www.w3.org/TR/2001/REC-xml-c14n-20010315"/>
      </Transforms>
      <DigestMethod Algorithm="urn:ietf:params:xml:ns:cpxmlsec:algorithms:gostr34112012-256"/>
      <DigestValue>G8XakmzNM9Dy6lgncHPusSJfqJ1kuZb58q2WVeluQYE=</DigestValue>
    </Reference>
  </SignedInfo>
  <SignatureValue>R4cSbpb5KorVo+1bs7fRXCDZN0gmpYmgFkRAdtOrhXXgXskVIxKUGh5rjJOWW8q1
5l2Pu3ZTCAEgJcEI7LBK8Q==</SignatureValue>
  <KeyInfo>
    <X509Data>
      <X509Certificate>MIII4jCCCI+gAwIBAgIUSbRQJGmYlTzzWp/eH/kCgBFrK6owCgYIKoUDBwEBAwIw
ggFtMSAwHgYJKoZIhvcNAQkBFhF1Y19ma0Byb3NrYXpuYS5ydTEZMBcGA1UECAwQ
0LMuINCc0L7RgdC60LLQsDEaMBgGCCqFAwOBAwEBEgwwMDc3MTA1Njg3NjAxGDAW
BgUqhQNkARINMTA0Nzc5NzAxOTgzMDFgMF4GA1UECQxX0JHQvtC70YzRiNC+0Lkg
0JfQu9Cw0YLQvtGD0YHRgtC40L3RgdC60LjQuSDQv9C10YDQtdGD0LvQvtC6LCDQ
tC4gNiwg0YHRgtGA0L7QtdC90LjQtSAxMRUwEwYDVQQHDAzQnNC+0YHQutCy0LAx
CzAJBgNVBAYTAlJVMTgwNgYDVQQKDC/QpNC10LTQtdGA0LDQu9GM0L3QvtC1INC6
0LDQt9C90LDRh9C10LnRgdGC0LLQvjE4MDYGA1UEAwwv0KTQtdC00LXRgNCw0LvR
jNC90L7QtSDQutCw0LfQvdCw0YfQtdC50YHRgtCy0L4wHhcNMjEwNDE0MTM0NDMx
WhcNMjIwNzE0MTM0NDMxWjCCAg4xGjAYBggqhQMDgQMBARIMMDU2MDE0MTcyNDY4
MRYwFAYFKoUDZAMSCzA4ODM1MDQ5MDkyMSIwIAYJKoZIhvcNAQkBFhNzaGFyaXA0
ZWtAZ21haWwuY29tMQswCQYDVQQGEwJSVTEuMCwGA1UECAwl0KDQtdGB0L/Rg9Cx
0LvQuNC60LAg0JTQsNCz0LXRgdGC0LDQvTGB4jCB3wYDVQQKDIHX0JPQntCh0KPQ
lNCQ0KDQodCi0JLQldCd0J3QntCVINCa0JDQl9CV0J3QndCe0JUg0KPQp9Cg0JXQ
ltCU0JXQndCY0JUg0KDQldCh0J/Qo9CR0JvQmNCa0Jgg0JTQkNCT0JXQodCi0JDQ
nSAi0JTQmNCg0JXQmtCm0JjQryDQldCU0JjQndCe0JPQniDQk9Ce0KHQo9CU0JDQ
oNCh0KLQktCV0J3QndCe0JPQniDQl9CQ0JrQkNCX0KfQmNCa0JAt0JfQkNCh0KLQ
oNCe0JnQqdCY0JrQkCIxNjA0BgNVBCoMLdCo0LDQvNC40LvRjCDQnNCw0LPQvtC8
0LXQtNCx0LDRiNC40YDQvtCy0LjRhzEVMBMGA1UEBAwM0KHQsNC40LTQvtCyMUMw
QQYDVQQDDDrQodCw0LjQtNC+0LIg0KjQsNC80LjQu9GMINCc0LDQs9C+0LzQtdC0
0LHQsNGI0LjRgNC+0LLQuNGHMGYwHwYIKoUDBwEBAQEwEwYHKoUDAgIkAAYIKoUD
BwEBAgIDQwAEQFt0KwYNaMexNVkF5e8UzBCgXi23AnGcwgkPur5mihZNz66zvbmz
RK+bcpFFWSJOCaQIjPF0wyGfWashSPcrydOjggRZMIIEVTAMBgNVHRMBAf8EAjAA
MEgGCCsGAQUFBwEBBDwwOjA4BggrBgEFBQcwAoYsaHR0cDovL2NybC5yb3NrYXpu
YS5ydS9jcmwvdWNma18wNTAyMjAyMC5jcnQwHQYDVR0gBBYwFDAIBgYqhQNkcQEw
CAYGKoUDZHECMDYGBSqFA2RvBC0MKyLQmtGA0LjQv9GC0L7Qn9GA0L4gQ1NQIiAo
0LLQtdGA0YHQuNGPIDQuMCkwggFkBgUqhQNkcASCAVkwggFVDEci0JrRgNC40L/R
gtC+0J/RgNC+IENTUCIg0LLQtdGA0YHQuNGPIDQuMCAo0LjRgdC/0L7Qu9C90LXQ
vdC40LUgMi1CYXNlKQxo0J/RgNC+0LPRgNCw0LzQvNC90L4t0LDQv9C/0LDRgNCw
0YLQvdGL0Lkg0LrQvtC80L/Qu9C10LrRgSDCq9Cu0L3QuNGB0LXRgNGCLdCT0J7Q
odCiwrsuINCS0LXRgNGB0LjRjyAzLjAMT9Ch0LXRgNGC0LjRhNC40LrQsNGCINGB
0L7QvtGC0LLQtdGC0YHRgtCy0LjRjyDihJYg0KHQpC8xMjQtMzk2NiDQvtGCIDE1
LjAxLjIwMjEMT9Ch0LXRgNGC0LjRhNC40LrQsNGCINGB0L7QvtGC0LLQtdGC0YHR
gtCy0LjRjyDihJYg0KHQpC8xMjgtMzU4MSDQvtGCIDIwLjEyLjIwMTgwDgYDVR0P
AQH/BAQDAgP4MBMGA1UdJQQMMAoGCCsGAQUFBwMCMCsGA1UdEAQkMCKADzIwMjEw
NDE0MTM0NDI2WoEPMjAyMjA3MTQxMzQ0MjZaMIIBXwYDVR0jBIIBVjCCAVKAFNBk
lm1yQOtYfSR/uyBbz8OObHrUoYIBLKSCASgwggEkMR4wHAYJKoZIhvcNAQkBFg9k
aXRAbWluc3Z5YXoucnUxCzAJBgNVBAYTAlJVMRgwFgYDVQQIDA83NyDQnNC+0YHQ
utCy0LAxGTAXBgNVBAcMENCzLiDQnNC+0YHQutCy0LAxLjAsBgNVBAkMJdGD0LvQ
uNGG0LAg0KLQstC10YDRgdC60LDRjywg0LTQvtC8IDcxLDAqBgNVBAoMI9Cc0LjQ
vdC60L7QvNGB0LLRj9C30Ywg0KDQvtGB0YHQuNC4MRgwFgYFKoUDZAESDTEwNDc3
MDIwMjY3MDExGjAYBggqhQMDgQMBARIMMDA3NzEwNDc0Mzc1MSwwKgYDVQQDDCPQ
nNC40L3QutC+0LzRgdCy0Y/Qt9GMINCg0L7RgdGB0LjQuIIKYqt5lQAAAAADtjBo
BgNVHR8EYTBfMC6gLKAqhihodHRwOi8vY3JsLnJvc2them5hLnJ1L2NybC91Y2Zr
XzIwMjAuY3JsMC2gK6AphidodHRwOi8vY3JsLmZzZmsubG9jYWwvY3JsL3VjZmtf
MjAyMC5jcmwwHQYDVR0OBBYEFHtgL2qgco4YW+jzNY69jxE+2GFvMAoGCCqFAwcB
AQMCA0EAJ6JnC4HIx+84tILaql5d7JdsHTrgWcpOeQ8VVFUXGJN3cczX7hOfR5as
5rlAU3fIFSYYQnBJipPbuvaPfGF+jQ==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NTohLHQL2ccVV+HdMAiJ6RLRzuI=</DigestValue>
      </Reference>
      <Reference URI="/xl/calcChain.xml?ContentType=application/vnd.openxmlformats-officedocument.spreadsheetml.calcChain+xml">
        <DigestMethod Algorithm="http://www.w3.org/2000/09/xmldsig#sha1"/>
        <DigestValue>BWmo0/2DFV/a7+6+x0zVZGRw1mA=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x4LNs+Pk0v3RiNO31BlWfuHPcAw=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x4LNs+Pk0v3RiNO31BlWfuHPcAw=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x4LNs+Pk0v3RiNO31BlWfuHPcAw=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x4LNs+Pk0v3RiNO31BlWfuHPcAw=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x4LNs+Pk0v3RiNO31BlWfuHPcAw=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x4LNs+Pk0v3RiNO31BlWfuHPcAw=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x4LNs+Pk0v3RiNO31BlWfuHPcAw=</DigestValue>
      </Reference>
      <Reference URI="/xl/sharedStrings.xml?ContentType=application/vnd.openxmlformats-officedocument.spreadsheetml.sharedStrings+xml">
        <DigestMethod Algorithm="http://www.w3.org/2000/09/xmldsig#sha1"/>
        <DigestValue>we1Zkq0dvazLbZWZ/7y713S2z+0=</DigestValue>
      </Reference>
      <Reference URI="/xl/styles.xml?ContentType=application/vnd.openxmlformats-officedocument.spreadsheetml.styles+xml">
        <DigestMethod Algorithm="http://www.w3.org/2000/09/xmldsig#sha1"/>
        <DigestValue>KHjsXb40CmnyYHXhT+bVTgGmoXg=</DigestValue>
      </Reference>
      <Reference URI="/xl/theme/theme1.xml?ContentType=application/vnd.openxmlformats-officedocument.theme+xml">
        <DigestMethod Algorithm="http://www.w3.org/2000/09/xmldsig#sha1"/>
        <DigestValue>oQioerHpUgs7z4jbgByEid9gS8c=</DigestValue>
      </Reference>
      <Reference URI="/xl/workbook.xml?ContentType=application/vnd.openxmlformats-officedocument.spreadsheetml.sheet.main+xml">
        <DigestMethod Algorithm="http://www.w3.org/2000/09/xmldsig#sha1"/>
        <DigestValue>XWlKDJd6VqTMR92UBGfMZBUv2Rs=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0/09/xmldsig#sha1"/>
        <DigestValue>yMhQTw9PBMCmGwuuB9JTPShwImc=</DigestValue>
      </Reference>
      <Reference URI="/xl/worksheets/sheet1.xml?ContentType=application/vnd.openxmlformats-officedocument.spreadsheetml.worksheet+xml">
        <DigestMethod Algorithm="http://www.w3.org/2000/09/xmldsig#sha1"/>
        <DigestValue>XW18lcXHz/BCPywG1TStnOaJJ/E=</DigestValue>
      </Reference>
      <Reference URI="/xl/worksheets/sheet2.xml?ContentType=application/vnd.openxmlformats-officedocument.spreadsheetml.worksheet+xml">
        <DigestMethod Algorithm="http://www.w3.org/2000/09/xmldsig#sha1"/>
        <DigestValue>xAOHLDjRj28THzHufnntBWh89rE=</DigestValue>
      </Reference>
      <Reference URI="/xl/worksheets/sheet3.xml?ContentType=application/vnd.openxmlformats-officedocument.spreadsheetml.worksheet+xml">
        <DigestMethod Algorithm="http://www.w3.org/2000/09/xmldsig#sha1"/>
        <DigestValue>pPOCCSi9CZ1YTXd+rlZXVpTaFh4=</DigestValue>
      </Reference>
      <Reference URI="/xl/worksheets/sheet4.xml?ContentType=application/vnd.openxmlformats-officedocument.spreadsheetml.worksheet+xml">
        <DigestMethod Algorithm="http://www.w3.org/2000/09/xmldsig#sha1"/>
        <DigestValue>kmwYT3v5ZOQkqlNu3mwC8Y4/VBc=</DigestValue>
      </Reference>
      <Reference URI="/xl/worksheets/sheet5.xml?ContentType=application/vnd.openxmlformats-officedocument.spreadsheetml.worksheet+xml">
        <DigestMethod Algorithm="http://www.w3.org/2000/09/xmldsig#sha1"/>
        <DigestValue>BVfhM0epkSLH4z2P0Z9pdUmxUJo=</DigestValue>
      </Reference>
      <Reference URI="/xl/worksheets/sheet6.xml?ContentType=application/vnd.openxmlformats-officedocument.spreadsheetml.worksheet+xml">
        <DigestMethod Algorithm="http://www.w3.org/2000/09/xmldsig#sha1"/>
        <DigestValue>9NEOOav7YtylEFIrQIBJHP/wn5o=</DigestValue>
      </Reference>
      <Reference URI="/xl/worksheets/sheet7.xml?ContentType=application/vnd.openxmlformats-officedocument.spreadsheetml.worksheet+xml">
        <DigestMethod Algorithm="http://www.w3.org/2000/09/xmldsig#sha1"/>
        <DigestValue>Wu2qwABfDClUZcLjzQXeyNnmWSU=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2021-09-08T14:45:36Z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16.0.12527/19</OfficeVersion>
          <ApplicationVersion>16.0.12527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2021-09-08T14:45:36Z</xd:SigningTime>
          <xd:SigningCertificate>
            <xd:Cert>
              <xd:CertDigest>
                <DigestMethod Algorithm="http://www.w3.org/2000/09/xmldsig#sha1"/>
                <DigestValue>IxIclsBuRT1oXEbk+Fh0YbDudtU=</DigestValue>
              </xd:CertDigest>
              <xd:IssuerSerial>
                <X509IssuerName>CN=Федеральное казначейство, O=Федеральное казначейство, C=RU, L=Москва, STREET="Большой Златоустинский переулок, д. 6, строение 1", ОГРН=1047797019830, ИНН=007710568760, S=г. Москва, E=uc_fk@roskazna.ru</X509IssuerName>
                <X509SerialNumber>420777441779276742995960918035069159972423805866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СВОДНАЯ</vt:lpstr>
      <vt:lpstr>форма 2П_проектные</vt:lpstr>
      <vt:lpstr>Геодезия</vt:lpstr>
      <vt:lpstr>Геология</vt:lpstr>
      <vt:lpstr>Геофизика</vt:lpstr>
      <vt:lpstr>Экология</vt:lpstr>
      <vt:lpstr>Гидрометрология</vt:lpstr>
      <vt:lpstr>Геодезия!Заголовки_для_печати</vt:lpstr>
      <vt:lpstr>Геология!Заголовки_для_печати</vt:lpstr>
      <vt:lpstr>Геофизика!Заголовки_для_печати</vt:lpstr>
      <vt:lpstr>Гидрометрология!Заголовки_для_печати</vt:lpstr>
      <vt:lpstr>Экология!Заголовки_для_печати</vt:lpstr>
      <vt:lpstr>СВОДНАЯ!Область_печати</vt:lpstr>
      <vt:lpstr>'форма 2П_проектные'!Область_печати</vt:lpstr>
    </vt:vector>
  </TitlesOfParts>
  <Company>ABC-H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SKREBNEV</dc:creator>
  <cp:lastModifiedBy>User</cp:lastModifiedBy>
  <cp:lastPrinted>2021-02-28T18:13:16Z</cp:lastPrinted>
  <dcterms:created xsi:type="dcterms:W3CDTF">2008-10-15T01:56:37Z</dcterms:created>
  <dcterms:modified xsi:type="dcterms:W3CDTF">2021-09-08T14:11:10Z</dcterms:modified>
</cp:coreProperties>
</file>