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zaynullin\AppData\Roaming\1C\1cv8\a92cb338-6c50-4d4b-8b05-b0dd9d439763\d939b313-091b-4987-8ee4-ca7ea5d78420\App\"/>
    </mc:Choice>
  </mc:AlternateContent>
  <bookViews>
    <workbookView xWindow="0" yWindow="0" windowWidth="20490" windowHeight="7755" tabRatio="679" firstSheet="2" activeTab="2"/>
  </bookViews>
  <sheets>
    <sheet name="Лист1" sheetId="12" state="hidden" r:id="rId1"/>
    <sheet name="График ГПР_Прил_2" sheetId="4" state="hidden" r:id="rId2"/>
    <sheet name="Приложение 1" sheetId="13" r:id="rId3"/>
    <sheet name="НМЦ_Прил_1" sheetId="2" state="hidden" r:id="rId4"/>
    <sheet name="разбивка по сметам" sheetId="5" state="hidden" r:id="rId5"/>
  </sheets>
  <definedNames>
    <definedName name="_xlnm.Print_Area" localSheetId="2">'Приложение 1'!$A$1:$E$27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4" l="1"/>
  <c r="H54" i="4"/>
  <c r="H53" i="4"/>
  <c r="H52" i="4"/>
  <c r="H51" i="4"/>
  <c r="H50" i="4"/>
  <c r="J84" i="4" l="1"/>
  <c r="I84" i="4"/>
  <c r="H43" i="4"/>
  <c r="H44" i="4"/>
  <c r="H45" i="4"/>
  <c r="H46" i="4"/>
  <c r="H47" i="4"/>
  <c r="H48" i="4"/>
  <c r="H49" i="4"/>
  <c r="F36" i="5"/>
  <c r="E36" i="5"/>
  <c r="R35" i="5"/>
  <c r="Q35" i="5"/>
  <c r="J35" i="5"/>
  <c r="I35" i="5"/>
  <c r="N35" i="5"/>
  <c r="M35" i="5"/>
  <c r="F35" i="5"/>
  <c r="E35" i="5"/>
  <c r="H63" i="4"/>
  <c r="AM56" i="4" l="1"/>
  <c r="H62" i="4"/>
  <c r="H25" i="4" l="1"/>
  <c r="H24" i="4"/>
  <c r="H23" i="4"/>
  <c r="H64" i="4"/>
  <c r="H60" i="4"/>
  <c r="H59" i="4"/>
  <c r="H58" i="4"/>
  <c r="H13" i="4"/>
  <c r="H12" i="4"/>
  <c r="AS42" i="4" l="1"/>
  <c r="AR42" i="4"/>
  <c r="AQ42" i="4"/>
  <c r="AP42" i="4"/>
  <c r="AS41" i="4"/>
  <c r="AR41" i="4"/>
  <c r="H41" i="4" s="1"/>
  <c r="AQ41" i="4"/>
  <c r="AP41" i="4"/>
  <c r="AS40" i="4"/>
  <c r="AR40" i="4"/>
  <c r="AQ40" i="4"/>
  <c r="AP40" i="4"/>
  <c r="AS39" i="4"/>
  <c r="AR39" i="4"/>
  <c r="AQ39" i="4"/>
  <c r="AP39" i="4"/>
  <c r="AS38" i="4"/>
  <c r="AR38" i="4"/>
  <c r="H38" i="4" s="1"/>
  <c r="AQ38" i="4"/>
  <c r="AP38" i="4"/>
  <c r="AS37" i="4"/>
  <c r="AR37" i="4"/>
  <c r="H37" i="4" s="1"/>
  <c r="AQ37" i="4"/>
  <c r="AP37" i="4"/>
  <c r="AS36" i="4"/>
  <c r="AR36" i="4"/>
  <c r="H36" i="4" s="1"/>
  <c r="AQ36" i="4"/>
  <c r="AP36" i="4"/>
  <c r="AS35" i="4"/>
  <c r="AR35" i="4"/>
  <c r="H35" i="4" s="1"/>
  <c r="AQ35" i="4"/>
  <c r="AP35" i="4"/>
  <c r="AS33" i="4"/>
  <c r="AR33" i="4"/>
  <c r="H33" i="4" s="1"/>
  <c r="AQ33" i="4"/>
  <c r="AP33" i="4"/>
  <c r="AS32" i="4"/>
  <c r="AR32" i="4"/>
  <c r="H32" i="4" s="1"/>
  <c r="AQ32" i="4"/>
  <c r="AP32" i="4"/>
  <c r="AS31" i="4"/>
  <c r="AR31" i="4"/>
  <c r="H31" i="4" s="1"/>
  <c r="AQ31" i="4"/>
  <c r="AP31" i="4"/>
  <c r="AS30" i="4"/>
  <c r="AR30" i="4"/>
  <c r="H30" i="4" s="1"/>
  <c r="AQ30" i="4"/>
  <c r="AP30" i="4"/>
  <c r="AS29" i="4"/>
  <c r="AR29" i="4"/>
  <c r="H29" i="4" s="1"/>
  <c r="AQ29" i="4"/>
  <c r="AP29" i="4"/>
  <c r="AS28" i="4"/>
  <c r="AR28" i="4"/>
  <c r="H28" i="4" s="1"/>
  <c r="AQ28" i="4"/>
  <c r="AP28" i="4"/>
  <c r="AS27" i="4"/>
  <c r="AR27" i="4"/>
  <c r="H27" i="4" s="1"/>
  <c r="AQ27" i="4"/>
  <c r="AP27" i="4"/>
  <c r="AS26" i="4"/>
  <c r="AR26" i="4"/>
  <c r="H26" i="4" s="1"/>
  <c r="AQ26" i="4"/>
  <c r="AP26" i="4"/>
  <c r="AS22" i="4"/>
  <c r="AR22" i="4"/>
  <c r="H22" i="4" s="1"/>
  <c r="AQ22" i="4"/>
  <c r="AP22" i="4"/>
  <c r="AS21" i="4"/>
  <c r="AR21" i="4"/>
  <c r="H21" i="4" s="1"/>
  <c r="AQ21" i="4"/>
  <c r="AP21" i="4"/>
  <c r="AS20" i="4"/>
  <c r="AR20" i="4"/>
  <c r="H20" i="4" s="1"/>
  <c r="AQ20" i="4"/>
  <c r="AP20" i="4"/>
  <c r="AS19" i="4"/>
  <c r="AR19" i="4"/>
  <c r="H19" i="4" s="1"/>
  <c r="AQ19" i="4"/>
  <c r="AP19" i="4"/>
  <c r="AS18" i="4"/>
  <c r="AR18" i="4"/>
  <c r="H18" i="4" s="1"/>
  <c r="AQ18" i="4"/>
  <c r="AP18" i="4"/>
  <c r="AQ14" i="4"/>
  <c r="AR14" i="4"/>
  <c r="H14" i="4" s="1"/>
  <c r="AS14" i="4"/>
  <c r="AP14" i="4"/>
  <c r="H67" i="4" l="1"/>
  <c r="E55" i="4"/>
  <c r="E51" i="4"/>
  <c r="E52" i="4"/>
  <c r="D50" i="4"/>
  <c r="D51" i="4"/>
  <c r="D52" i="4"/>
  <c r="D53" i="4"/>
  <c r="D54" i="4"/>
  <c r="D55" i="4"/>
  <c r="J55" i="2" l="1"/>
  <c r="J56" i="2"/>
  <c r="L53" i="2"/>
  <c r="L54" i="2"/>
  <c r="V52" i="4" s="1"/>
  <c r="V49" i="4"/>
  <c r="G49" i="4" s="1"/>
  <c r="V51" i="4"/>
  <c r="L57" i="2"/>
  <c r="V55" i="4" s="1"/>
  <c r="J52" i="2"/>
  <c r="E50" i="4" s="1"/>
  <c r="L52" i="2" l="1"/>
  <c r="V50" i="4" s="1"/>
  <c r="L56" i="2"/>
  <c r="V54" i="4" s="1"/>
  <c r="E54" i="4"/>
  <c r="L55" i="2"/>
  <c r="V53" i="4" s="1"/>
  <c r="E53" i="4"/>
  <c r="L45" i="2"/>
  <c r="L46" i="2"/>
  <c r="L47" i="2"/>
  <c r="L48" i="2"/>
  <c r="L49" i="2"/>
  <c r="L50" i="2"/>
  <c r="L51" i="2"/>
  <c r="J45" i="2"/>
  <c r="E43" i="4" s="1"/>
  <c r="J46" i="2"/>
  <c r="E44" i="4" s="1"/>
  <c r="J47" i="2"/>
  <c r="E45" i="4" s="1"/>
  <c r="J48" i="2"/>
  <c r="E46" i="4" s="1"/>
  <c r="J49" i="2"/>
  <c r="E47" i="4" s="1"/>
  <c r="J50" i="2"/>
  <c r="E48" i="4" s="1"/>
  <c r="J51" i="2"/>
  <c r="E49" i="4" s="1"/>
  <c r="G45" i="2"/>
  <c r="D43" i="4" s="1"/>
  <c r="G46" i="2"/>
  <c r="D44" i="4" s="1"/>
  <c r="G47" i="2"/>
  <c r="D45" i="4" s="1"/>
  <c r="G48" i="2"/>
  <c r="D46" i="4" s="1"/>
  <c r="G49" i="2"/>
  <c r="D47" i="4" s="1"/>
  <c r="G50" i="2"/>
  <c r="D48" i="4" s="1"/>
  <c r="G51" i="2"/>
  <c r="D49" i="4" s="1"/>
  <c r="V43" i="4"/>
  <c r="V44" i="4"/>
  <c r="G44" i="4" s="1"/>
  <c r="V45" i="4"/>
  <c r="G45" i="4" s="1"/>
  <c r="V46" i="4"/>
  <c r="G46" i="4" s="1"/>
  <c r="V47" i="4"/>
  <c r="G47" i="4" s="1"/>
  <c r="V48" i="4"/>
  <c r="G48" i="4" s="1"/>
  <c r="V36" i="5"/>
  <c r="V35" i="5"/>
  <c r="AJ56" i="4" l="1"/>
  <c r="G43" i="4"/>
  <c r="AL56" i="4" s="1"/>
  <c r="L75" i="2"/>
  <c r="J75" i="2"/>
  <c r="G75" i="2"/>
  <c r="K60" i="12"/>
  <c r="I60" i="12"/>
  <c r="F60" i="12"/>
  <c r="K59" i="12"/>
  <c r="K63" i="12" s="1"/>
  <c r="I59" i="12"/>
  <c r="F59" i="12"/>
  <c r="K55" i="12"/>
  <c r="I55" i="12"/>
  <c r="F55" i="12"/>
  <c r="K54" i="12"/>
  <c r="I54" i="12"/>
  <c r="F54" i="12"/>
  <c r="K51" i="12"/>
  <c r="I51" i="12"/>
  <c r="F51" i="12"/>
  <c r="K50" i="12"/>
  <c r="I50" i="12"/>
  <c r="F50" i="12"/>
  <c r="K49" i="12"/>
  <c r="I49" i="12"/>
  <c r="F49" i="12"/>
  <c r="K48" i="12"/>
  <c r="I48" i="12"/>
  <c r="F48" i="12"/>
  <c r="K44" i="12"/>
  <c r="I44" i="12"/>
  <c r="F44" i="12"/>
  <c r="I43" i="12"/>
  <c r="F43" i="12"/>
  <c r="K42" i="12"/>
  <c r="I42" i="12"/>
  <c r="F42" i="12"/>
  <c r="K41" i="12"/>
  <c r="I41" i="12"/>
  <c r="F41" i="12"/>
  <c r="K40" i="12"/>
  <c r="I40" i="12"/>
  <c r="F40" i="12"/>
  <c r="K39" i="12"/>
  <c r="I39" i="12"/>
  <c r="F39" i="12"/>
  <c r="K38" i="12"/>
  <c r="I38" i="12"/>
  <c r="F38" i="12"/>
  <c r="K37" i="12"/>
  <c r="I37" i="12"/>
  <c r="F37" i="12"/>
  <c r="K35" i="12"/>
  <c r="I35" i="12"/>
  <c r="F35" i="12"/>
  <c r="K34" i="12"/>
  <c r="I34" i="12"/>
  <c r="F34" i="12"/>
  <c r="K33" i="12"/>
  <c r="I33" i="12"/>
  <c r="F33" i="12"/>
  <c r="K32" i="12"/>
  <c r="I32" i="12"/>
  <c r="F32" i="12"/>
  <c r="K31" i="12"/>
  <c r="I31" i="12"/>
  <c r="F31" i="12"/>
  <c r="K30" i="12"/>
  <c r="I30" i="12"/>
  <c r="F30" i="12"/>
  <c r="K29" i="12"/>
  <c r="I29" i="12"/>
  <c r="F29" i="12"/>
  <c r="K28" i="12"/>
  <c r="I28" i="12"/>
  <c r="F28" i="12"/>
  <c r="K27" i="12"/>
  <c r="I27" i="12"/>
  <c r="F27" i="12"/>
  <c r="K26" i="12"/>
  <c r="I26" i="12"/>
  <c r="F26" i="12"/>
  <c r="K25" i="12"/>
  <c r="I25" i="12"/>
  <c r="F25" i="12"/>
  <c r="K24" i="12"/>
  <c r="I24" i="12"/>
  <c r="F24" i="12"/>
  <c r="K23" i="12"/>
  <c r="I23" i="12"/>
  <c r="F23" i="12"/>
  <c r="K22" i="12"/>
  <c r="I22" i="12"/>
  <c r="F22" i="12"/>
  <c r="K21" i="12"/>
  <c r="I21" i="12"/>
  <c r="F21" i="12"/>
  <c r="K20" i="12"/>
  <c r="I20" i="12"/>
  <c r="F20" i="12"/>
  <c r="F16" i="12"/>
  <c r="I14" i="12"/>
  <c r="F14" i="12"/>
  <c r="K13" i="12"/>
  <c r="I13" i="12"/>
  <c r="I63" i="12" l="1"/>
  <c r="F45" i="12"/>
  <c r="I45" i="12"/>
  <c r="J62" i="2" l="1"/>
  <c r="E59" i="4" s="1"/>
  <c r="J63" i="2"/>
  <c r="E60" i="4" s="1"/>
  <c r="J64" i="2"/>
  <c r="E61" i="4" s="1"/>
  <c r="J67" i="2"/>
  <c r="E64" i="4" s="1"/>
  <c r="J68" i="2"/>
  <c r="E65" i="4" s="1"/>
  <c r="J61" i="2"/>
  <c r="E58" i="4" s="1"/>
  <c r="J38" i="2"/>
  <c r="E36" i="4" s="1"/>
  <c r="J39" i="2"/>
  <c r="E37" i="4" s="1"/>
  <c r="J40" i="2"/>
  <c r="E38" i="4" s="1"/>
  <c r="J41" i="2"/>
  <c r="E39" i="4" s="1"/>
  <c r="J42" i="2"/>
  <c r="E40" i="4" s="1"/>
  <c r="J43" i="2"/>
  <c r="J44" i="2"/>
  <c r="E42" i="4" s="1"/>
  <c r="J37" i="2"/>
  <c r="E35" i="4" s="1"/>
  <c r="J32" i="2"/>
  <c r="E30" i="4" s="1"/>
  <c r="J33" i="2"/>
  <c r="E31" i="4" s="1"/>
  <c r="J34" i="2"/>
  <c r="E32" i="4" s="1"/>
  <c r="J35" i="2"/>
  <c r="E33" i="4" s="1"/>
  <c r="J21" i="2"/>
  <c r="E19" i="4" s="1"/>
  <c r="J22" i="2"/>
  <c r="E20" i="4" s="1"/>
  <c r="J23" i="2"/>
  <c r="E21" i="4" s="1"/>
  <c r="J24" i="2"/>
  <c r="E22" i="4" s="1"/>
  <c r="J25" i="2"/>
  <c r="E23" i="4" s="1"/>
  <c r="J26" i="2"/>
  <c r="E24" i="4" s="1"/>
  <c r="J27" i="2"/>
  <c r="E25" i="4" s="1"/>
  <c r="J28" i="2"/>
  <c r="E26" i="4" s="1"/>
  <c r="J29" i="2"/>
  <c r="E27" i="4" s="1"/>
  <c r="J30" i="2"/>
  <c r="E28" i="4" s="1"/>
  <c r="J31" i="2"/>
  <c r="E29" i="4" s="1"/>
  <c r="J20" i="2"/>
  <c r="E18" i="4" s="1"/>
  <c r="J14" i="2"/>
  <c r="E13" i="4" s="1"/>
  <c r="J13" i="2"/>
  <c r="E12" i="4" s="1"/>
  <c r="G14" i="2"/>
  <c r="D13" i="4" s="1"/>
  <c r="G16" i="2"/>
  <c r="D15" i="4" s="1"/>
  <c r="J58" i="2" l="1"/>
  <c r="E41" i="4"/>
  <c r="V18" i="4"/>
  <c r="G18" i="4" s="1"/>
  <c r="V19" i="4"/>
  <c r="G19" i="4" s="1"/>
  <c r="V20" i="4"/>
  <c r="G20" i="4" s="1"/>
  <c r="V21" i="4"/>
  <c r="G21" i="4" s="1"/>
  <c r="V22" i="4"/>
  <c r="G22" i="4" s="1"/>
  <c r="V23" i="4"/>
  <c r="G23" i="4" s="1"/>
  <c r="V24" i="4"/>
  <c r="G24" i="4" s="1"/>
  <c r="V25" i="4"/>
  <c r="G25" i="4" s="1"/>
  <c r="V26" i="4"/>
  <c r="G26" i="4" s="1"/>
  <c r="V27" i="4"/>
  <c r="G27" i="4" s="1"/>
  <c r="V28" i="4"/>
  <c r="G28" i="4" s="1"/>
  <c r="V29" i="4"/>
  <c r="G29" i="4" s="1"/>
  <c r="V30" i="4"/>
  <c r="G30" i="4" s="1"/>
  <c r="V31" i="4"/>
  <c r="G31" i="4" s="1"/>
  <c r="V32" i="4"/>
  <c r="G32" i="4" s="1"/>
  <c r="V33" i="4"/>
  <c r="G33" i="4" s="1"/>
  <c r="V35" i="4"/>
  <c r="G35" i="4" s="1"/>
  <c r="V36" i="4"/>
  <c r="G36" i="4" s="1"/>
  <c r="V37" i="4"/>
  <c r="G37" i="4" s="1"/>
  <c r="V38" i="4"/>
  <c r="G38" i="4" s="1"/>
  <c r="V39" i="4"/>
  <c r="G39" i="4" s="1"/>
  <c r="V40" i="4"/>
  <c r="G40" i="4" s="1"/>
  <c r="V42" i="4"/>
  <c r="G42" i="4" s="1"/>
  <c r="V58" i="4"/>
  <c r="G58" i="4" s="1"/>
  <c r="V59" i="4"/>
  <c r="G59" i="4" s="1"/>
  <c r="V60" i="4"/>
  <c r="G60" i="4" s="1"/>
  <c r="V61" i="4"/>
  <c r="G61" i="4" s="1"/>
  <c r="V64" i="4"/>
  <c r="G64" i="4" s="1"/>
  <c r="V65" i="4"/>
  <c r="G65" i="4" s="1"/>
  <c r="V12" i="4"/>
  <c r="G12" i="4" l="1"/>
  <c r="F32" i="5"/>
  <c r="E32" i="5"/>
  <c r="F31" i="5"/>
  <c r="E31" i="5"/>
  <c r="T6" i="5"/>
  <c r="T55" i="5"/>
  <c r="P55" i="5"/>
  <c r="L55" i="5"/>
  <c r="H55" i="5"/>
  <c r="F53" i="12" s="1"/>
  <c r="T54" i="5"/>
  <c r="P54" i="5"/>
  <c r="L54" i="5"/>
  <c r="H54" i="5"/>
  <c r="F52" i="12" s="1"/>
  <c r="F56" i="12" l="1"/>
  <c r="K53" i="12"/>
  <c r="V63" i="4"/>
  <c r="G63" i="4" s="1"/>
  <c r="K15" i="12"/>
  <c r="V14" i="4"/>
  <c r="G14" i="4" s="1"/>
  <c r="I52" i="12"/>
  <c r="J65" i="2"/>
  <c r="K52" i="12"/>
  <c r="V62" i="4"/>
  <c r="G62" i="4" s="1"/>
  <c r="I53" i="12"/>
  <c r="J66" i="2"/>
  <c r="E63" i="4" s="1"/>
  <c r="V28" i="5"/>
  <c r="V29" i="5"/>
  <c r="V30" i="5"/>
  <c r="V31" i="5"/>
  <c r="V32" i="5"/>
  <c r="V34" i="5"/>
  <c r="V27" i="5"/>
  <c r="W18" i="4"/>
  <c r="X18" i="4"/>
  <c r="Y18" i="4"/>
  <c r="Z18" i="4"/>
  <c r="AA18" i="4"/>
  <c r="AB18" i="4"/>
  <c r="AC18" i="4"/>
  <c r="AD18" i="4"/>
  <c r="AE18" i="4"/>
  <c r="AF18" i="4"/>
  <c r="AG18" i="4"/>
  <c r="AH18" i="4"/>
  <c r="W19" i="4"/>
  <c r="X19" i="4"/>
  <c r="Y19" i="4"/>
  <c r="Z19" i="4"/>
  <c r="AA19" i="4"/>
  <c r="AB19" i="4"/>
  <c r="AC19" i="4"/>
  <c r="AD19" i="4"/>
  <c r="AE19" i="4"/>
  <c r="AF19" i="4"/>
  <c r="AG19" i="4"/>
  <c r="AH19" i="4"/>
  <c r="W20" i="4"/>
  <c r="X20" i="4"/>
  <c r="Y20" i="4"/>
  <c r="Z20" i="4"/>
  <c r="AA20" i="4"/>
  <c r="AB20" i="4"/>
  <c r="AC20" i="4"/>
  <c r="AD20" i="4"/>
  <c r="AE20" i="4"/>
  <c r="AF20" i="4"/>
  <c r="AG20" i="4"/>
  <c r="AH20" i="4"/>
  <c r="W21" i="4"/>
  <c r="X21" i="4"/>
  <c r="Y21" i="4"/>
  <c r="Z21" i="4"/>
  <c r="AA21" i="4"/>
  <c r="AB21" i="4"/>
  <c r="AC21" i="4"/>
  <c r="AD21" i="4"/>
  <c r="AE21" i="4"/>
  <c r="AF21" i="4"/>
  <c r="AG21" i="4"/>
  <c r="AH21" i="4"/>
  <c r="W22" i="4"/>
  <c r="X22" i="4"/>
  <c r="Y22" i="4"/>
  <c r="Z22" i="4"/>
  <c r="AA22" i="4"/>
  <c r="AB22" i="4"/>
  <c r="AC22" i="4"/>
  <c r="AD22" i="4"/>
  <c r="AE22" i="4"/>
  <c r="AF22" i="4"/>
  <c r="AG22" i="4"/>
  <c r="AH22" i="4"/>
  <c r="W23" i="4"/>
  <c r="X23" i="4"/>
  <c r="Y23" i="4"/>
  <c r="Z23" i="4"/>
  <c r="AA23" i="4"/>
  <c r="AB23" i="4"/>
  <c r="AC23" i="4"/>
  <c r="AD23" i="4"/>
  <c r="AE23" i="4"/>
  <c r="AF23" i="4"/>
  <c r="AG23" i="4"/>
  <c r="AH23" i="4"/>
  <c r="W24" i="4"/>
  <c r="X24" i="4"/>
  <c r="Y24" i="4"/>
  <c r="Z24" i="4"/>
  <c r="AA24" i="4"/>
  <c r="AB24" i="4"/>
  <c r="AC24" i="4"/>
  <c r="AD24" i="4"/>
  <c r="AE24" i="4"/>
  <c r="AF24" i="4"/>
  <c r="AG24" i="4"/>
  <c r="AH24" i="4"/>
  <c r="W25" i="4"/>
  <c r="X25" i="4"/>
  <c r="Y25" i="4"/>
  <c r="Z25" i="4"/>
  <c r="AA25" i="4"/>
  <c r="AB25" i="4"/>
  <c r="AC25" i="4"/>
  <c r="AD25" i="4"/>
  <c r="AE25" i="4"/>
  <c r="AF25" i="4"/>
  <c r="AG25" i="4"/>
  <c r="AH25" i="4"/>
  <c r="W26" i="4"/>
  <c r="X26" i="4"/>
  <c r="Y26" i="4"/>
  <c r="Z26" i="4"/>
  <c r="AA26" i="4"/>
  <c r="AB26" i="4"/>
  <c r="AC26" i="4"/>
  <c r="AD26" i="4"/>
  <c r="AE26" i="4"/>
  <c r="AF26" i="4"/>
  <c r="AG26" i="4"/>
  <c r="AH26" i="4"/>
  <c r="W27" i="4"/>
  <c r="X27" i="4"/>
  <c r="Y27" i="4"/>
  <c r="Z27" i="4"/>
  <c r="AA27" i="4"/>
  <c r="AB27" i="4"/>
  <c r="AC27" i="4"/>
  <c r="AD27" i="4"/>
  <c r="AE27" i="4"/>
  <c r="AF27" i="4"/>
  <c r="AG27" i="4"/>
  <c r="AH27" i="4"/>
  <c r="W28" i="4"/>
  <c r="X28" i="4"/>
  <c r="Y28" i="4"/>
  <c r="Z28" i="4"/>
  <c r="AA28" i="4"/>
  <c r="AB28" i="4"/>
  <c r="AC28" i="4"/>
  <c r="AD28" i="4"/>
  <c r="AE28" i="4"/>
  <c r="AF28" i="4"/>
  <c r="AG28" i="4"/>
  <c r="AH28" i="4"/>
  <c r="W29" i="4"/>
  <c r="X29" i="4"/>
  <c r="Y29" i="4"/>
  <c r="Z29" i="4"/>
  <c r="AA29" i="4"/>
  <c r="AB29" i="4"/>
  <c r="AC29" i="4"/>
  <c r="AD29" i="4"/>
  <c r="AE29" i="4"/>
  <c r="AF29" i="4"/>
  <c r="AG29" i="4"/>
  <c r="AH29" i="4"/>
  <c r="W30" i="4"/>
  <c r="X30" i="4"/>
  <c r="Y30" i="4"/>
  <c r="Z30" i="4"/>
  <c r="AA30" i="4"/>
  <c r="AB30" i="4"/>
  <c r="AC30" i="4"/>
  <c r="AD30" i="4"/>
  <c r="AE30" i="4"/>
  <c r="AF30" i="4"/>
  <c r="AG30" i="4"/>
  <c r="AH30" i="4"/>
  <c r="W31" i="4"/>
  <c r="X31" i="4"/>
  <c r="Y31" i="4"/>
  <c r="Z31" i="4"/>
  <c r="AA31" i="4"/>
  <c r="AB31" i="4"/>
  <c r="AC31" i="4"/>
  <c r="AD31" i="4"/>
  <c r="AE31" i="4"/>
  <c r="AF31" i="4"/>
  <c r="AG31" i="4"/>
  <c r="AH31" i="4"/>
  <c r="W32" i="4"/>
  <c r="X32" i="4"/>
  <c r="Y32" i="4"/>
  <c r="Z32" i="4"/>
  <c r="AA32" i="4"/>
  <c r="AB32" i="4"/>
  <c r="AC32" i="4"/>
  <c r="AD32" i="4"/>
  <c r="AE32" i="4"/>
  <c r="AF32" i="4"/>
  <c r="AG32" i="4"/>
  <c r="AH32" i="4"/>
  <c r="W33" i="4"/>
  <c r="X33" i="4"/>
  <c r="Y33" i="4"/>
  <c r="Z33" i="4"/>
  <c r="AA33" i="4"/>
  <c r="AB33" i="4"/>
  <c r="AC33" i="4"/>
  <c r="AD33" i="4"/>
  <c r="AE33" i="4"/>
  <c r="AF33" i="4"/>
  <c r="AG33" i="4"/>
  <c r="AH33" i="4"/>
  <c r="W35" i="4"/>
  <c r="X35" i="4"/>
  <c r="Y35" i="4"/>
  <c r="Z35" i="4"/>
  <c r="AA35" i="4"/>
  <c r="AB35" i="4"/>
  <c r="AC35" i="4"/>
  <c r="AD35" i="4"/>
  <c r="AE35" i="4"/>
  <c r="AF35" i="4"/>
  <c r="AG35" i="4"/>
  <c r="AH35" i="4"/>
  <c r="W36" i="4"/>
  <c r="X36" i="4"/>
  <c r="Y36" i="4"/>
  <c r="Z36" i="4"/>
  <c r="AA36" i="4"/>
  <c r="AB36" i="4"/>
  <c r="AC36" i="4"/>
  <c r="AD36" i="4"/>
  <c r="AE36" i="4"/>
  <c r="AF36" i="4"/>
  <c r="AG36" i="4"/>
  <c r="AH36" i="4"/>
  <c r="W37" i="4"/>
  <c r="X37" i="4"/>
  <c r="Y37" i="4"/>
  <c r="Z37" i="4"/>
  <c r="AA37" i="4"/>
  <c r="AB37" i="4"/>
  <c r="AC37" i="4"/>
  <c r="AD37" i="4"/>
  <c r="AE37" i="4"/>
  <c r="AF37" i="4"/>
  <c r="AG37" i="4"/>
  <c r="AH37" i="4"/>
  <c r="W38" i="4"/>
  <c r="X38" i="4"/>
  <c r="Y38" i="4"/>
  <c r="Z38" i="4"/>
  <c r="AA38" i="4"/>
  <c r="AB38" i="4"/>
  <c r="AC38" i="4"/>
  <c r="AD38" i="4"/>
  <c r="AE38" i="4"/>
  <c r="AF38" i="4"/>
  <c r="AG38" i="4"/>
  <c r="AH38" i="4"/>
  <c r="W39" i="4"/>
  <c r="X39" i="4"/>
  <c r="Y39" i="4"/>
  <c r="Z39" i="4"/>
  <c r="AA39" i="4"/>
  <c r="AB39" i="4"/>
  <c r="AC39" i="4"/>
  <c r="AD39" i="4"/>
  <c r="AE39" i="4"/>
  <c r="AF39" i="4"/>
  <c r="AG39" i="4"/>
  <c r="AH39" i="4"/>
  <c r="W40" i="4"/>
  <c r="X40" i="4"/>
  <c r="Y40" i="4"/>
  <c r="Z40" i="4"/>
  <c r="AA40" i="4"/>
  <c r="AB40" i="4"/>
  <c r="AC40" i="4"/>
  <c r="AD40" i="4"/>
  <c r="AE40" i="4"/>
  <c r="AF40" i="4"/>
  <c r="AG40" i="4"/>
  <c r="AH40" i="4"/>
  <c r="W42" i="4"/>
  <c r="X42" i="4"/>
  <c r="Y42" i="4"/>
  <c r="Z42" i="4"/>
  <c r="AA42" i="4"/>
  <c r="AB42" i="4"/>
  <c r="AC42" i="4"/>
  <c r="AD42" i="4"/>
  <c r="AE42" i="4"/>
  <c r="AF42" i="4"/>
  <c r="AG42" i="4"/>
  <c r="AH42" i="4"/>
  <c r="W58" i="4"/>
  <c r="X58" i="4"/>
  <c r="Y58" i="4"/>
  <c r="Z58" i="4"/>
  <c r="AA58" i="4"/>
  <c r="AB58" i="4"/>
  <c r="AC58" i="4"/>
  <c r="AD58" i="4"/>
  <c r="AE58" i="4"/>
  <c r="AF58" i="4"/>
  <c r="AG58" i="4"/>
  <c r="AH58" i="4"/>
  <c r="W59" i="4"/>
  <c r="X59" i="4"/>
  <c r="Y59" i="4"/>
  <c r="Z59" i="4"/>
  <c r="AA59" i="4"/>
  <c r="AB59" i="4"/>
  <c r="AC59" i="4"/>
  <c r="AD59" i="4"/>
  <c r="AE59" i="4"/>
  <c r="AF59" i="4"/>
  <c r="AG59" i="4"/>
  <c r="AH59" i="4"/>
  <c r="W60" i="4"/>
  <c r="X60" i="4"/>
  <c r="Y60" i="4"/>
  <c r="Z60" i="4"/>
  <c r="AA60" i="4"/>
  <c r="AB60" i="4"/>
  <c r="AC60" i="4"/>
  <c r="AD60" i="4"/>
  <c r="AE60" i="4"/>
  <c r="AF60" i="4"/>
  <c r="AG60" i="4"/>
  <c r="AH60" i="4"/>
  <c r="W61" i="4"/>
  <c r="X61" i="4"/>
  <c r="Y61" i="4"/>
  <c r="Z61" i="4"/>
  <c r="AA61" i="4"/>
  <c r="AB61" i="4"/>
  <c r="AC61" i="4"/>
  <c r="AD61" i="4"/>
  <c r="AE61" i="4"/>
  <c r="AF61" i="4"/>
  <c r="AG61" i="4"/>
  <c r="AH61" i="4"/>
  <c r="W63" i="4"/>
  <c r="X63" i="4"/>
  <c r="Y63" i="4"/>
  <c r="Z63" i="4"/>
  <c r="AA63" i="4"/>
  <c r="AB63" i="4"/>
  <c r="AC63" i="4"/>
  <c r="AD63" i="4"/>
  <c r="AE63" i="4"/>
  <c r="AF63" i="4"/>
  <c r="AG63" i="4"/>
  <c r="AH63" i="4"/>
  <c r="W64" i="4"/>
  <c r="X64" i="4"/>
  <c r="Y64" i="4"/>
  <c r="Z64" i="4"/>
  <c r="AA64" i="4"/>
  <c r="AB64" i="4"/>
  <c r="AC64" i="4"/>
  <c r="AD64" i="4"/>
  <c r="AE64" i="4"/>
  <c r="AF64" i="4"/>
  <c r="AG64" i="4"/>
  <c r="AH64" i="4"/>
  <c r="W65" i="4"/>
  <c r="X65" i="4"/>
  <c r="Y65" i="4"/>
  <c r="Z65" i="4"/>
  <c r="AA65" i="4"/>
  <c r="AB65" i="4"/>
  <c r="AC65" i="4"/>
  <c r="AD65" i="4"/>
  <c r="AE65" i="4"/>
  <c r="AF65" i="4"/>
  <c r="AG65" i="4"/>
  <c r="AH65" i="4"/>
  <c r="X12" i="4"/>
  <c r="Y12" i="4"/>
  <c r="Z12" i="4"/>
  <c r="AA12" i="4"/>
  <c r="AB12" i="4"/>
  <c r="AC12" i="4"/>
  <c r="AD12" i="4"/>
  <c r="AE12" i="4"/>
  <c r="AF12" i="4"/>
  <c r="AG12" i="4"/>
  <c r="AH12" i="4"/>
  <c r="W12" i="4"/>
  <c r="K84" i="4"/>
  <c r="L84" i="4"/>
  <c r="M84" i="4"/>
  <c r="N84" i="4"/>
  <c r="O84" i="4"/>
  <c r="P84" i="4"/>
  <c r="Q84" i="4"/>
  <c r="R84" i="4"/>
  <c r="S84" i="4"/>
  <c r="T84" i="4"/>
  <c r="J69" i="2" l="1"/>
  <c r="E62" i="4"/>
  <c r="AA14" i="4"/>
  <c r="AA62" i="4"/>
  <c r="AG14" i="4"/>
  <c r="AF14" i="4"/>
  <c r="Z14" i="4"/>
  <c r="AG62" i="4"/>
  <c r="AH14" i="4"/>
  <c r="Y14" i="4"/>
  <c r="AD62" i="4"/>
  <c r="Y62" i="4"/>
  <c r="X14" i="4"/>
  <c r="Z62" i="4"/>
  <c r="AD14" i="4"/>
  <c r="AC14" i="4"/>
  <c r="AH62" i="4"/>
  <c r="AF62" i="4"/>
  <c r="X62" i="4"/>
  <c r="K56" i="12"/>
  <c r="AE14" i="4"/>
  <c r="W14" i="4"/>
  <c r="AE62" i="4"/>
  <c r="W62" i="4"/>
  <c r="AB14" i="4"/>
  <c r="AB62" i="4"/>
  <c r="AC62" i="4"/>
  <c r="I56" i="12"/>
  <c r="T33" i="5"/>
  <c r="L43" i="2" l="1"/>
  <c r="V41" i="4"/>
  <c r="G41" i="4" s="1"/>
  <c r="K43" i="12"/>
  <c r="K45" i="12" s="1"/>
  <c r="V33" i="5"/>
  <c r="L78" i="2"/>
  <c r="L77" i="2"/>
  <c r="J78" i="2"/>
  <c r="G78" i="2"/>
  <c r="J77" i="2"/>
  <c r="G77" i="2"/>
  <c r="L62" i="2"/>
  <c r="L63" i="2"/>
  <c r="L64" i="2"/>
  <c r="L65" i="2"/>
  <c r="L66" i="2"/>
  <c r="L67" i="2"/>
  <c r="L68" i="2"/>
  <c r="L61" i="2"/>
  <c r="L38" i="2"/>
  <c r="L39" i="2"/>
  <c r="L40" i="2"/>
  <c r="L41" i="2"/>
  <c r="L42" i="2"/>
  <c r="L44" i="2"/>
  <c r="L37" i="2"/>
  <c r="L30" i="2"/>
  <c r="L31" i="2"/>
  <c r="L32" i="2"/>
  <c r="L33" i="2"/>
  <c r="L34" i="2"/>
  <c r="L35" i="2"/>
  <c r="L21" i="2"/>
  <c r="L22" i="2"/>
  <c r="L23" i="2"/>
  <c r="L24" i="2"/>
  <c r="L25" i="2"/>
  <c r="L26" i="2"/>
  <c r="L27" i="2"/>
  <c r="L28" i="2"/>
  <c r="L29" i="2"/>
  <c r="L20" i="2"/>
  <c r="L15" i="2"/>
  <c r="L13" i="2"/>
  <c r="G62" i="2"/>
  <c r="D59" i="4" s="1"/>
  <c r="G63" i="2"/>
  <c r="D60" i="4" s="1"/>
  <c r="G64" i="2"/>
  <c r="D61" i="4" s="1"/>
  <c r="G65" i="2"/>
  <c r="D62" i="4" s="1"/>
  <c r="G66" i="2"/>
  <c r="D63" i="4" s="1"/>
  <c r="G67" i="2"/>
  <c r="D64" i="4" s="1"/>
  <c r="G68" i="2"/>
  <c r="D65" i="4" s="1"/>
  <c r="G61" i="2"/>
  <c r="D58" i="4" s="1"/>
  <c r="G38" i="2"/>
  <c r="D36" i="4" s="1"/>
  <c r="G39" i="2"/>
  <c r="D37" i="4" s="1"/>
  <c r="G40" i="2"/>
  <c r="D38" i="4" s="1"/>
  <c r="G41" i="2"/>
  <c r="D39" i="4" s="1"/>
  <c r="G42" i="2"/>
  <c r="D40" i="4" s="1"/>
  <c r="G43" i="2"/>
  <c r="D41" i="4" s="1"/>
  <c r="G44" i="2"/>
  <c r="D42" i="4" s="1"/>
  <c r="G37" i="2"/>
  <c r="D35" i="4" s="1"/>
  <c r="G21" i="2"/>
  <c r="D19" i="4" s="1"/>
  <c r="G22" i="2"/>
  <c r="D20" i="4" s="1"/>
  <c r="G23" i="2"/>
  <c r="D21" i="4" s="1"/>
  <c r="G24" i="2"/>
  <c r="D22" i="4" s="1"/>
  <c r="G25" i="2"/>
  <c r="D23" i="4" s="1"/>
  <c r="G26" i="2"/>
  <c r="D24" i="4" s="1"/>
  <c r="G27" i="2"/>
  <c r="D25" i="4" s="1"/>
  <c r="G28" i="2"/>
  <c r="D26" i="4" s="1"/>
  <c r="G29" i="2"/>
  <c r="D27" i="4" s="1"/>
  <c r="G30" i="2"/>
  <c r="D28" i="4" s="1"/>
  <c r="G31" i="2"/>
  <c r="D29" i="4" s="1"/>
  <c r="G32" i="2"/>
  <c r="D30" i="4" s="1"/>
  <c r="G33" i="2"/>
  <c r="D31" i="4" s="1"/>
  <c r="G34" i="2"/>
  <c r="D32" i="4" s="1"/>
  <c r="G35" i="2"/>
  <c r="D33" i="4" s="1"/>
  <c r="G20" i="2"/>
  <c r="L58" i="2" l="1"/>
  <c r="D18" i="4"/>
  <c r="G58" i="2"/>
  <c r="G69" i="2"/>
  <c r="L69" i="2"/>
  <c r="J79" i="2"/>
  <c r="Z41" i="4"/>
  <c r="AH41" i="4"/>
  <c r="AA41" i="4"/>
  <c r="AB41" i="4"/>
  <c r="AC41" i="4"/>
  <c r="X41" i="4"/>
  <c r="AD41" i="4"/>
  <c r="W41" i="4"/>
  <c r="AE41" i="4"/>
  <c r="AF41" i="4"/>
  <c r="Y41" i="4"/>
  <c r="AG41" i="4"/>
  <c r="T5" i="5" l="1"/>
  <c r="H4" i="5"/>
  <c r="F4" i="5"/>
  <c r="E4" i="5" l="1"/>
  <c r="F13" i="12"/>
  <c r="G13" i="2"/>
  <c r="D12" i="4" s="1"/>
  <c r="K14" i="12"/>
  <c r="V13" i="4"/>
  <c r="L14" i="2"/>
  <c r="Q63" i="5"/>
  <c r="M63" i="5"/>
  <c r="G13" i="4" l="1"/>
  <c r="AA13" i="4"/>
  <c r="AB13" i="4"/>
  <c r="AC13" i="4"/>
  <c r="X13" i="4"/>
  <c r="AD13" i="4"/>
  <c r="W13" i="4"/>
  <c r="AE13" i="4"/>
  <c r="Y13" i="4"/>
  <c r="AG13" i="4"/>
  <c r="Z13" i="4"/>
  <c r="AH13" i="4"/>
  <c r="AF13" i="4"/>
  <c r="G63" i="5"/>
  <c r="L79" i="2"/>
  <c r="V6" i="5" l="1"/>
  <c r="W6" i="5"/>
  <c r="U6" i="5"/>
  <c r="K7" i="5" l="1"/>
  <c r="L7" i="5" s="1"/>
  <c r="S7" i="5"/>
  <c r="T7" i="5" s="1"/>
  <c r="P6" i="5"/>
  <c r="L6" i="5"/>
  <c r="H6" i="5"/>
  <c r="K63" i="5" l="1"/>
  <c r="F15" i="12"/>
  <c r="F17" i="12" s="1"/>
  <c r="F57" i="12" s="1"/>
  <c r="G15" i="2"/>
  <c r="H67" i="5"/>
  <c r="K16" i="12"/>
  <c r="K17" i="12" s="1"/>
  <c r="K57" i="12" s="1"/>
  <c r="K64" i="12" s="1"/>
  <c r="K66" i="12" s="1"/>
  <c r="V15" i="4"/>
  <c r="L16" i="2"/>
  <c r="L17" i="2" s="1"/>
  <c r="L70" i="2" s="1"/>
  <c r="L80" i="2" s="1"/>
  <c r="L82" i="2" s="1"/>
  <c r="I15" i="12"/>
  <c r="J15" i="2"/>
  <c r="E14" i="4" s="1"/>
  <c r="L67" i="5"/>
  <c r="I16" i="12"/>
  <c r="J16" i="2"/>
  <c r="E15" i="4" s="1"/>
  <c r="G15" i="4" l="1"/>
  <c r="G66" i="4" s="1"/>
  <c r="J75" i="4"/>
  <c r="I75" i="4"/>
  <c r="G17" i="2"/>
  <c r="G70" i="2" s="1"/>
  <c r="D14" i="4"/>
  <c r="D66" i="4" s="1"/>
  <c r="E66" i="4"/>
  <c r="J17" i="2"/>
  <c r="J70" i="2" s="1"/>
  <c r="J80" i="2" s="1"/>
  <c r="I17" i="12"/>
  <c r="I57" i="12" s="1"/>
  <c r="I64" i="12" s="1"/>
  <c r="AA15" i="4"/>
  <c r="AF15" i="4"/>
  <c r="AB15" i="4"/>
  <c r="AC15" i="4"/>
  <c r="AD15" i="4"/>
  <c r="X15" i="4"/>
  <c r="W15" i="4"/>
  <c r="AE15" i="4"/>
  <c r="Y15" i="4"/>
  <c r="AG15" i="4"/>
  <c r="Z15" i="4"/>
  <c r="AH15" i="4"/>
  <c r="O75" i="4"/>
  <c r="N75" i="4"/>
  <c r="T75" i="4"/>
  <c r="V66" i="4"/>
  <c r="M75" i="4"/>
  <c r="S75" i="4"/>
  <c r="Q75" i="4"/>
  <c r="L75" i="4"/>
  <c r="K75" i="4"/>
  <c r="P75" i="4"/>
  <c r="R75" i="4"/>
  <c r="AK66" i="4" l="1"/>
  <c r="G68" i="4"/>
  <c r="V75" i="4"/>
</calcChain>
</file>

<file path=xl/sharedStrings.xml><?xml version="1.0" encoding="utf-8"?>
<sst xmlns="http://schemas.openxmlformats.org/spreadsheetml/2006/main" count="794" uniqueCount="212">
  <si>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</si>
  <si>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</si>
  <si>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</si>
  <si>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</si>
  <si>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</si>
  <si>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</si>
  <si>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</si>
  <si>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</si>
  <si>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</si>
  <si>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</si>
  <si>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</si>
  <si>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</si>
  <si>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Ед. изм.</t>
  </si>
  <si>
    <t>Приложение № 2</t>
  </si>
  <si>
    <t>к Договору строительного подряда №_____ от "___" _____20__г.</t>
  </si>
  <si>
    <t>Календарный график производства Комплекса работ</t>
  </si>
  <si>
    <t>по объекту</t>
  </si>
  <si>
    <t>№ п/п</t>
  </si>
  <si>
    <t>Заказчик:</t>
  </si>
  <si>
    <t>Подрядчик:</t>
  </si>
  <si>
    <t>Приложение №1</t>
  </si>
  <si>
    <t>к Договору строительного подряда №___ от______</t>
  </si>
  <si>
    <t>Ведомость</t>
  </si>
  <si>
    <t>твердой договорной цены по объекту:</t>
  </si>
  <si>
    <t>N лок. сметы</t>
  </si>
  <si>
    <t>Наименование работ и затрат</t>
  </si>
  <si>
    <t>Объем работ</t>
  </si>
  <si>
    <t>Индексы пересчета</t>
  </si>
  <si>
    <t>Договорная цена на период исполнения по договору</t>
  </si>
  <si>
    <t>Всего</t>
  </si>
  <si>
    <t>В том числе по годам</t>
  </si>
  <si>
    <t>Объем</t>
  </si>
  <si>
    <t>Глава 1. Подготовка территории строительства.</t>
  </si>
  <si>
    <t>Итого по главе 1</t>
  </si>
  <si>
    <t>Глава 2. Основные объекты строительства.</t>
  </si>
  <si>
    <t>Итого по главе 2</t>
  </si>
  <si>
    <t>Глава 5. Объекты транспортного хозяйства и связи.</t>
  </si>
  <si>
    <t>Итого по главе 5</t>
  </si>
  <si>
    <t>Итого по главам 1-7</t>
  </si>
  <si>
    <t>Глава 9. Прочие работы и затраты.</t>
  </si>
  <si>
    <t>Пусконаладочные работы</t>
  </si>
  <si>
    <t>Итого по главе 9</t>
  </si>
  <si>
    <t>Итого по главам 1-9</t>
  </si>
  <si>
    <t>Твердая договорная цена</t>
  </si>
  <si>
    <t>2023г.</t>
  </si>
  <si>
    <t>Стоимость, тыс. руб.</t>
  </si>
  <si>
    <t>-</t>
  </si>
  <si>
    <t>00-05-2-01-01</t>
  </si>
  <si>
    <t xml:space="preserve">Дополнительные затраты при производстве работ в зимнее время </t>
  </si>
  <si>
    <t>Непредвиденные работы и затраты</t>
  </si>
  <si>
    <t>Расчет</t>
  </si>
  <si>
    <t>Твердая договорная цена (на 2023 год)</t>
  </si>
  <si>
    <t>"Перевод участка Дербент – Самур (до государственной границы) на систему тяги переменного тока"</t>
  </si>
  <si>
    <t>Перегон Араблинский-Белиджи. Переустройство подвески существующих ВОЛП МР Кавказ</t>
  </si>
  <si>
    <t>Перегон Белиджи-Самур. Переустройство подвески существующих ВОЛП МР Кавказ</t>
  </si>
  <si>
    <t>Перегон Араблинский-Белиджи.Переустройство подвески существуюющих ВОЛС ФСБ России</t>
  </si>
  <si>
    <t>Перегон Белиджи-Самур. Переустройство подвески существуюющих ВОЛС ФСБ России</t>
  </si>
  <si>
    <t>Перегон Дербент-Араблинский. Переустройство подвески существующих ВОЛП МР Кавказ</t>
  </si>
  <si>
    <t>Перегон Дербент-Араблинский. Переустройство подвески существующих ВОЛC ФСБ России</t>
  </si>
  <si>
    <t>Ст.Белиджи. Переустройство подвески существующих ВОЛП МР Кавказ</t>
  </si>
  <si>
    <t>Ст.Белиджи. Переустройство подвески существующей ВОЛC ФСБ России</t>
  </si>
  <si>
    <t>00-05-2-01-02</t>
  </si>
  <si>
    <t>00-05-2-01-03</t>
  </si>
  <si>
    <t>00-05-2-01-04</t>
  </si>
  <si>
    <t>00-05-2-01-05</t>
  </si>
  <si>
    <t>00-05-2-01-06</t>
  </si>
  <si>
    <t>00-05-2-01-07</t>
  </si>
  <si>
    <t>00-05-2-01-08</t>
  </si>
  <si>
    <t>ЛС №00-01-1-01-01</t>
  </si>
  <si>
    <t>ЛС №00-01-1-01-02</t>
  </si>
  <si>
    <t>ЛС №00-01-1-01-03</t>
  </si>
  <si>
    <t>ЛС №00-01-1-01-04</t>
  </si>
  <si>
    <t>Перегон Араблинский-Белиджи. Вынос существующих магистральных кабелей связи РЦС-4 и переустройство кабельных ответвлений</t>
  </si>
  <si>
    <t>Перегон Белиджи-Самур. Вынос существующих магистральных кабелей связи РЦС-4 и переустройство кабельных ответвлений</t>
  </si>
  <si>
    <t>Перегон Дербент-Араблинский. Вынос существующих магистральных кабелей связи РЦС-4 и переустройство кабельных ответвлений</t>
  </si>
  <si>
    <t xml:space="preserve">Вынос существующих магистральных кабелей связи РЦС-4
</t>
  </si>
  <si>
    <t>Раздел 3. Контактная сеть</t>
  </si>
  <si>
    <t>Контактная сеть, Перегон Араблинский - Белиджи</t>
  </si>
  <si>
    <t>Контактная сеть, Перегон Белиджи - Самур</t>
  </si>
  <si>
    <t>Контактная сеть, ст. Дербент - Араблинский</t>
  </si>
  <si>
    <t>Контактная сеть, ст. Белиджи</t>
  </si>
  <si>
    <t xml:space="preserve">Контактная сеть. Замена подвески, Перегон Араблинский - Белиджи </t>
  </si>
  <si>
    <t>Контактная сеть. Замена подвески, Перегон Белиджи - Самур</t>
  </si>
  <si>
    <t>Контактная сеть, Перегон Самур - Граница</t>
  </si>
  <si>
    <t>Контактная сеть. Замена подвески, Перегон Самур - Граница</t>
  </si>
  <si>
    <t>ЛС №00-02-3-00-01</t>
  </si>
  <si>
    <t>Специальные конструкции для прокладки коммуникаций. Каменный мост (четный путь) на 2430 км ПК 4</t>
  </si>
  <si>
    <t>ЛС №00-02-3-01-02</t>
  </si>
  <si>
    <t>Специальные конструкции для прокладки коммуникаций. Каменный мост (четный путь) на 2448 км ПК 9</t>
  </si>
  <si>
    <t>ЛС №00-02-3-01-03</t>
  </si>
  <si>
    <t>Специальные конструкции для прокладки коммуникаций. Железобетонный мост (нечетный путь) на 2448 км ПК 9</t>
  </si>
  <si>
    <t>ЛС №00-02-3-00-06</t>
  </si>
  <si>
    <t>Специальные конструкции для прокладки коммуникаций. Металлический мост (нечетный путь) на 2447 км ПК 1</t>
  </si>
  <si>
    <t>ЛС №00-02-3-00-07</t>
  </si>
  <si>
    <t>Специальные конструкции для прокладки коммуникаций. Железобетонный мост (нечетный путь) на 2441 км ПК 8</t>
  </si>
  <si>
    <t>ЛС №00-02-3-00-08</t>
  </si>
  <si>
    <t>Специальные конструкции для прокладки коммуникаций. Железобетонный мост (четный путь) на 2420 км ПК 6</t>
  </si>
  <si>
    <t>ЛС №00-02-3-00-09</t>
  </si>
  <si>
    <t>Специальные конструкции для прокладки коммуникаций. Железобетонный мост (нечетный путь) на 2420 км ПК 6</t>
  </si>
  <si>
    <t>ЛС №00-02-3-00-10</t>
  </si>
  <si>
    <t>Специальные конструкции для прокладки коммуникаций. Металлический мост (нечетный путь) на 2430 км ПК 4</t>
  </si>
  <si>
    <t>ЛС №00-02-3-00-11</t>
  </si>
  <si>
    <t>Специальные конструкции для прокладки коммуникаций. Каменный мост (четный путь) на 2435 км ПК 9</t>
  </si>
  <si>
    <t>ЛС №00-02-3-00-12</t>
  </si>
  <si>
    <t>Специальные конструкции для прокладки коммуникаций. Железобетонный мост (нечетный путь) на 2435 км ПК 9</t>
  </si>
  <si>
    <t>ЛС №00-02-3-00-13</t>
  </si>
  <si>
    <t>Специальные конструкции для прокладки коммуникаций. Металлический мост (четный путь) на 2445 км ПК 6</t>
  </si>
  <si>
    <t>ЛС №00-02-3-00-14</t>
  </si>
  <si>
    <t>Специальные конструкции для прокладки коммуникаций. Железобетонный мост (нечетный путь) на 2445 км ПК 6</t>
  </si>
  <si>
    <t>ЛС №00-02-3-00-15</t>
  </si>
  <si>
    <t>Специальные конструкции для прокладки коммуникаций. Бетонная труба (нечетный путь) на 2447 км ПК 10</t>
  </si>
  <si>
    <t>ЛС №00-02-3-00-16</t>
  </si>
  <si>
    <t>Специальные конструкции для прокладки коммуникаций. Каменный мост (четный путь) на 2447 км ПК 10</t>
  </si>
  <si>
    <t>ЛС №00-02-3-00-17</t>
  </si>
  <si>
    <t>Специальные конструкции для прокладки коммуникаций. Металлический мост (четный путь) на 2441 км ПК 8</t>
  </si>
  <si>
    <t>ЛС №00-02-3-00-18</t>
  </si>
  <si>
    <t>Специальные конструкции для прокладки коммуникаций. Каменный мост (четный путь) на 2447 км ПК 1</t>
  </si>
  <si>
    <t>Раздел 2. Сети связи</t>
  </si>
  <si>
    <t>Наименование объекта и  видов работ</t>
  </si>
  <si>
    <t>Раздел 3. Искусственные сооружения</t>
  </si>
  <si>
    <t>Перевод участка Дербент – Самур (до государственной границы) на систему тяги переменного тока</t>
  </si>
  <si>
    <t>работы</t>
  </si>
  <si>
    <t>материалы</t>
  </si>
  <si>
    <t>оборудование</t>
  </si>
  <si>
    <t>Цена работ в базисных ценах,  руб.</t>
  </si>
  <si>
    <t>Цена работ в текущих ценах,       
руб.</t>
  </si>
  <si>
    <t>Цена работ в 2023 г. в базисных ценах,      
руб.</t>
  </si>
  <si>
    <t>Цена работ в 2023 г. в текущих ценах,      
руб.</t>
  </si>
  <si>
    <t>ЛС №-02-7-00-01И</t>
  </si>
  <si>
    <t>ЛС №-02-7-00-02И</t>
  </si>
  <si>
    <t>ЛС №-02-7-00-03И</t>
  </si>
  <si>
    <t>ЛС №-02-7-00-04</t>
  </si>
  <si>
    <t>ЛС №-02-7-00-05</t>
  </si>
  <si>
    <t>ЛС №-02-7-00-06</t>
  </si>
  <si>
    <t>ЛС №-02-7-00-07</t>
  </si>
  <si>
    <t>ЛС №-02-7-00-08</t>
  </si>
  <si>
    <t>Временные здания и сооружения</t>
  </si>
  <si>
    <t>Сметная стоимость СМР в ц. 2000</t>
  </si>
  <si>
    <t>График движения людских ресурсов (чел)</t>
  </si>
  <si>
    <t xml:space="preserve">в том числе ССПС </t>
  </si>
  <si>
    <t xml:space="preserve">в том числе АДМ </t>
  </si>
  <si>
    <t>в том числе АВФ</t>
  </si>
  <si>
    <t>в том числе БКМ</t>
  </si>
  <si>
    <t>в том числе МШТС</t>
  </si>
  <si>
    <t>График движения технических ресурсов (ед. техники):</t>
  </si>
  <si>
    <t>График движения денежных ресурсов (тыс, руб)</t>
  </si>
  <si>
    <t>Цена работ в текущих ценах,            тыс. руб., без НДС</t>
  </si>
  <si>
    <t>Цена работ в базисных ценах,         тыс. руб., без НДС</t>
  </si>
  <si>
    <t>Сроки выполнения работ в 2023 году    
 (% от цены работ по смете)</t>
  </si>
  <si>
    <t>Сроки выполнения работ в 2023 году    
 (тыс руб, без НДС)</t>
  </si>
  <si>
    <t>Цена работ в 2023 году текущих ценах,            тыс. руб., без НДС</t>
  </si>
  <si>
    <t>ЛС №00-02-7-00р-01</t>
  </si>
  <si>
    <t xml:space="preserve"> Тяговая подстанция Белиджи. Архитектурно-строительные решения</t>
  </si>
  <si>
    <t>ЛС №00-02-7-00р-02</t>
  </si>
  <si>
    <t>Тяговая подстанция Белиджи. Релейная защита и автоматика</t>
  </si>
  <si>
    <t>ЛС №00-02-7-00р-03</t>
  </si>
  <si>
    <t>ЛС №00-02-7-00р-04</t>
  </si>
  <si>
    <t>ЛС №00-02-7-00р-05</t>
  </si>
  <si>
    <t>ЛС №00-02-7-00р-06</t>
  </si>
  <si>
    <t>Тяговая подстанция Белиджи. Комплекс технических средств безопасности</t>
  </si>
  <si>
    <t>ЛС №00-02-7-00р-07</t>
  </si>
  <si>
    <t>Тяговая подстанция Белиджи. Сети связи</t>
  </si>
  <si>
    <t>ЛС №00-02-7-01-01</t>
  </si>
  <si>
    <t>Устройство фундаментов,лестницы и ограждения, перегон Самур-Гос.граница.Площадка поста секционирования на ПК24539+40,0.Пост секционирования ПС-25-2-У1</t>
  </si>
  <si>
    <t>ЛС №00-02-7-01-02</t>
  </si>
  <si>
    <t>Приобретение и установка поста секционирования переменного тока, Перегон Самур - Гос. граница. Площадка поста секционирования на ПК 24539+40,00. Пост секционирования ПС 25-2-У1</t>
  </si>
  <si>
    <t>ЛС №00-02-7-01-03</t>
  </si>
  <si>
    <t>Установка СТП-10 (КТП-ПЭ N1, КТП-АБ N2), Перегон Самур - Гос.граница. Площадка поста секционирования на ПК 24539+40. Пост секционирования ПС 25-2-У1.Электроснабжение СН</t>
  </si>
  <si>
    <t>ЛС №00-02-7-01-04</t>
  </si>
  <si>
    <t>Сети 0,4кВ, Перегон Самур - Гос.граница. Площадка поста секционирования на ПК 24539+40. Пост секционирования ПС 25-2-У1. Электроснабжение СН</t>
  </si>
  <si>
    <t>ЛС №00-02-7-01-05</t>
  </si>
  <si>
    <t>Прокладка кабельной линии под ж.д.путем методом прокола, Перегон Самур - Гос.граница. Площадка поста секционирования на ПК 24539+40. Пост секционирования ПС 25-2-У1. Электроснабжение СН</t>
  </si>
  <si>
    <t>ЛС №00-02-7-01-06</t>
  </si>
  <si>
    <t>Организация АИИС КУЭ, Перегон Самур - Гос.граница. Площадка поста секционирования на ПК 24539+40. Пост секционирования ПС 25-2-У1. Электроснабжение СН</t>
  </si>
  <si>
    <t>00-09-0-01-01</t>
  </si>
  <si>
    <t>Пусконаладочные работы устройств поста секционирования, Перегон Самур - Гос. граница. Площадка поста секционирования на ПК 24539+40,00. Пост секционирования ПС 25-2-У1</t>
  </si>
  <si>
    <t>00-09-0-01-02</t>
  </si>
  <si>
    <t>Пусконаладочные работы устройств электроснабжения СН, Перегон Самур - Гос.граница. Площадка поста секционирования на ПК 24539+40. Пост секционирования ПС 25-2-У1</t>
  </si>
  <si>
    <t>00-09-0-01-03</t>
  </si>
  <si>
    <t>Пусконаладочные работы устройств АИИС КУЭ, Перегон Самур - Гос.граница. Площадка поста секционирования на ПК 24539+40. Пост секционирования ПС 25-2-У1. Электроснабжение СН</t>
  </si>
  <si>
    <t>Глава 9. Пусконаладочные работы</t>
  </si>
  <si>
    <t>Раздел 7. Контактная сеть.</t>
  </si>
  <si>
    <t>Номера пунктов смет</t>
  </si>
  <si>
    <t>все</t>
  </si>
  <si>
    <t>1-11, 17-28</t>
  </si>
  <si>
    <t>1-26, 33-69, 81-87, 117-126, 129-131, 133, 135-157, 161-163, 166, 174-178</t>
  </si>
  <si>
    <t>Глава 10. Прочие работы и затраты.</t>
  </si>
  <si>
    <t>Итого по главам 1-10</t>
  </si>
  <si>
    <t>Итого по главам 1-5</t>
  </si>
  <si>
    <t>получены пересчетом  в теущие цены по к-там в смете, без дефляторов на 2023г</t>
  </si>
  <si>
    <t>Итого СМР:</t>
  </si>
  <si>
    <t>Итого оборудования:</t>
  </si>
  <si>
    <t>Цена оборудования в 2023 году текущих ценах,            тыс. руб., без НДС</t>
  </si>
  <si>
    <t>Итого по главе 10</t>
  </si>
  <si>
    <t>Всего:</t>
  </si>
  <si>
    <t>Лимит на оборудования в 2023 г.</t>
  </si>
  <si>
    <t xml:space="preserve">Ведомость договорной цены </t>
  </si>
  <si>
    <t>в руб.</t>
  </si>
  <si>
    <t xml:space="preserve">Наименование работ и затрат </t>
  </si>
  <si>
    <t xml:space="preserve">Всего  </t>
  </si>
  <si>
    <t>ЗАКАЗЧИК:</t>
  </si>
  <si>
    <t>Ведомость договорной цены подлежит корректировке по итогу получения положительного заключения ЦУЭП ОАО "РЖД"</t>
  </si>
  <si>
    <t>(Код ИП: 001.2020.10001293 )</t>
  </si>
  <si>
    <t>по объекту: «Перевод участка Дербент – Самур (до государственной границы) на систему тяги переменного тока»</t>
  </si>
  <si>
    <t>____________________ /С.А.Столяров/</t>
  </si>
  <si>
    <t>Генеральный директор ООО                                                                                                                                                   «РЖД Интернешнл»</t>
  </si>
  <si>
    <t>к Договору №_____________ от_________________ года</t>
  </si>
  <si>
    <t xml:space="preserve">____________________ </t>
  </si>
  <si>
    <t xml:space="preserve">                                                                                                                                                  </t>
  </si>
  <si>
    <t>СУБПОДРЯДЧИК:</t>
  </si>
  <si>
    <t>Кроме того НДС 20 %</t>
  </si>
  <si>
    <t>Итого по ведомости договорной цены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</si>
</sst>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0" fontId="15" fillId="0" borderId="0"/>
    <xf numFmtId="0" fontId="16" fillId="0" borderId="0"/>
    <xf numFmtId="0" fontId="17" fillId="0" borderId="0"/>
    <xf numFmtId="0" fontId="17" fillId="0" borderId="0"/>
  </cellStyleXfs>
  <cellXfs count="296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0" xfId="0" applyFont="1" applyFill="1"/>
    <xf numFmtId="0" fontId="6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center" wrapText="1"/>
    </xf>
    <xf numFmtId="4" fontId="6" fillId="0" borderId="20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horizontal="center" wrapText="1"/>
    </xf>
    <xf numFmtId="0" fontId="3" fillId="0" borderId="27" xfId="0" applyFont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left" vertical="center" wrapText="1"/>
    </xf>
    <xf numFmtId="0" fontId="0" fillId="0" borderId="0" xfId="0" applyBorder="1"/>
    <xf numFmtId="4" fontId="0" fillId="0" borderId="0" xfId="0" applyNumberFormat="1" applyBorder="1"/>
    <xf numFmtId="0" fontId="3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/>
    <xf numFmtId="0" fontId="1" fillId="0" borderId="2" xfId="0" applyFont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0" fontId="8" fillId="0" borderId="2" xfId="0" applyNumberFormat="1" applyFont="1" applyBorder="1" applyAlignment="1">
      <alignment vertical="center" wrapText="1"/>
    </xf>
    <xf numFmtId="10" fontId="1" fillId="0" borderId="2" xfId="0" applyNumberFormat="1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2" fontId="1" fillId="0" borderId="32" xfId="0" applyNumberFormat="1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2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2" fillId="0" borderId="2" xfId="0" applyFont="1" applyBorder="1"/>
    <xf numFmtId="0" fontId="8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/>
    <xf numFmtId="0" fontId="2" fillId="0" borderId="1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0" fillId="0" borderId="0" xfId="0"/>
    <xf numFmtId="0" fontId="6" fillId="0" borderId="17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2" fontId="2" fillId="0" borderId="0" xfId="0" applyNumberFormat="1" applyFont="1"/>
    <xf numFmtId="0" fontId="3" fillId="0" borderId="30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4" fontId="1" fillId="0" borderId="12" xfId="0" applyNumberFormat="1" applyFont="1" applyFill="1" applyBorder="1" applyAlignment="1">
      <alignment vertical="center" wrapText="1"/>
    </xf>
    <xf numFmtId="4" fontId="0" fillId="0" borderId="12" xfId="0" applyNumberForma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2" fillId="0" borderId="0" xfId="0" applyNumberFormat="1" applyFont="1"/>
    <xf numFmtId="4" fontId="9" fillId="0" borderId="2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" fontId="7" fillId="0" borderId="0" xfId="0" applyNumberFormat="1" applyFont="1"/>
    <xf numFmtId="4" fontId="3" fillId="0" borderId="2" xfId="0" applyNumberFormat="1" applyFont="1" applyBorder="1" applyAlignment="1">
      <alignment vertical="center" wrapText="1"/>
    </xf>
    <xf numFmtId="0" fontId="14" fillId="0" borderId="0" xfId="0" applyFont="1" applyFill="1"/>
    <xf numFmtId="0" fontId="14" fillId="0" borderId="0" xfId="2" applyFont="1" applyFill="1" applyAlignment="1">
      <alignment horizontal="left"/>
    </xf>
    <xf numFmtId="0" fontId="14" fillId="0" borderId="0" xfId="2" applyFont="1" applyFill="1" applyAlignment="1">
      <alignment horizontal="right"/>
    </xf>
    <xf numFmtId="0" fontId="14" fillId="0" borderId="0" xfId="3" applyFont="1" applyFill="1" applyAlignment="1">
      <alignment horizontal="left"/>
    </xf>
    <xf numFmtId="0" fontId="14" fillId="0" borderId="0" xfId="3" applyFont="1" applyFill="1" applyAlignment="1">
      <alignment horizontal="right"/>
    </xf>
    <xf numFmtId="0" fontId="14" fillId="0" borderId="0" xfId="4" applyFont="1" applyFill="1" applyAlignment="1">
      <alignment horizontal="left"/>
    </xf>
    <xf numFmtId="0" fontId="14" fillId="0" borderId="0" xfId="4" applyFont="1" applyFill="1" applyAlignment="1">
      <alignment horizontal="right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/>
    <xf numFmtId="0" fontId="18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wrapText="1"/>
    </xf>
    <xf numFmtId="4" fontId="19" fillId="0" borderId="0" xfId="0" applyNumberFormat="1" applyFont="1" applyFill="1"/>
    <xf numFmtId="0" fontId="19" fillId="0" borderId="0" xfId="0" applyFont="1" applyFill="1"/>
    <xf numFmtId="0" fontId="19" fillId="0" borderId="0" xfId="0" applyFont="1"/>
    <xf numFmtId="0" fontId="14" fillId="0" borderId="2" xfId="0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3" fontId="14" fillId="0" borderId="2" xfId="5" applyNumberFormat="1" applyFont="1" applyFill="1" applyBorder="1" applyAlignment="1">
      <alignment horizontal="center" vertical="center" wrapText="1"/>
    </xf>
    <xf numFmtId="43" fontId="19" fillId="0" borderId="0" xfId="1" applyFont="1"/>
    <xf numFmtId="4" fontId="19" fillId="0" borderId="2" xfId="0" applyNumberFormat="1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4" fillId="0" borderId="0" xfId="0" applyFont="1"/>
    <xf numFmtId="0" fontId="22" fillId="0" borderId="0" xfId="5" applyFont="1" applyFill="1"/>
    <xf numFmtId="0" fontId="14" fillId="0" borderId="0" xfId="0" applyFont="1" applyAlignment="1">
      <alignment wrapText="1"/>
    </xf>
    <xf numFmtId="4" fontId="14" fillId="0" borderId="0" xfId="0" applyNumberFormat="1" applyFont="1" applyFill="1" applyAlignment="1">
      <alignment wrapText="1"/>
    </xf>
    <xf numFmtId="4" fontId="14" fillId="0" borderId="0" xfId="0" applyNumberFormat="1" applyFont="1" applyAlignment="1">
      <alignment wrapText="1"/>
    </xf>
    <xf numFmtId="0" fontId="14" fillId="0" borderId="0" xfId="0" applyFont="1" applyAlignment="1"/>
    <xf numFmtId="4" fontId="19" fillId="0" borderId="0" xfId="0" applyNumberFormat="1" applyFont="1" applyAlignment="1">
      <alignment wrapText="1"/>
    </xf>
    <xf numFmtId="0" fontId="14" fillId="0" borderId="0" xfId="0" applyFont="1" applyAlignment="1">
      <alignment horizontal="center"/>
    </xf>
    <xf numFmtId="0" fontId="19" fillId="0" borderId="0" xfId="0" applyFont="1" applyAlignment="1"/>
    <xf numFmtId="0" fontId="19" fillId="0" borderId="0" xfId="0" applyFont="1" applyAlignment="1">
      <alignment vertical="top"/>
    </xf>
    <xf numFmtId="0" fontId="19" fillId="0" borderId="0" xfId="0" applyFont="1" applyFill="1" applyAlignment="1"/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wrapText="1"/>
    </xf>
    <xf numFmtId="4" fontId="19" fillId="0" borderId="0" xfId="0" applyNumberFormat="1" applyFont="1" applyFill="1" applyAlignment="1">
      <alignment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wrapText="1"/>
    </xf>
    <xf numFmtId="4" fontId="23" fillId="0" borderId="0" xfId="0" applyNumberFormat="1" applyFont="1" applyFill="1" applyAlignment="1">
      <alignment wrapText="1"/>
    </xf>
    <xf numFmtId="4" fontId="23" fillId="0" borderId="0" xfId="0" applyNumberFormat="1" applyFont="1" applyAlignment="1">
      <alignment wrapText="1"/>
    </xf>
    <xf numFmtId="0" fontId="23" fillId="0" borderId="0" xfId="0" applyFont="1"/>
    <xf numFmtId="0" fontId="14" fillId="0" borderId="0" xfId="0" applyFont="1" applyAlignment="1">
      <alignment horizontal="left" vertical="top" wrapText="1"/>
    </xf>
    <xf numFmtId="0" fontId="18" fillId="0" borderId="0" xfId="0" applyFont="1" applyFill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21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justify" vertical="center" wrapText="1"/>
    </xf>
    <xf numFmtId="0" fontId="4" fillId="0" borderId="29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2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justify" vertical="center" wrapText="1"/>
    </xf>
    <xf numFmtId="0" fontId="4" fillId="0" borderId="26" xfId="0" applyFont="1" applyFill="1" applyBorder="1" applyAlignment="1">
      <alignment horizontal="justify" vertical="center" wrapText="1"/>
    </xf>
    <xf numFmtId="0" fontId="4" fillId="0" borderId="13" xfId="0" applyFont="1" applyFill="1" applyBorder="1" applyAlignment="1">
      <alignment horizontal="justify" vertical="center" wrapText="1"/>
    </xf>
    <xf numFmtId="0" fontId="4" fillId="0" borderId="14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2" fontId="1" fillId="0" borderId="30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/>
    </xf>
    <xf numFmtId="2" fontId="1" fillId="0" borderId="33" xfId="0" applyNumberFormat="1" applyFont="1" applyBorder="1" applyAlignment="1">
      <alignment horizontal="center" vertical="center"/>
    </xf>
    <xf numFmtId="2" fontId="1" fillId="0" borderId="34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32" xfId="0" applyNumberFormat="1" applyFont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center" vertical="center" wrapText="1"/>
    </xf>
    <xf numFmtId="4" fontId="3" fillId="0" borderId="34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4" fontId="19" fillId="0" borderId="33" xfId="0" applyNumberFormat="1" applyFont="1" applyFill="1" applyBorder="1" applyAlignment="1">
      <alignment horizontal="right" wrapText="1"/>
    </xf>
    <xf numFmtId="0" fontId="1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4" fillId="0" borderId="12" xfId="5" applyFont="1" applyFill="1" applyBorder="1" applyAlignment="1">
      <alignment horizontal="center" vertical="center" wrapText="1"/>
    </xf>
    <xf numFmtId="0" fontId="14" fillId="0" borderId="20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4" fontId="14" fillId="0" borderId="2" xfId="5" applyNumberFormat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4" fontId="19" fillId="0" borderId="27" xfId="0" applyNumberFormat="1" applyFont="1" applyFill="1" applyBorder="1" applyAlignment="1">
      <alignment horizontal="center" vertical="center" wrapText="1"/>
    </xf>
    <xf numFmtId="4" fontId="19" fillId="0" borderId="35" xfId="0" applyNumberFormat="1" applyFont="1" applyFill="1" applyBorder="1" applyAlignment="1">
      <alignment horizontal="center" vertical="center" wrapText="1"/>
    </xf>
    <xf numFmtId="4" fontId="20" fillId="0" borderId="27" xfId="0" applyNumberFormat="1" applyFont="1" applyFill="1" applyBorder="1" applyAlignment="1">
      <alignment horizontal="center" vertical="center" wrapText="1"/>
    </xf>
    <xf numFmtId="4" fontId="20" fillId="0" borderId="3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6" xfId="0" applyFont="1" applyFill="1" applyBorder="1" applyAlignment="1">
      <alignment horizontal="justify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3" xfId="5"/>
    <cellStyle name="Обычный 4" xfId="3"/>
    <cellStyle name="Обычный 9" xfId="2"/>
    <cellStyle name="Финансовый" xfId="1" builtinId="3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1.333330533689168E-2"/>
          <c:w val="1"/>
          <c:h val="0.84690110886906267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'График ГПР_Прил_2'!$I$84:$T$84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8710936"/>
        <c:axId val="128707800"/>
      </c:barChart>
      <c:catAx>
        <c:axId val="128710936"/>
        <c:scaling>
          <c:orientation val="minMax"/>
        </c:scaling>
        <c:delete val="1"/>
        <c:axPos val="b"/>
        <c:majorTickMark val="none"/>
        <c:minorTickMark val="none"/>
        <c:tickLblPos val="none"/>
        <c:crossAx val="128707800"/>
        <c:crosses val="autoZero"/>
        <c:auto val="1"/>
        <c:lblAlgn val="ctr"/>
        <c:lblOffset val="100"/>
        <c:noMultiLvlLbl val="0"/>
      </c:catAx>
      <c:valAx>
        <c:axId val="1287078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128710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3.3576986473260684E-2"/>
          <c:w val="1"/>
          <c:h val="0.9391723253572013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'График ГПР_Прил_2'!$I$75:$T$75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8705056"/>
        <c:axId val="128708584"/>
      </c:barChart>
      <c:catAx>
        <c:axId val="128705056"/>
        <c:scaling>
          <c:orientation val="minMax"/>
        </c:scaling>
        <c:delete val="1"/>
        <c:axPos val="b"/>
        <c:majorTickMark val="none"/>
        <c:minorTickMark val="none"/>
        <c:tickLblPos val="none"/>
        <c:crossAx val="128708584"/>
        <c:crosses val="autoZero"/>
        <c:auto val="1"/>
        <c:lblAlgn val="ctr"/>
        <c:lblOffset val="100"/>
        <c:noMultiLvlLbl val="0"/>
      </c:catAx>
      <c:valAx>
        <c:axId val="128708584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one"/>
        <c:crossAx val="1287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bg1"/>
          </a:solidFill>
        </a:defRPr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3.3576986473260684E-2"/>
          <c:w val="1"/>
          <c:h val="0.93917232535720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'График ГПР_Прил_2'!$I$78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'График ГПР_Прил_2'!$J$78:$T$78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8703880"/>
        <c:axId val="128705840"/>
      </c:barChart>
      <c:catAx>
        <c:axId val="128703880"/>
        <c:scaling>
          <c:orientation val="minMax"/>
        </c:scaling>
        <c:delete val="1"/>
        <c:axPos val="b"/>
        <c:majorTickMark val="none"/>
        <c:minorTickMark val="none"/>
        <c:tickLblPos val="none"/>
        <c:crossAx val="128705840"/>
        <c:crosses val="autoZero"/>
        <c:auto val="1"/>
        <c:lblAlgn val="ctr"/>
        <c:lblOffset val="100"/>
        <c:noMultiLvlLbl val="0"/>
      </c:catAx>
      <c:valAx>
        <c:axId val="1287058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128703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bg1"/>
          </a:solidFill>
        </a:defRPr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20655</xdr:colOff>
      <xdr:row>78</xdr:row>
      <xdr:rowOff>22952</xdr:rowOff>
    </xdr:from>
    <xdr:to>
      <xdr:col>19</xdr:col>
      <xdr:colOff>562319</xdr:colOff>
      <xdr:row>83</xdr:row>
      <xdr:rowOff>137713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22952</xdr:colOff>
      <xdr:row>69</xdr:row>
      <xdr:rowOff>22953</xdr:rowOff>
    </xdr:from>
    <xdr:to>
      <xdr:col>19</xdr:col>
      <xdr:colOff>562319</xdr:colOff>
      <xdr:row>74</xdr:row>
      <xdr:rowOff>137712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11477</xdr:colOff>
      <xdr:row>75</xdr:row>
      <xdr:rowOff>68855</xdr:rowOff>
    </xdr:from>
    <xdr:to>
      <xdr:col>19</xdr:col>
      <xdr:colOff>550844</xdr:colOff>
      <xdr:row>76</xdr:row>
      <xdr:rowOff>814787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74"/>
  <sheetViews>
    <sheetView workbookViewId="0">
      <selection activeCell="E16" sqref="E16"/>
    </sheetView>
  </sheetViews>
  <sheetFormatPr defaultColWidth="8.7109375" defaultRowHeight="12.75" outlineLevelCol="1" x14ac:dyDescent="0.2"/>
  <cols>
    <col min="1" max="1" width="9.42578125" style="10" customWidth="1"/>
    <col min="2" max="2" width="12.140625" style="10" customWidth="1"/>
    <col min="3" max="3" width="36.7109375" style="10" customWidth="1"/>
    <col min="4" max="5" width="10.5703125" style="10" customWidth="1"/>
    <col min="6" max="6" width="19" style="10" customWidth="1" outlineLevel="1"/>
    <col min="7" max="7" width="10.5703125" style="10" customWidth="1" outlineLevel="1"/>
    <col min="8" max="8" width="10.5703125" style="10" customWidth="1"/>
    <col min="9" max="9" width="13.42578125" style="10" bestFit="1" customWidth="1"/>
    <col min="10" max="10" width="10.5703125" style="10" customWidth="1"/>
    <col min="11" max="11" width="13.85546875" style="10" customWidth="1"/>
    <col min="12" max="12" width="8.7109375" style="10"/>
    <col min="13" max="13" width="12.42578125" style="10" bestFit="1" customWidth="1"/>
    <col min="14" max="16384" width="8.7109375" style="10"/>
  </cols>
  <sheetData>
    <row r="1" spans="1:11" x14ac:dyDescent="0.2">
      <c r="H1" s="20" t="s">
        <v>20</v>
      </c>
    </row>
    <row r="2" spans="1:11" x14ac:dyDescent="0.2">
      <c r="C2" s="21"/>
      <c r="H2" s="22" t="s">
        <v>21</v>
      </c>
    </row>
    <row r="3" spans="1:11" x14ac:dyDescent="0.2">
      <c r="A3" s="20"/>
    </row>
    <row r="4" spans="1:11" x14ac:dyDescent="0.2">
      <c r="A4" s="23" t="s">
        <v>22</v>
      </c>
    </row>
    <row r="5" spans="1:11" x14ac:dyDescent="0.2">
      <c r="A5" s="23" t="s">
        <v>23</v>
      </c>
    </row>
    <row r="6" spans="1:11" x14ac:dyDescent="0.2">
      <c r="A6" s="23" t="s">
        <v>52</v>
      </c>
    </row>
    <row r="7" spans="1:11" ht="13.5" thickBot="1" x14ac:dyDescent="0.25">
      <c r="A7" s="24"/>
    </row>
    <row r="8" spans="1:11" s="25" customFormat="1" x14ac:dyDescent="0.2">
      <c r="A8" s="216" t="s">
        <v>17</v>
      </c>
      <c r="B8" s="210" t="s">
        <v>24</v>
      </c>
      <c r="C8" s="210" t="s">
        <v>25</v>
      </c>
      <c r="D8" s="210" t="s">
        <v>12</v>
      </c>
      <c r="E8" s="210" t="s">
        <v>26</v>
      </c>
      <c r="F8" s="210" t="s">
        <v>137</v>
      </c>
      <c r="G8" s="210" t="s">
        <v>27</v>
      </c>
      <c r="H8" s="210" t="s">
        <v>28</v>
      </c>
      <c r="I8" s="210"/>
      <c r="J8" s="210"/>
      <c r="K8" s="210"/>
    </row>
    <row r="9" spans="1:11" s="25" customFormat="1" ht="15" customHeight="1" x14ac:dyDescent="0.2">
      <c r="A9" s="217"/>
      <c r="B9" s="194"/>
      <c r="C9" s="194"/>
      <c r="D9" s="194"/>
      <c r="E9" s="194"/>
      <c r="F9" s="194"/>
      <c r="G9" s="194"/>
      <c r="H9" s="194" t="s">
        <v>29</v>
      </c>
      <c r="I9" s="194"/>
      <c r="J9" s="194" t="s">
        <v>30</v>
      </c>
      <c r="K9" s="194"/>
    </row>
    <row r="10" spans="1:11" s="25" customFormat="1" ht="15" customHeight="1" x14ac:dyDescent="0.2">
      <c r="A10" s="217"/>
      <c r="B10" s="194"/>
      <c r="C10" s="194"/>
      <c r="D10" s="194"/>
      <c r="E10" s="194"/>
      <c r="F10" s="194"/>
      <c r="G10" s="194"/>
      <c r="H10" s="194"/>
      <c r="I10" s="194"/>
      <c r="J10" s="194" t="s">
        <v>44</v>
      </c>
      <c r="K10" s="194"/>
    </row>
    <row r="11" spans="1:11" s="25" customFormat="1" ht="26.25" thickBot="1" x14ac:dyDescent="0.25">
      <c r="A11" s="218"/>
      <c r="B11" s="211"/>
      <c r="C11" s="211"/>
      <c r="D11" s="211"/>
      <c r="E11" s="211"/>
      <c r="F11" s="211"/>
      <c r="G11" s="211"/>
      <c r="H11" s="107" t="s">
        <v>31</v>
      </c>
      <c r="I11" s="107" t="s">
        <v>45</v>
      </c>
      <c r="J11" s="107" t="s">
        <v>31</v>
      </c>
      <c r="K11" s="107" t="s">
        <v>45</v>
      </c>
    </row>
    <row r="12" spans="1:11" ht="12.75" customHeight="1" x14ac:dyDescent="0.2">
      <c r="A12" s="212" t="s">
        <v>32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</row>
    <row r="13" spans="1:11" ht="51" x14ac:dyDescent="0.2">
      <c r="A13" s="108">
        <v>1</v>
      </c>
      <c r="B13" s="106" t="s">
        <v>68</v>
      </c>
      <c r="C13" s="27" t="s">
        <v>72</v>
      </c>
      <c r="D13" s="106"/>
      <c r="E13" s="106"/>
      <c r="F13" s="28">
        <f>'разбивка по сметам'!$H4/1000</f>
        <v>3422.9059999999999</v>
      </c>
      <c r="G13" s="106"/>
      <c r="H13" s="106"/>
      <c r="I13" s="64">
        <f>'разбивка по сметам'!$L4/1000</f>
        <v>33421.392550000004</v>
      </c>
      <c r="J13" s="106"/>
      <c r="K13" s="28">
        <f>'разбивка по сметам'!T4/1000</f>
        <v>33421.392550000004</v>
      </c>
    </row>
    <row r="14" spans="1:11" ht="51" x14ac:dyDescent="0.2">
      <c r="A14" s="108">
        <v>2</v>
      </c>
      <c r="B14" s="106" t="s">
        <v>69</v>
      </c>
      <c r="C14" s="27" t="s">
        <v>73</v>
      </c>
      <c r="D14" s="106"/>
      <c r="E14" s="106"/>
      <c r="F14" s="28">
        <f>'разбивка по сметам'!$H5/1000</f>
        <v>2296.4940000000001</v>
      </c>
      <c r="G14" s="106"/>
      <c r="H14" s="106"/>
      <c r="I14" s="64">
        <f>'разбивка по сметам'!$L5/1000</f>
        <v>22208.692270000003</v>
      </c>
      <c r="J14" s="106"/>
      <c r="K14" s="28">
        <f>'разбивка по сметам'!T5/1000</f>
        <v>22208.692270000003</v>
      </c>
    </row>
    <row r="15" spans="1:11" ht="51" x14ac:dyDescent="0.2">
      <c r="A15" s="108">
        <v>3</v>
      </c>
      <c r="B15" s="106" t="s">
        <v>70</v>
      </c>
      <c r="C15" s="27" t="s">
        <v>74</v>
      </c>
      <c r="D15" s="106"/>
      <c r="E15" s="106"/>
      <c r="F15" s="28">
        <f>'разбивка по сметам'!$H6/1000</f>
        <v>1503.1849999999999</v>
      </c>
      <c r="G15" s="106"/>
      <c r="H15" s="106"/>
      <c r="I15" s="64">
        <f>'разбивка по сметам'!$L6/1000</f>
        <v>14624.578089999999</v>
      </c>
      <c r="J15" s="106"/>
      <c r="K15" s="28">
        <f>'разбивка по сметам'!T6/1000</f>
        <v>14624.578089999999</v>
      </c>
    </row>
    <row r="16" spans="1:11" ht="38.25" x14ac:dyDescent="0.2">
      <c r="A16" s="108">
        <v>4</v>
      </c>
      <c r="B16" s="106" t="s">
        <v>71</v>
      </c>
      <c r="C16" s="27" t="s">
        <v>75</v>
      </c>
      <c r="D16" s="106"/>
      <c r="E16" s="106"/>
      <c r="F16" s="28">
        <f>'разбивка по сметам'!$H7/1000</f>
        <v>426.17700000000002</v>
      </c>
      <c r="G16" s="106"/>
      <c r="H16" s="106"/>
      <c r="I16" s="64">
        <f>'разбивка по сметам'!$L7/1000</f>
        <v>4067.0625000000005</v>
      </c>
      <c r="J16" s="106"/>
      <c r="K16" s="28">
        <f>'разбивка по сметам'!T7/1000</f>
        <v>4067.0625000000005</v>
      </c>
    </row>
    <row r="17" spans="1:11" ht="13.5" thickBot="1" x14ac:dyDescent="0.25">
      <c r="A17" s="195" t="s">
        <v>33</v>
      </c>
      <c r="B17" s="196"/>
      <c r="C17" s="197"/>
      <c r="D17" s="13" t="s">
        <v>46</v>
      </c>
      <c r="E17" s="13" t="s">
        <v>46</v>
      </c>
      <c r="F17" s="30">
        <f>SUM(F13:F16)</f>
        <v>7648.7619999999988</v>
      </c>
      <c r="G17" s="29"/>
      <c r="H17" s="13" t="s">
        <v>46</v>
      </c>
      <c r="I17" s="30">
        <f>SUM(I13:I16)</f>
        <v>74321.725409999999</v>
      </c>
      <c r="J17" s="13" t="s">
        <v>46</v>
      </c>
      <c r="K17" s="30">
        <f>SUM(K13:K16)</f>
        <v>74321.725409999999</v>
      </c>
    </row>
    <row r="18" spans="1:11" x14ac:dyDescent="0.2">
      <c r="A18" s="214" t="s">
        <v>34</v>
      </c>
      <c r="B18" s="215"/>
      <c r="C18" s="215"/>
      <c r="D18" s="215"/>
      <c r="E18" s="215"/>
      <c r="F18" s="215"/>
      <c r="G18" s="215"/>
      <c r="H18" s="215"/>
      <c r="I18" s="215"/>
      <c r="J18" s="215"/>
      <c r="K18" s="215"/>
    </row>
    <row r="19" spans="1:11" x14ac:dyDescent="0.2">
      <c r="A19" s="206" t="s">
        <v>119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/>
    </row>
    <row r="20" spans="1:11" ht="38.25" x14ac:dyDescent="0.2">
      <c r="A20" s="108">
        <v>5</v>
      </c>
      <c r="B20" s="106" t="s">
        <v>85</v>
      </c>
      <c r="C20" s="27" t="s">
        <v>86</v>
      </c>
      <c r="D20" s="106"/>
      <c r="E20" s="31"/>
      <c r="F20" s="28">
        <f>'разбивка по сметам'!H10/1000</f>
        <v>382.56400000000002</v>
      </c>
      <c r="G20" s="106"/>
      <c r="H20" s="31"/>
      <c r="I20" s="64">
        <f>'разбивка по сметам'!$L10/1000</f>
        <v>3391.0549999999998</v>
      </c>
      <c r="J20" s="31"/>
      <c r="K20" s="28">
        <f>'разбивка по сметам'!T10/1000</f>
        <v>3391.0549999999998</v>
      </c>
    </row>
    <row r="21" spans="1:11" ht="38.25" x14ac:dyDescent="0.2">
      <c r="A21" s="108">
        <v>6</v>
      </c>
      <c r="B21" s="106" t="s">
        <v>87</v>
      </c>
      <c r="C21" s="27" t="s">
        <v>88</v>
      </c>
      <c r="D21" s="106"/>
      <c r="E21" s="106"/>
      <c r="F21" s="28">
        <f>'разбивка по сметам'!H11/1000</f>
        <v>1448.78</v>
      </c>
      <c r="G21" s="106"/>
      <c r="H21" s="106"/>
      <c r="I21" s="64">
        <f>'разбивка по сметам'!$L11/1000</f>
        <v>13406.789550000001</v>
      </c>
      <c r="J21" s="106"/>
      <c r="K21" s="28">
        <f>'разбивка по сметам'!T11/1000</f>
        <v>13406.789550000001</v>
      </c>
    </row>
    <row r="22" spans="1:11" ht="38.25" x14ac:dyDescent="0.2">
      <c r="A22" s="108">
        <v>7</v>
      </c>
      <c r="B22" s="106" t="s">
        <v>89</v>
      </c>
      <c r="C22" s="27" t="s">
        <v>90</v>
      </c>
      <c r="D22" s="106"/>
      <c r="E22" s="106"/>
      <c r="F22" s="28">
        <f>'разбивка по сметам'!H12/1000</f>
        <v>2014.5029999999999</v>
      </c>
      <c r="G22" s="106"/>
      <c r="H22" s="106"/>
      <c r="I22" s="64">
        <f>'разбивка по сметам'!$L12/1000</f>
        <v>18595.070789999998</v>
      </c>
      <c r="J22" s="106"/>
      <c r="K22" s="28">
        <f>'разбивка по сметам'!T12/1000</f>
        <v>18595.070789999998</v>
      </c>
    </row>
    <row r="23" spans="1:11" ht="38.25" x14ac:dyDescent="0.2">
      <c r="A23" s="108">
        <v>8</v>
      </c>
      <c r="B23" s="106" t="s">
        <v>91</v>
      </c>
      <c r="C23" s="27" t="s">
        <v>92</v>
      </c>
      <c r="D23" s="106"/>
      <c r="E23" s="106"/>
      <c r="F23" s="28">
        <f>'разбивка по сметам'!H13/1000</f>
        <v>77.587999999999994</v>
      </c>
      <c r="G23" s="106"/>
      <c r="H23" s="106"/>
      <c r="I23" s="64">
        <f>'разбивка по сметам'!$L13/1000</f>
        <v>685.49867000000006</v>
      </c>
      <c r="J23" s="106"/>
      <c r="K23" s="28">
        <f>'разбивка по сметам'!T13/1000</f>
        <v>685.49867000000006</v>
      </c>
    </row>
    <row r="24" spans="1:11" ht="38.25" x14ac:dyDescent="0.2">
      <c r="A24" s="108">
        <v>9</v>
      </c>
      <c r="B24" s="106" t="s">
        <v>93</v>
      </c>
      <c r="C24" s="27" t="s">
        <v>94</v>
      </c>
      <c r="D24" s="106"/>
      <c r="E24" s="106"/>
      <c r="F24" s="28">
        <f>'разбивка по сметам'!H14/1000</f>
        <v>1234.2539999999999</v>
      </c>
      <c r="G24" s="106"/>
      <c r="H24" s="106"/>
      <c r="I24" s="64">
        <f>'разбивка по сметам'!$L14/1000</f>
        <v>11429.426619999998</v>
      </c>
      <c r="J24" s="106"/>
      <c r="K24" s="28">
        <f>'разбивка по сметам'!T14/1000</f>
        <v>11429.426619999998</v>
      </c>
    </row>
    <row r="25" spans="1:11" ht="38.25" x14ac:dyDescent="0.2">
      <c r="A25" s="108">
        <v>10</v>
      </c>
      <c r="B25" s="106" t="s">
        <v>95</v>
      </c>
      <c r="C25" s="27" t="s">
        <v>96</v>
      </c>
      <c r="D25" s="106"/>
      <c r="E25" s="106"/>
      <c r="F25" s="28">
        <f>'разбивка по сметам'!H15/1000</f>
        <v>46.835000000000001</v>
      </c>
      <c r="G25" s="106"/>
      <c r="H25" s="106"/>
      <c r="I25" s="64">
        <f>'разбивка по сметам'!$L15/1000</f>
        <v>407.16795000000002</v>
      </c>
      <c r="J25" s="106"/>
      <c r="K25" s="28">
        <f>'разбивка по сметам'!T15/1000</f>
        <v>407.16795000000002</v>
      </c>
    </row>
    <row r="26" spans="1:11" ht="38.25" x14ac:dyDescent="0.2">
      <c r="A26" s="108">
        <v>11</v>
      </c>
      <c r="B26" s="106" t="s">
        <v>97</v>
      </c>
      <c r="C26" s="27" t="s">
        <v>98</v>
      </c>
      <c r="D26" s="106"/>
      <c r="E26" s="106"/>
      <c r="F26" s="28">
        <f>'разбивка по сметам'!H16/1000</f>
        <v>45.720999999999997</v>
      </c>
      <c r="G26" s="106"/>
      <c r="H26" s="106"/>
      <c r="I26" s="64">
        <f>'разбивка по сметам'!$L16/1000</f>
        <v>396.84116999999998</v>
      </c>
      <c r="J26" s="106"/>
      <c r="K26" s="28">
        <f>'разбивка по сметам'!T16/1000</f>
        <v>396.84116999999998</v>
      </c>
    </row>
    <row r="27" spans="1:11" ht="38.25" x14ac:dyDescent="0.2">
      <c r="A27" s="108">
        <v>12</v>
      </c>
      <c r="B27" s="106" t="s">
        <v>99</v>
      </c>
      <c r="C27" s="27" t="s">
        <v>100</v>
      </c>
      <c r="D27" s="106"/>
      <c r="E27" s="106"/>
      <c r="F27" s="28">
        <f>'разбивка по сметам'!H17/1000</f>
        <v>115.64</v>
      </c>
      <c r="G27" s="106"/>
      <c r="H27" s="106"/>
      <c r="I27" s="64">
        <f>'разбивка по сметам'!$L17/1000</f>
        <v>997.32951999999977</v>
      </c>
      <c r="J27" s="106"/>
      <c r="K27" s="28">
        <f>'разбивка по сметам'!T17/1000</f>
        <v>997.32951999999977</v>
      </c>
    </row>
    <row r="28" spans="1:11" ht="38.25" x14ac:dyDescent="0.2">
      <c r="A28" s="108">
        <v>13</v>
      </c>
      <c r="B28" s="106" t="s">
        <v>101</v>
      </c>
      <c r="C28" s="27" t="s">
        <v>102</v>
      </c>
      <c r="D28" s="106"/>
      <c r="E28" s="106"/>
      <c r="F28" s="28">
        <f>'разбивка по сметам'!H18/1000</f>
        <v>96.814999999999998</v>
      </c>
      <c r="G28" s="106"/>
      <c r="H28" s="106"/>
      <c r="I28" s="64">
        <f>'разбивка по сметам'!$L18/1000</f>
        <v>873.80200000000002</v>
      </c>
      <c r="J28" s="106"/>
      <c r="K28" s="28">
        <f>'разбивка по сметам'!T18/1000</f>
        <v>873.80200000000002</v>
      </c>
    </row>
    <row r="29" spans="1:11" ht="38.25" x14ac:dyDescent="0.2">
      <c r="A29" s="108">
        <v>14</v>
      </c>
      <c r="B29" s="106" t="s">
        <v>103</v>
      </c>
      <c r="C29" s="27" t="s">
        <v>104</v>
      </c>
      <c r="D29" s="106"/>
      <c r="E29" s="106"/>
      <c r="F29" s="28">
        <f>'разбивка по сметам'!H19/1000</f>
        <v>94.003</v>
      </c>
      <c r="G29" s="106"/>
      <c r="H29" s="106"/>
      <c r="I29" s="64">
        <f>'разбивка по сметам'!$L19/1000</f>
        <v>839.08500000000004</v>
      </c>
      <c r="J29" s="106"/>
      <c r="K29" s="28">
        <f>'разбивка по сметам'!T19/1000</f>
        <v>839.08500000000004</v>
      </c>
    </row>
    <row r="30" spans="1:11" ht="38.25" x14ac:dyDescent="0.2">
      <c r="A30" s="108">
        <v>15</v>
      </c>
      <c r="B30" s="106" t="s">
        <v>105</v>
      </c>
      <c r="C30" s="27" t="s">
        <v>106</v>
      </c>
      <c r="D30" s="106"/>
      <c r="E30" s="106"/>
      <c r="F30" s="28">
        <f>'разбивка по сметам'!H20/1000</f>
        <v>2828.7460000000001</v>
      </c>
      <c r="G30" s="106"/>
      <c r="H30" s="106"/>
      <c r="I30" s="64">
        <f>'разбивка по сметам'!$L20/1000</f>
        <v>25239.785210000002</v>
      </c>
      <c r="J30" s="106"/>
      <c r="K30" s="28">
        <f>'разбивка по сметам'!T20/1000</f>
        <v>25239.785210000002</v>
      </c>
    </row>
    <row r="31" spans="1:11" ht="38.25" x14ac:dyDescent="0.2">
      <c r="A31" s="108">
        <v>16</v>
      </c>
      <c r="B31" s="106" t="s">
        <v>107</v>
      </c>
      <c r="C31" s="27" t="s">
        <v>108</v>
      </c>
      <c r="D31" s="106"/>
      <c r="E31" s="106"/>
      <c r="F31" s="28">
        <f>'разбивка по сметам'!H21/1000</f>
        <v>1788.585</v>
      </c>
      <c r="G31" s="106"/>
      <c r="H31" s="106"/>
      <c r="I31" s="64">
        <f>'разбивка по сметам'!$L21/1000</f>
        <v>16517.599490000001</v>
      </c>
      <c r="J31" s="106"/>
      <c r="K31" s="28">
        <f>'разбивка по сметам'!T21/1000</f>
        <v>16517.599490000001</v>
      </c>
    </row>
    <row r="32" spans="1:11" ht="38.25" x14ac:dyDescent="0.2">
      <c r="A32" s="108">
        <v>17</v>
      </c>
      <c r="B32" s="106" t="s">
        <v>109</v>
      </c>
      <c r="C32" s="27" t="s">
        <v>110</v>
      </c>
      <c r="D32" s="106"/>
      <c r="E32" s="106"/>
      <c r="F32" s="28">
        <f>'разбивка по сметам'!H22/1000</f>
        <v>54.966000000000001</v>
      </c>
      <c r="G32" s="106"/>
      <c r="H32" s="106"/>
      <c r="I32" s="64">
        <f>'разбивка по сметам'!$L22/1000</f>
        <v>413.78934999999996</v>
      </c>
      <c r="J32" s="106"/>
      <c r="K32" s="28">
        <f>'разбивка по сметам'!T22/1000</f>
        <v>413.78934999999996</v>
      </c>
    </row>
    <row r="33" spans="1:11" ht="38.25" x14ac:dyDescent="0.2">
      <c r="A33" s="108">
        <v>18</v>
      </c>
      <c r="B33" s="106" t="s">
        <v>111</v>
      </c>
      <c r="C33" s="27" t="s">
        <v>112</v>
      </c>
      <c r="D33" s="106"/>
      <c r="E33" s="106"/>
      <c r="F33" s="28">
        <f>'разбивка по сметам'!H23/1000</f>
        <v>89.685000000000002</v>
      </c>
      <c r="G33" s="106"/>
      <c r="H33" s="106"/>
      <c r="I33" s="64">
        <f>'разбивка по сметам'!$L23/1000</f>
        <v>807.70690000000002</v>
      </c>
      <c r="J33" s="106"/>
      <c r="K33" s="28">
        <f>'разбивка по сметам'!T23/1000</f>
        <v>807.70690000000002</v>
      </c>
    </row>
    <row r="34" spans="1:11" ht="38.25" x14ac:dyDescent="0.2">
      <c r="A34" s="108">
        <v>19</v>
      </c>
      <c r="B34" s="106" t="s">
        <v>113</v>
      </c>
      <c r="C34" s="27" t="s">
        <v>114</v>
      </c>
      <c r="D34" s="106"/>
      <c r="E34" s="106"/>
      <c r="F34" s="28">
        <f>'разбивка по сметам'!H24/1000</f>
        <v>727.59799999999996</v>
      </c>
      <c r="G34" s="106"/>
      <c r="H34" s="106"/>
      <c r="I34" s="64">
        <f>'разбивка по сметам'!$L24/1000</f>
        <v>6467.6381100000008</v>
      </c>
      <c r="J34" s="106"/>
      <c r="K34" s="28">
        <f>'разбивка по сметам'!T24/1000</f>
        <v>6467.6381100000008</v>
      </c>
    </row>
    <row r="35" spans="1:11" ht="38.25" x14ac:dyDescent="0.2">
      <c r="A35" s="108">
        <v>20</v>
      </c>
      <c r="B35" s="106" t="s">
        <v>115</v>
      </c>
      <c r="C35" s="27" t="s">
        <v>116</v>
      </c>
      <c r="D35" s="106"/>
      <c r="E35" s="106"/>
      <c r="F35" s="28">
        <f>'разбивка по сметам'!H25/1000</f>
        <v>105.279</v>
      </c>
      <c r="G35" s="106"/>
      <c r="H35" s="106"/>
      <c r="I35" s="64">
        <f>'разбивка по сметам'!$L25/1000</f>
        <v>952.16823999999997</v>
      </c>
      <c r="J35" s="106"/>
      <c r="K35" s="28">
        <f>'разбивка по сметам'!T25/1000</f>
        <v>952.16823999999997</v>
      </c>
    </row>
    <row r="36" spans="1:11" ht="12.75" customHeight="1" x14ac:dyDescent="0.2">
      <c r="A36" s="206" t="s">
        <v>76</v>
      </c>
      <c r="B36" s="207"/>
      <c r="C36" s="207"/>
      <c r="D36" s="207"/>
      <c r="E36" s="207"/>
      <c r="F36" s="207"/>
      <c r="G36" s="207"/>
      <c r="H36" s="207"/>
      <c r="I36" s="207"/>
      <c r="J36" s="207"/>
      <c r="K36" s="207"/>
    </row>
    <row r="37" spans="1:11" ht="25.5" x14ac:dyDescent="0.2">
      <c r="A37" s="108">
        <v>21</v>
      </c>
      <c r="B37" s="106" t="s">
        <v>128</v>
      </c>
      <c r="C37" s="27" t="s">
        <v>77</v>
      </c>
      <c r="D37" s="106"/>
      <c r="E37" s="106"/>
      <c r="F37" s="28">
        <f>'разбивка по сметам'!H27/1000</f>
        <v>30890.041000000001</v>
      </c>
      <c r="G37" s="106"/>
      <c r="H37" s="106"/>
      <c r="I37" s="64">
        <f>'разбивка по сметам'!$L27/1000</f>
        <v>269549.77541</v>
      </c>
      <c r="J37" s="106"/>
      <c r="K37" s="28">
        <f>'разбивка по сметам'!T27/1000</f>
        <v>181341.89462000001</v>
      </c>
    </row>
    <row r="38" spans="1:11" ht="25.5" x14ac:dyDescent="0.2">
      <c r="A38" s="108">
        <v>22</v>
      </c>
      <c r="B38" s="106" t="s">
        <v>129</v>
      </c>
      <c r="C38" s="27" t="s">
        <v>78</v>
      </c>
      <c r="D38" s="106"/>
      <c r="E38" s="106"/>
      <c r="F38" s="28">
        <f>'разбивка по сметам'!H28/1000</f>
        <v>31943.183000000001</v>
      </c>
      <c r="G38" s="106"/>
      <c r="H38" s="106"/>
      <c r="I38" s="64">
        <f>'разбивка по сметам'!$L28/1000</f>
        <v>275660.57863</v>
      </c>
      <c r="J38" s="106"/>
      <c r="K38" s="28">
        <f>'разбивка по сметам'!T28/1000</f>
        <v>193575.07744999998</v>
      </c>
    </row>
    <row r="39" spans="1:11" ht="25.5" x14ac:dyDescent="0.2">
      <c r="A39" s="108">
        <v>23</v>
      </c>
      <c r="B39" s="106" t="s">
        <v>130</v>
      </c>
      <c r="C39" s="27" t="s">
        <v>79</v>
      </c>
      <c r="D39" s="106"/>
      <c r="E39" s="106"/>
      <c r="F39" s="28">
        <f>'разбивка по сметам'!H29/1000</f>
        <v>21557.821</v>
      </c>
      <c r="G39" s="106"/>
      <c r="H39" s="106"/>
      <c r="I39" s="64">
        <f>'разбивка по сметам'!$L29/1000</f>
        <v>185110.46446000002</v>
      </c>
      <c r="J39" s="106"/>
      <c r="K39" s="28">
        <f>'разбивка по сметам'!T29/1000</f>
        <v>117984.34531</v>
      </c>
    </row>
    <row r="40" spans="1:11" ht="25.5" x14ac:dyDescent="0.2">
      <c r="A40" s="108">
        <v>24</v>
      </c>
      <c r="B40" s="106" t="s">
        <v>131</v>
      </c>
      <c r="C40" s="27" t="s">
        <v>80</v>
      </c>
      <c r="D40" s="106"/>
      <c r="E40" s="106"/>
      <c r="F40" s="28">
        <f>'разбивка по сметам'!H30/1000</f>
        <v>13357.947</v>
      </c>
      <c r="G40" s="106"/>
      <c r="H40" s="106"/>
      <c r="I40" s="64">
        <f>'разбивка по сметам'!$L30/1000</f>
        <v>113152.10911</v>
      </c>
      <c r="J40" s="106"/>
      <c r="K40" s="28">
        <f>'разбивка по сметам'!T30/1000</f>
        <v>83219.755369999999</v>
      </c>
    </row>
    <row r="41" spans="1:11" ht="25.5" x14ac:dyDescent="0.2">
      <c r="A41" s="108">
        <v>25</v>
      </c>
      <c r="B41" s="106" t="s">
        <v>132</v>
      </c>
      <c r="C41" s="27" t="s">
        <v>81</v>
      </c>
      <c r="D41" s="106"/>
      <c r="E41" s="106"/>
      <c r="F41" s="28">
        <f>'разбивка по сметам'!H31/1000</f>
        <v>12243.638999999999</v>
      </c>
      <c r="G41" s="106"/>
      <c r="H41" s="106"/>
      <c r="I41" s="64">
        <f>'разбивка по сметам'!$L31/1000</f>
        <v>110640.30298999998</v>
      </c>
      <c r="J41" s="106"/>
      <c r="K41" s="28">
        <f>'разбивка по сметам'!T31/1000</f>
        <v>0</v>
      </c>
    </row>
    <row r="42" spans="1:11" ht="25.5" x14ac:dyDescent="0.2">
      <c r="A42" s="108">
        <v>26</v>
      </c>
      <c r="B42" s="106" t="s">
        <v>133</v>
      </c>
      <c r="C42" s="27" t="s">
        <v>82</v>
      </c>
      <c r="D42" s="106"/>
      <c r="E42" s="106"/>
      <c r="F42" s="28">
        <f>'разбивка по сметам'!H32/1000</f>
        <v>9449.18</v>
      </c>
      <c r="G42" s="106"/>
      <c r="H42" s="106"/>
      <c r="I42" s="64">
        <f>'разбивка по сметам'!$L32/1000</f>
        <v>85339.579400000002</v>
      </c>
      <c r="J42" s="106"/>
      <c r="K42" s="28">
        <f>'разбивка по сметам'!T32/1000</f>
        <v>0</v>
      </c>
    </row>
    <row r="43" spans="1:11" ht="25.5" x14ac:dyDescent="0.2">
      <c r="A43" s="108">
        <v>27</v>
      </c>
      <c r="B43" s="106" t="s">
        <v>134</v>
      </c>
      <c r="C43" s="27" t="s">
        <v>83</v>
      </c>
      <c r="D43" s="106"/>
      <c r="E43" s="106"/>
      <c r="F43" s="28">
        <f>'разбивка по сметам'!H33/1000</f>
        <v>13295.196</v>
      </c>
      <c r="G43" s="106"/>
      <c r="H43" s="106"/>
      <c r="I43" s="64">
        <f>'разбивка по сметам'!$L33/1000</f>
        <v>115817.78015999999</v>
      </c>
      <c r="J43" s="106"/>
      <c r="K43" s="28">
        <f>'разбивка по сметам'!T33/1000</f>
        <v>115817.78016000001</v>
      </c>
    </row>
    <row r="44" spans="1:11" ht="25.5" x14ac:dyDescent="0.2">
      <c r="A44" s="108">
        <v>28</v>
      </c>
      <c r="B44" s="106" t="s">
        <v>135</v>
      </c>
      <c r="C44" s="27" t="s">
        <v>84</v>
      </c>
      <c r="D44" s="106"/>
      <c r="E44" s="106"/>
      <c r="F44" s="28">
        <f>'разбивка по сметам'!H34/1000</f>
        <v>5208.1130000000003</v>
      </c>
      <c r="G44" s="106"/>
      <c r="H44" s="106"/>
      <c r="I44" s="64">
        <f>'разбивка по сметам'!$L34/1000</f>
        <v>46787.930079999998</v>
      </c>
      <c r="J44" s="106"/>
      <c r="K44" s="28">
        <f>'разбивка по сметам'!T34/1000</f>
        <v>0</v>
      </c>
    </row>
    <row r="45" spans="1:11" ht="12.95" customHeight="1" thickBot="1" x14ac:dyDescent="0.25">
      <c r="A45" s="223" t="s">
        <v>35</v>
      </c>
      <c r="B45" s="224"/>
      <c r="C45" s="225"/>
      <c r="D45" s="14" t="s">
        <v>46</v>
      </c>
      <c r="E45" s="14" t="s">
        <v>46</v>
      </c>
      <c r="F45" s="33">
        <f>SUM(F20:F35)+SUM(F37:F44)</f>
        <v>149096.682</v>
      </c>
      <c r="G45" s="32"/>
      <c r="H45" s="14" t="s">
        <v>46</v>
      </c>
      <c r="I45" s="33">
        <f>SUM(I20:I35)+SUM(I37:I44)</f>
        <v>1303479.2738100002</v>
      </c>
      <c r="J45" s="14" t="s">
        <v>46</v>
      </c>
      <c r="K45" s="33">
        <f>SUM(K20:K35)+SUM(K37:K44)</f>
        <v>793359.60648000007</v>
      </c>
    </row>
    <row r="46" spans="1:11" x14ac:dyDescent="0.2">
      <c r="A46" s="208" t="s">
        <v>36</v>
      </c>
      <c r="B46" s="209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1:11" x14ac:dyDescent="0.2">
      <c r="A47" s="206" t="s">
        <v>117</v>
      </c>
      <c r="B47" s="207"/>
      <c r="C47" s="207"/>
      <c r="D47" s="207"/>
      <c r="E47" s="207"/>
      <c r="F47" s="207"/>
      <c r="G47" s="207"/>
      <c r="H47" s="207"/>
      <c r="I47" s="207"/>
      <c r="J47" s="207"/>
      <c r="K47" s="207"/>
    </row>
    <row r="48" spans="1:11" ht="38.25" x14ac:dyDescent="0.2">
      <c r="A48" s="108">
        <v>29</v>
      </c>
      <c r="B48" s="106" t="s">
        <v>47</v>
      </c>
      <c r="C48" s="27" t="s">
        <v>53</v>
      </c>
      <c r="D48" s="106"/>
      <c r="E48" s="31"/>
      <c r="F48" s="28">
        <f>'разбивка по сметам'!H50/1000</f>
        <v>448.04</v>
      </c>
      <c r="G48" s="106"/>
      <c r="H48" s="31"/>
      <c r="I48" s="64">
        <f>'разбивка по сметам'!$L50/1000</f>
        <v>1983.5832000000003</v>
      </c>
      <c r="J48" s="31"/>
      <c r="K48" s="28">
        <f>'разбивка по сметам'!T50/1000</f>
        <v>1983.5832000000003</v>
      </c>
    </row>
    <row r="49" spans="1:11" ht="25.5" x14ac:dyDescent="0.2">
      <c r="A49" s="108">
        <v>30</v>
      </c>
      <c r="B49" s="106" t="s">
        <v>61</v>
      </c>
      <c r="C49" s="27" t="s">
        <v>54</v>
      </c>
      <c r="D49" s="106"/>
      <c r="E49" s="106"/>
      <c r="F49" s="28">
        <f>'разбивка по сметам'!H51/1000</f>
        <v>515.20000000000005</v>
      </c>
      <c r="G49" s="106"/>
      <c r="H49" s="106"/>
      <c r="I49" s="64">
        <f>'разбивка по сметам'!$L51/1000</f>
        <v>2290.0619999999999</v>
      </c>
      <c r="J49" s="106"/>
      <c r="K49" s="28">
        <f>'разбивка по сметам'!T51/1000</f>
        <v>2290.0619999999999</v>
      </c>
    </row>
    <row r="50" spans="1:11" ht="38.25" x14ac:dyDescent="0.2">
      <c r="A50" s="108">
        <v>31</v>
      </c>
      <c r="B50" s="106" t="s">
        <v>62</v>
      </c>
      <c r="C50" s="27" t="s">
        <v>55</v>
      </c>
      <c r="D50" s="106"/>
      <c r="E50" s="106"/>
      <c r="F50" s="28">
        <f>'разбивка по сметам'!H52/1000</f>
        <v>343.185</v>
      </c>
      <c r="G50" s="106"/>
      <c r="H50" s="106"/>
      <c r="I50" s="64">
        <f>'разбивка по сметам'!$L52/1000</f>
        <v>1518.5974500000002</v>
      </c>
      <c r="J50" s="106"/>
      <c r="K50" s="28">
        <f>'разбивка по сметам'!T52/1000</f>
        <v>1518.5974500000002</v>
      </c>
    </row>
    <row r="51" spans="1:11" ht="38.25" x14ac:dyDescent="0.2">
      <c r="A51" s="108">
        <v>32</v>
      </c>
      <c r="B51" s="106" t="s">
        <v>63</v>
      </c>
      <c r="C51" s="27" t="s">
        <v>56</v>
      </c>
      <c r="D51" s="106"/>
      <c r="E51" s="106"/>
      <c r="F51" s="28">
        <f>'разбивка по сметам'!H53/1000</f>
        <v>235.90100000000001</v>
      </c>
      <c r="G51" s="106"/>
      <c r="H51" s="106"/>
      <c r="I51" s="64">
        <f>'разбивка по сметам'!$L53/1000</f>
        <v>1040.32341</v>
      </c>
      <c r="J51" s="106"/>
      <c r="K51" s="28">
        <f>'разбивка по сметам'!T53/1000</f>
        <v>1040.32341</v>
      </c>
    </row>
    <row r="52" spans="1:11" ht="42.75" customHeight="1" x14ac:dyDescent="0.2">
      <c r="A52" s="108">
        <v>33</v>
      </c>
      <c r="B52" s="106" t="s">
        <v>64</v>
      </c>
      <c r="C52" s="27" t="s">
        <v>57</v>
      </c>
      <c r="D52" s="106"/>
      <c r="E52" s="106"/>
      <c r="F52" s="28">
        <f>'разбивка по сметам'!H54/1000</f>
        <v>412.63299999999998</v>
      </c>
      <c r="G52" s="106"/>
      <c r="H52" s="106"/>
      <c r="I52" s="64">
        <f>'разбивка по сметам'!$L54/1000</f>
        <v>1827.4383300000002</v>
      </c>
      <c r="J52" s="106"/>
      <c r="K52" s="28">
        <f>'разбивка по сметам'!T54/1000</f>
        <v>1827.4383300000002</v>
      </c>
    </row>
    <row r="53" spans="1:11" ht="38.25" x14ac:dyDescent="0.2">
      <c r="A53" s="108">
        <v>34</v>
      </c>
      <c r="B53" s="106" t="s">
        <v>65</v>
      </c>
      <c r="C53" s="27" t="s">
        <v>58</v>
      </c>
      <c r="D53" s="106"/>
      <c r="E53" s="106"/>
      <c r="F53" s="28">
        <f>'разбивка по сметам'!H55/1000</f>
        <v>216.01300000000001</v>
      </c>
      <c r="G53" s="106"/>
      <c r="H53" s="106"/>
      <c r="I53" s="64">
        <f>'разбивка по сметам'!$L55/1000</f>
        <v>955.19253000000003</v>
      </c>
      <c r="J53" s="106"/>
      <c r="K53" s="28">
        <f>'разбивка по сметам'!T55/1000</f>
        <v>955.19253000000003</v>
      </c>
    </row>
    <row r="54" spans="1:11" ht="25.5" x14ac:dyDescent="0.2">
      <c r="A54" s="108">
        <v>35</v>
      </c>
      <c r="B54" s="106" t="s">
        <v>66</v>
      </c>
      <c r="C54" s="27" t="s">
        <v>59</v>
      </c>
      <c r="D54" s="106"/>
      <c r="E54" s="106"/>
      <c r="F54" s="28">
        <f>'разбивка по сметам'!H56/1000</f>
        <v>73.275999999999996</v>
      </c>
      <c r="G54" s="106"/>
      <c r="H54" s="106"/>
      <c r="I54" s="64">
        <f>'разбивка по сметам'!$L56/1000</f>
        <v>324.52476000000001</v>
      </c>
      <c r="J54" s="106"/>
      <c r="K54" s="28">
        <f>'разбивка по сметам'!T56/1000</f>
        <v>324.52476000000001</v>
      </c>
    </row>
    <row r="55" spans="1:11" ht="25.5" x14ac:dyDescent="0.2">
      <c r="A55" s="108">
        <v>36</v>
      </c>
      <c r="B55" s="106" t="s">
        <v>67</v>
      </c>
      <c r="C55" s="27" t="s">
        <v>60</v>
      </c>
      <c r="D55" s="106"/>
      <c r="E55" s="106"/>
      <c r="F55" s="28">
        <f>'разбивка по сметам'!H57/1000</f>
        <v>54.984999999999999</v>
      </c>
      <c r="G55" s="106"/>
      <c r="H55" s="106"/>
      <c r="I55" s="64">
        <f>'разбивка по сметам'!$L57/1000</f>
        <v>242.48385000000002</v>
      </c>
      <c r="J55" s="106"/>
      <c r="K55" s="28">
        <f>'разбивка по сметам'!T57/1000</f>
        <v>242.48385000000002</v>
      </c>
    </row>
    <row r="56" spans="1:11" ht="12.95" customHeight="1" thickBot="1" x14ac:dyDescent="0.25">
      <c r="A56" s="195" t="s">
        <v>37</v>
      </c>
      <c r="B56" s="196"/>
      <c r="C56" s="197"/>
      <c r="D56" s="13" t="s">
        <v>46</v>
      </c>
      <c r="E56" s="13" t="s">
        <v>46</v>
      </c>
      <c r="F56" s="30">
        <f>SUM(F48:F55)</f>
        <v>2299.2330000000002</v>
      </c>
      <c r="G56" s="29"/>
      <c r="H56" s="13" t="s">
        <v>46</v>
      </c>
      <c r="I56" s="30">
        <f>SUM(I48:I55)</f>
        <v>10182.205530000001</v>
      </c>
      <c r="J56" s="13" t="s">
        <v>46</v>
      </c>
      <c r="K56" s="30">
        <f>SUM(K48:K55)</f>
        <v>10182.205530000001</v>
      </c>
    </row>
    <row r="57" spans="1:11" ht="12.95" customHeight="1" thickBot="1" x14ac:dyDescent="0.25">
      <c r="A57" s="219" t="s">
        <v>38</v>
      </c>
      <c r="B57" s="220"/>
      <c r="C57" s="221"/>
      <c r="D57" s="15" t="s">
        <v>46</v>
      </c>
      <c r="E57" s="15" t="s">
        <v>46</v>
      </c>
      <c r="F57" s="34">
        <f>F56+F45+F17</f>
        <v>159044.677</v>
      </c>
      <c r="G57" s="15"/>
      <c r="H57" s="15" t="s">
        <v>46</v>
      </c>
      <c r="I57" s="34">
        <f>I56+I45+I17</f>
        <v>1387983.20475</v>
      </c>
      <c r="J57" s="15"/>
      <c r="K57" s="34">
        <f>K56+K45+K17</f>
        <v>877863.53742000007</v>
      </c>
    </row>
    <row r="58" spans="1:11" ht="12.75" customHeight="1" x14ac:dyDescent="0.2">
      <c r="A58" s="212" t="s">
        <v>39</v>
      </c>
      <c r="B58" s="213"/>
      <c r="C58" s="213"/>
      <c r="D58" s="213"/>
      <c r="E58" s="213"/>
      <c r="F58" s="213"/>
      <c r="G58" s="213"/>
      <c r="H58" s="213"/>
      <c r="I58" s="213"/>
      <c r="J58" s="213"/>
      <c r="K58" s="213"/>
    </row>
    <row r="59" spans="1:11" ht="25.5" x14ac:dyDescent="0.2">
      <c r="A59" s="108">
        <v>37</v>
      </c>
      <c r="B59" s="106" t="s">
        <v>50</v>
      </c>
      <c r="C59" s="27" t="s">
        <v>48</v>
      </c>
      <c r="D59" s="106"/>
      <c r="E59" s="31"/>
      <c r="F59" s="64">
        <f>1190712.60835376/1000</f>
        <v>1190.7126083537601</v>
      </c>
      <c r="G59" s="106"/>
      <c r="H59" s="31"/>
      <c r="I59" s="28">
        <f>10870404.3106013/1000</f>
        <v>10870.4043106013</v>
      </c>
      <c r="J59" s="106"/>
      <c r="K59" s="28">
        <f>8041718.21023924/1000</f>
        <v>8041.7182102392399</v>
      </c>
    </row>
    <row r="60" spans="1:11" x14ac:dyDescent="0.2">
      <c r="A60" s="108">
        <v>38</v>
      </c>
      <c r="B60" s="106" t="s">
        <v>50</v>
      </c>
      <c r="C60" s="27" t="s">
        <v>136</v>
      </c>
      <c r="D60" s="106"/>
      <c r="E60" s="31"/>
      <c r="F60" s="64">
        <f>5468808.96170084/1000</f>
        <v>5468.80896170084</v>
      </c>
      <c r="G60" s="106"/>
      <c r="H60" s="31"/>
      <c r="I60" s="28">
        <f>49850383.4853265/1000</f>
        <v>49850.3834853265</v>
      </c>
      <c r="J60" s="106"/>
      <c r="K60" s="28">
        <f>36772813.2947776/1000</f>
        <v>36772.813294777603</v>
      </c>
    </row>
    <row r="61" spans="1:11" ht="12.75" customHeight="1" x14ac:dyDescent="0.2">
      <c r="A61" s="198" t="s">
        <v>40</v>
      </c>
      <c r="B61" s="199"/>
      <c r="C61" s="199"/>
      <c r="D61" s="199"/>
      <c r="E61" s="199"/>
      <c r="F61" s="199"/>
      <c r="G61" s="199"/>
      <c r="H61" s="199"/>
      <c r="I61" s="199"/>
      <c r="J61" s="199"/>
      <c r="K61" s="199"/>
    </row>
    <row r="62" spans="1:11" x14ac:dyDescent="0.2">
      <c r="A62" s="108">
        <v>32</v>
      </c>
      <c r="B62" s="106"/>
      <c r="C62" s="27"/>
      <c r="D62" s="106" t="s">
        <v>46</v>
      </c>
      <c r="E62" s="106" t="s">
        <v>46</v>
      </c>
      <c r="F62" s="106"/>
      <c r="G62" s="106"/>
      <c r="H62" s="106" t="s">
        <v>46</v>
      </c>
      <c r="I62" s="28"/>
      <c r="J62" s="106"/>
      <c r="K62" s="106"/>
    </row>
    <row r="63" spans="1:11" ht="12.95" customHeight="1" thickBot="1" x14ac:dyDescent="0.25">
      <c r="A63" s="200" t="s">
        <v>41</v>
      </c>
      <c r="B63" s="201"/>
      <c r="C63" s="202"/>
      <c r="D63" s="13" t="s">
        <v>46</v>
      </c>
      <c r="E63" s="13" t="s">
        <v>46</v>
      </c>
      <c r="F63" s="35"/>
      <c r="G63" s="35"/>
      <c r="H63" s="13" t="s">
        <v>46</v>
      </c>
      <c r="I63" s="30">
        <f>SUM(I59:I62)</f>
        <v>60720.787795927798</v>
      </c>
      <c r="J63" s="13" t="s">
        <v>46</v>
      </c>
      <c r="K63" s="30">
        <f>SUM(K59:K62)</f>
        <v>44814.531505016843</v>
      </c>
    </row>
    <row r="64" spans="1:11" ht="12.95" customHeight="1" thickBot="1" x14ac:dyDescent="0.25">
      <c r="A64" s="203" t="s">
        <v>42</v>
      </c>
      <c r="B64" s="204"/>
      <c r="C64" s="205"/>
      <c r="D64" s="39" t="s">
        <v>46</v>
      </c>
      <c r="E64" s="39" t="s">
        <v>46</v>
      </c>
      <c r="F64" s="39"/>
      <c r="G64" s="39"/>
      <c r="H64" s="39" t="s">
        <v>46</v>
      </c>
      <c r="I64" s="40">
        <f>I57+I63</f>
        <v>1448703.9925459279</v>
      </c>
      <c r="J64" s="39" t="s">
        <v>46</v>
      </c>
      <c r="K64" s="40">
        <f>K57+K63</f>
        <v>922678.06892501691</v>
      </c>
    </row>
    <row r="65" spans="1:59" ht="13.5" thickBot="1" x14ac:dyDescent="0.25">
      <c r="A65" s="36">
        <v>33</v>
      </c>
      <c r="B65" s="16"/>
      <c r="C65" s="37" t="s">
        <v>49</v>
      </c>
      <c r="D65" s="16" t="s">
        <v>46</v>
      </c>
      <c r="E65" s="16" t="s">
        <v>46</v>
      </c>
      <c r="F65" s="16"/>
      <c r="G65" s="16"/>
      <c r="H65" s="16" t="s">
        <v>46</v>
      </c>
      <c r="I65" s="38"/>
      <c r="J65" s="16" t="s">
        <v>46</v>
      </c>
      <c r="K65" s="16"/>
    </row>
    <row r="66" spans="1:59" ht="13.5" customHeight="1" thickBot="1" x14ac:dyDescent="0.25">
      <c r="A66" s="226" t="s">
        <v>43</v>
      </c>
      <c r="B66" s="227"/>
      <c r="C66" s="228"/>
      <c r="D66" s="39" t="s">
        <v>46</v>
      </c>
      <c r="E66" s="39" t="s">
        <v>46</v>
      </c>
      <c r="F66" s="39"/>
      <c r="G66" s="39"/>
      <c r="H66" s="39" t="s">
        <v>46</v>
      </c>
      <c r="I66" s="40"/>
      <c r="J66" s="17"/>
      <c r="K66" s="40">
        <f>K64</f>
        <v>922678.06892501691</v>
      </c>
    </row>
    <row r="67" spans="1:59" x14ac:dyDescent="0.2">
      <c r="A67" s="22"/>
    </row>
    <row r="68" spans="1:59" x14ac:dyDescent="0.2">
      <c r="A68" s="42" t="s">
        <v>51</v>
      </c>
      <c r="B68" s="19"/>
      <c r="C68" s="19"/>
      <c r="D68" s="19"/>
      <c r="E68" s="19"/>
      <c r="F68" s="19"/>
      <c r="G68" s="19"/>
      <c r="H68" s="19"/>
      <c r="I68" s="41"/>
      <c r="J68" s="41"/>
      <c r="K68" s="18">
        <v>1350000</v>
      </c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</row>
    <row r="69" spans="1:59" x14ac:dyDescent="0.2">
      <c r="A69" s="42"/>
      <c r="B69" s="19"/>
      <c r="C69" s="19"/>
      <c r="D69" s="19"/>
      <c r="E69" s="19"/>
      <c r="F69" s="19"/>
      <c r="G69" s="19"/>
      <c r="H69" s="19"/>
      <c r="I69" s="41"/>
      <c r="J69" s="41"/>
      <c r="K69" s="18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</row>
    <row r="71" spans="1:59" x14ac:dyDescent="0.2">
      <c r="B71" s="229" t="s">
        <v>18</v>
      </c>
      <c r="C71" s="229"/>
      <c r="D71" s="109"/>
      <c r="E71" s="109"/>
      <c r="F71" s="109"/>
      <c r="G71" s="109"/>
      <c r="H71" s="109"/>
      <c r="I71" s="109"/>
      <c r="J71" s="229" t="s">
        <v>19</v>
      </c>
      <c r="K71" s="229"/>
    </row>
    <row r="72" spans="1:59" x14ac:dyDescent="0.2">
      <c r="B72" s="222"/>
      <c r="C72" s="222"/>
      <c r="D72" s="110"/>
      <c r="E72" s="110"/>
      <c r="F72" s="110"/>
      <c r="G72" s="110"/>
      <c r="H72" s="110"/>
      <c r="I72" s="110"/>
      <c r="J72" s="110"/>
      <c r="K72" s="110"/>
    </row>
    <row r="73" spans="1:59" ht="13.5" thickBot="1" x14ac:dyDescent="0.25">
      <c r="B73" s="6"/>
      <c r="C73" s="6"/>
      <c r="D73" s="6"/>
      <c r="E73" s="6"/>
      <c r="F73" s="110"/>
      <c r="G73" s="110"/>
      <c r="H73" s="110"/>
      <c r="I73" s="110"/>
      <c r="J73" s="6"/>
      <c r="K73" s="6"/>
    </row>
    <row r="74" spans="1:59" x14ac:dyDescent="0.2">
      <c r="B74" s="1"/>
      <c r="C74" s="1"/>
      <c r="D74" s="1"/>
      <c r="E74" s="1"/>
      <c r="F74" s="1"/>
      <c r="G74" s="1"/>
      <c r="H74" s="1"/>
      <c r="I74" s="1"/>
      <c r="J74" s="1"/>
      <c r="K74" s="1"/>
    </row>
  </sheetData>
  <mergeCells count="29">
    <mergeCell ref="A58:K58"/>
    <mergeCell ref="A56:C56"/>
    <mergeCell ref="A57:C57"/>
    <mergeCell ref="B72:C72"/>
    <mergeCell ref="A45:C45"/>
    <mergeCell ref="A66:C66"/>
    <mergeCell ref="B71:C71"/>
    <mergeCell ref="J71:K71"/>
    <mergeCell ref="C8:C11"/>
    <mergeCell ref="D8:D11"/>
    <mergeCell ref="E8:E11"/>
    <mergeCell ref="G8:G11"/>
    <mergeCell ref="H9:I10"/>
    <mergeCell ref="J10:K10"/>
    <mergeCell ref="A17:C17"/>
    <mergeCell ref="A61:K61"/>
    <mergeCell ref="A63:C63"/>
    <mergeCell ref="A64:C64"/>
    <mergeCell ref="A19:K19"/>
    <mergeCell ref="A36:K36"/>
    <mergeCell ref="A46:K46"/>
    <mergeCell ref="A47:K47"/>
    <mergeCell ref="F8:F11"/>
    <mergeCell ref="H8:K8"/>
    <mergeCell ref="J9:K9"/>
    <mergeCell ref="A12:K12"/>
    <mergeCell ref="A18:K18"/>
    <mergeCell ref="A8:A11"/>
    <mergeCell ref="B8:B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7"/>
  <sheetViews>
    <sheetView zoomScale="85" zoomScaleNormal="85" workbookViewId="0">
      <selection activeCell="AW39" sqref="AW39"/>
    </sheetView>
  </sheetViews>
  <sheetFormatPr defaultColWidth="8.7109375" defaultRowHeight="12.75" x14ac:dyDescent="0.2"/>
  <cols>
    <col min="1" max="1" width="8.7109375" style="1"/>
    <col min="2" max="2" width="16.42578125" style="1" customWidth="1"/>
    <col min="3" max="3" width="48.7109375" style="1" customWidth="1"/>
    <col min="4" max="6" width="11.7109375" style="1" customWidth="1"/>
    <col min="7" max="8" width="12.42578125" style="1" customWidth="1"/>
    <col min="9" max="16" width="8.7109375" style="1"/>
    <col min="17" max="17" width="10.140625" style="1" customWidth="1"/>
    <col min="18" max="20" width="8.7109375" style="1"/>
    <col min="21" max="21" width="11.7109375" style="1" bestFit="1" customWidth="1"/>
    <col min="22" max="22" width="14.28515625" style="1" hidden="1" customWidth="1"/>
    <col min="23" max="34" width="8.7109375" style="1" hidden="1" customWidth="1"/>
    <col min="35" max="35" width="0" style="1" hidden="1" customWidth="1"/>
    <col min="36" max="36" width="10.28515625" style="1" hidden="1" customWidth="1"/>
    <col min="37" max="37" width="13.28515625" style="1" hidden="1" customWidth="1"/>
    <col min="38" max="38" width="16.42578125" style="1" hidden="1" customWidth="1"/>
    <col min="39" max="39" width="16.85546875" style="1" hidden="1" customWidth="1"/>
    <col min="40" max="40" width="17.28515625" style="1" hidden="1" customWidth="1"/>
    <col min="41" max="47" width="0" style="1" hidden="1" customWidth="1"/>
    <col min="48" max="16384" width="8.7109375" style="1"/>
  </cols>
  <sheetData>
    <row r="1" spans="1:45" x14ac:dyDescent="0.2">
      <c r="A1" s="2"/>
      <c r="B1" s="66"/>
      <c r="C1" s="2"/>
      <c r="D1" s="2"/>
      <c r="E1" s="2"/>
      <c r="F1" s="103"/>
      <c r="G1" s="66"/>
      <c r="H1" s="133"/>
      <c r="I1" s="133"/>
      <c r="J1" s="2"/>
      <c r="K1" s="2"/>
      <c r="L1" s="229" t="s">
        <v>13</v>
      </c>
      <c r="M1" s="229"/>
      <c r="N1" s="229"/>
      <c r="O1" s="229"/>
      <c r="P1" s="2"/>
      <c r="Q1" s="2"/>
      <c r="R1" s="2"/>
      <c r="S1" s="2"/>
      <c r="T1" s="2"/>
      <c r="U1" s="2"/>
    </row>
    <row r="2" spans="1:45" x14ac:dyDescent="0.2">
      <c r="A2" s="2"/>
      <c r="B2" s="66"/>
      <c r="C2" s="2"/>
      <c r="D2" s="2"/>
      <c r="E2" s="2"/>
      <c r="F2" s="103"/>
      <c r="G2" s="66"/>
      <c r="H2" s="133"/>
      <c r="I2" s="133"/>
      <c r="J2" s="2"/>
      <c r="K2" s="2"/>
      <c r="L2" s="229" t="s">
        <v>14</v>
      </c>
      <c r="M2" s="229"/>
      <c r="N2" s="229"/>
      <c r="O2" s="229"/>
      <c r="P2" s="229"/>
      <c r="Q2" s="229"/>
      <c r="R2" s="229"/>
      <c r="S2" s="229"/>
      <c r="T2" s="229"/>
      <c r="U2" s="229"/>
    </row>
    <row r="3" spans="1:45" x14ac:dyDescent="0.2">
      <c r="A3" s="2"/>
      <c r="B3" s="66"/>
      <c r="C3" s="2"/>
      <c r="D3" s="2"/>
      <c r="E3" s="2"/>
      <c r="F3" s="103"/>
      <c r="G3" s="66"/>
      <c r="H3" s="133"/>
      <c r="I3" s="133"/>
      <c r="J3" s="133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45" x14ac:dyDescent="0.2">
      <c r="A4" s="2"/>
      <c r="B4" s="66"/>
      <c r="C4" s="2"/>
      <c r="D4" s="2"/>
      <c r="E4" s="2"/>
      <c r="F4" s="103"/>
      <c r="G4" s="66"/>
      <c r="H4" s="133"/>
      <c r="I4" s="133"/>
      <c r="J4" s="133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45" x14ac:dyDescent="0.2">
      <c r="A5" s="265" t="s">
        <v>15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"/>
    </row>
    <row r="6" spans="1:45" ht="15.75" customHeight="1" thickBot="1" x14ac:dyDescent="0.25">
      <c r="A6" s="266" t="s">
        <v>16</v>
      </c>
      <c r="B6" s="266"/>
      <c r="C6" s="266"/>
      <c r="D6" s="266"/>
      <c r="E6" s="267" t="s">
        <v>120</v>
      </c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"/>
    </row>
    <row r="7" spans="1:45" ht="13.5" thickBot="1" x14ac:dyDescent="0.25">
      <c r="A7" s="4"/>
      <c r="B7" s="6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4"/>
    </row>
    <row r="8" spans="1:45" x14ac:dyDescent="0.2">
      <c r="A8" s="4"/>
      <c r="B8" s="67"/>
      <c r="C8" s="4"/>
      <c r="D8" s="4"/>
      <c r="E8" s="4"/>
      <c r="F8" s="104"/>
      <c r="G8" s="67"/>
      <c r="H8" s="132"/>
      <c r="I8" s="132"/>
      <c r="J8" s="132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45" ht="63.95" customHeight="1" x14ac:dyDescent="0.2">
      <c r="A9" s="245" t="s">
        <v>17</v>
      </c>
      <c r="B9" s="230" t="s">
        <v>24</v>
      </c>
      <c r="C9" s="245" t="s">
        <v>118</v>
      </c>
      <c r="D9" s="245" t="s">
        <v>147</v>
      </c>
      <c r="E9" s="245" t="s">
        <v>146</v>
      </c>
      <c r="F9" s="230" t="s">
        <v>182</v>
      </c>
      <c r="G9" s="245" t="s">
        <v>150</v>
      </c>
      <c r="H9" s="245" t="s">
        <v>192</v>
      </c>
      <c r="I9" s="245" t="s">
        <v>148</v>
      </c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3"/>
      <c r="W9" s="245" t="s">
        <v>149</v>
      </c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</row>
    <row r="10" spans="1:45" ht="24.75" customHeight="1" x14ac:dyDescent="0.2">
      <c r="A10" s="245"/>
      <c r="B10" s="231"/>
      <c r="C10" s="245"/>
      <c r="D10" s="245"/>
      <c r="E10" s="245"/>
      <c r="F10" s="231"/>
      <c r="G10" s="245"/>
      <c r="H10" s="245"/>
      <c r="I10" s="7" t="s">
        <v>2</v>
      </c>
      <c r="J10" s="7" t="s">
        <v>3</v>
      </c>
      <c r="K10" s="7" t="s">
        <v>2</v>
      </c>
      <c r="L10" s="7" t="s">
        <v>3</v>
      </c>
      <c r="M10" s="7" t="s">
        <v>4</v>
      </c>
      <c r="N10" s="7" t="s">
        <v>5</v>
      </c>
      <c r="O10" s="7" t="s">
        <v>6</v>
      </c>
      <c r="P10" s="7" t="s">
        <v>7</v>
      </c>
      <c r="Q10" s="7" t="s">
        <v>8</v>
      </c>
      <c r="R10" s="7" t="s">
        <v>9</v>
      </c>
      <c r="S10" s="7" t="s">
        <v>10</v>
      </c>
      <c r="T10" s="7" t="s">
        <v>11</v>
      </c>
      <c r="U10" s="4"/>
      <c r="W10" s="7" t="s">
        <v>0</v>
      </c>
      <c r="X10" s="7" t="s">
        <v>1</v>
      </c>
      <c r="Y10" s="7" t="s">
        <v>2</v>
      </c>
      <c r="Z10" s="7" t="s">
        <v>3</v>
      </c>
      <c r="AA10" s="7" t="s">
        <v>4</v>
      </c>
      <c r="AB10" s="7" t="s">
        <v>5</v>
      </c>
      <c r="AC10" s="7" t="s">
        <v>6</v>
      </c>
      <c r="AD10" s="7" t="s">
        <v>7</v>
      </c>
      <c r="AE10" s="7" t="s">
        <v>8</v>
      </c>
      <c r="AF10" s="7" t="s">
        <v>9</v>
      </c>
      <c r="AG10" s="7" t="s">
        <v>10</v>
      </c>
      <c r="AH10" s="7" t="s">
        <v>11</v>
      </c>
    </row>
    <row r="11" spans="1:45" x14ac:dyDescent="0.2">
      <c r="A11" s="46"/>
      <c r="B11" s="68"/>
      <c r="C11" s="50" t="s">
        <v>32</v>
      </c>
      <c r="D11" s="46"/>
      <c r="E11" s="46"/>
      <c r="F11" s="105"/>
      <c r="G11" s="68"/>
      <c r="H11" s="13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45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45" ht="38.25" x14ac:dyDescent="0.2">
      <c r="A12" s="61">
        <v>1</v>
      </c>
      <c r="B12" s="65" t="s">
        <v>68</v>
      </c>
      <c r="C12" s="27" t="s">
        <v>72</v>
      </c>
      <c r="D12" s="28">
        <f>НМЦ_Прил_1!G13</f>
        <v>3422.9059999999999</v>
      </c>
      <c r="E12" s="28">
        <f>НМЦ_Прил_1!J13</f>
        <v>33421.392550000004</v>
      </c>
      <c r="F12" s="119" t="s">
        <v>183</v>
      </c>
      <c r="G12" s="71">
        <f>V12-H12</f>
        <v>32986.118260000003</v>
      </c>
      <c r="H12" s="71">
        <f>77.589*5.61</f>
        <v>435.27429000000001</v>
      </c>
      <c r="I12" s="80"/>
      <c r="J12" s="81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4"/>
      <c r="V12" s="71">
        <f>'разбивка по сметам'!T4/1000</f>
        <v>33421.392550000004</v>
      </c>
      <c r="W12" s="90">
        <f t="shared" ref="W12:AH15" si="0">I12*$V12</f>
        <v>0</v>
      </c>
      <c r="X12" s="90">
        <f t="shared" si="0"/>
        <v>0</v>
      </c>
      <c r="Y12" s="90">
        <f t="shared" si="0"/>
        <v>0</v>
      </c>
      <c r="Z12" s="90">
        <f t="shared" si="0"/>
        <v>0</v>
      </c>
      <c r="AA12" s="90">
        <f t="shared" si="0"/>
        <v>0</v>
      </c>
      <c r="AB12" s="90">
        <f t="shared" si="0"/>
        <v>0</v>
      </c>
      <c r="AC12" s="90">
        <f t="shared" si="0"/>
        <v>0</v>
      </c>
      <c r="AD12" s="90">
        <f t="shared" si="0"/>
        <v>0</v>
      </c>
      <c r="AE12" s="90">
        <f t="shared" si="0"/>
        <v>0</v>
      </c>
      <c r="AF12" s="90">
        <f t="shared" si="0"/>
        <v>0</v>
      </c>
      <c r="AG12" s="90">
        <f t="shared" si="0"/>
        <v>0</v>
      </c>
      <c r="AH12" s="90">
        <f t="shared" si="0"/>
        <v>0</v>
      </c>
    </row>
    <row r="13" spans="1:45" ht="38.25" x14ac:dyDescent="0.2">
      <c r="A13" s="61">
        <v>2</v>
      </c>
      <c r="B13" s="65" t="s">
        <v>69</v>
      </c>
      <c r="C13" s="27" t="s">
        <v>73</v>
      </c>
      <c r="D13" s="28">
        <f>НМЦ_Прил_1!G14</f>
        <v>2296.4940000000001</v>
      </c>
      <c r="E13" s="28">
        <f>НМЦ_Прил_1!J14</f>
        <v>22208.692270000003</v>
      </c>
      <c r="F13" s="119" t="s">
        <v>183</v>
      </c>
      <c r="G13" s="71">
        <f t="shared" ref="G13:G15" si="1">V13-H13</f>
        <v>21725.054170000003</v>
      </c>
      <c r="H13" s="71">
        <f>483638.1/1000</f>
        <v>483.63809999999995</v>
      </c>
      <c r="I13" s="81"/>
      <c r="J13" s="80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4"/>
      <c r="V13" s="71">
        <f>'разбивка по сметам'!T5/1000</f>
        <v>22208.692270000003</v>
      </c>
      <c r="W13" s="90">
        <f t="shared" si="0"/>
        <v>0</v>
      </c>
      <c r="X13" s="90">
        <f t="shared" si="0"/>
        <v>0</v>
      </c>
      <c r="Y13" s="90">
        <f t="shared" si="0"/>
        <v>0</v>
      </c>
      <c r="Z13" s="90">
        <f t="shared" si="0"/>
        <v>0</v>
      </c>
      <c r="AA13" s="90">
        <f t="shared" si="0"/>
        <v>0</v>
      </c>
      <c r="AB13" s="90">
        <f t="shared" si="0"/>
        <v>0</v>
      </c>
      <c r="AC13" s="90">
        <f t="shared" si="0"/>
        <v>0</v>
      </c>
      <c r="AD13" s="90">
        <f t="shared" si="0"/>
        <v>0</v>
      </c>
      <c r="AE13" s="90">
        <f t="shared" si="0"/>
        <v>0</v>
      </c>
      <c r="AF13" s="90">
        <f t="shared" si="0"/>
        <v>0</v>
      </c>
      <c r="AG13" s="90">
        <f t="shared" si="0"/>
        <v>0</v>
      </c>
      <c r="AH13" s="90">
        <f t="shared" si="0"/>
        <v>0</v>
      </c>
    </row>
    <row r="14" spans="1:45" ht="38.25" x14ac:dyDescent="0.2">
      <c r="A14" s="61">
        <v>3</v>
      </c>
      <c r="B14" s="65" t="s">
        <v>70</v>
      </c>
      <c r="C14" s="27" t="s">
        <v>74</v>
      </c>
      <c r="D14" s="28">
        <f>НМЦ_Прил_1!G15</f>
        <v>1503.1849999999999</v>
      </c>
      <c r="E14" s="28">
        <f>НМЦ_Прил_1!J15</f>
        <v>14624.578089999999</v>
      </c>
      <c r="F14" s="119" t="s">
        <v>183</v>
      </c>
      <c r="G14" s="71">
        <f t="shared" si="1"/>
        <v>14382.759039999999</v>
      </c>
      <c r="H14" s="71">
        <f>AR14</f>
        <v>241.81904999999998</v>
      </c>
      <c r="I14" s="81"/>
      <c r="J14" s="81"/>
      <c r="K14" s="80"/>
      <c r="L14" s="81"/>
      <c r="M14" s="81"/>
      <c r="N14" s="81"/>
      <c r="O14" s="81"/>
      <c r="P14" s="81"/>
      <c r="Q14" s="81"/>
      <c r="R14" s="81"/>
      <c r="S14" s="81"/>
      <c r="T14" s="81"/>
      <c r="U14" s="4"/>
      <c r="V14" s="71">
        <f>'разбивка по сметам'!T6/1000</f>
        <v>14624.578089999999</v>
      </c>
      <c r="W14" s="90">
        <f t="shared" si="0"/>
        <v>0</v>
      </c>
      <c r="X14" s="90">
        <f t="shared" si="0"/>
        <v>0</v>
      </c>
      <c r="Y14" s="90">
        <f t="shared" si="0"/>
        <v>0</v>
      </c>
      <c r="Z14" s="90">
        <f t="shared" si="0"/>
        <v>0</v>
      </c>
      <c r="AA14" s="90">
        <f t="shared" si="0"/>
        <v>0</v>
      </c>
      <c r="AB14" s="90">
        <f t="shared" si="0"/>
        <v>0</v>
      </c>
      <c r="AC14" s="90">
        <f t="shared" si="0"/>
        <v>0</v>
      </c>
      <c r="AD14" s="90">
        <f t="shared" si="0"/>
        <v>0</v>
      </c>
      <c r="AE14" s="90">
        <f t="shared" si="0"/>
        <v>0</v>
      </c>
      <c r="AF14" s="90">
        <f t="shared" si="0"/>
        <v>0</v>
      </c>
      <c r="AG14" s="90">
        <f t="shared" si="0"/>
        <v>0</v>
      </c>
      <c r="AH14" s="90">
        <f t="shared" si="0"/>
        <v>0</v>
      </c>
      <c r="AK14" s="139">
        <v>2578460.17</v>
      </c>
      <c r="AL14" s="139">
        <v>11804298.869999999</v>
      </c>
      <c r="AM14" s="139">
        <v>241819.05</v>
      </c>
      <c r="AN14" s="139">
        <v>14624578.09</v>
      </c>
      <c r="AP14" s="1">
        <f>AK14/1000</f>
        <v>2578.4601699999998</v>
      </c>
      <c r="AQ14" s="1">
        <f t="shared" ref="AQ14:AS14" si="2">AL14/1000</f>
        <v>11804.298869999999</v>
      </c>
      <c r="AR14" s="1">
        <f t="shared" si="2"/>
        <v>241.81904999999998</v>
      </c>
      <c r="AS14" s="1">
        <f t="shared" si="2"/>
        <v>14624.578089999999</v>
      </c>
    </row>
    <row r="15" spans="1:45" ht="38.25" x14ac:dyDescent="0.2">
      <c r="A15" s="61">
        <v>4</v>
      </c>
      <c r="B15" s="65" t="s">
        <v>71</v>
      </c>
      <c r="C15" s="27" t="s">
        <v>75</v>
      </c>
      <c r="D15" s="28">
        <f>НМЦ_Прил_1!G16</f>
        <v>426.17700000000002</v>
      </c>
      <c r="E15" s="28">
        <f>НМЦ_Прил_1!J16</f>
        <v>4067.0625000000005</v>
      </c>
      <c r="F15" s="119" t="s">
        <v>183</v>
      </c>
      <c r="G15" s="71">
        <f t="shared" si="1"/>
        <v>4067.0625000000005</v>
      </c>
      <c r="H15" s="71">
        <v>0</v>
      </c>
      <c r="I15" s="81"/>
      <c r="J15" s="81"/>
      <c r="K15" s="81"/>
      <c r="L15" s="80"/>
      <c r="M15" s="81"/>
      <c r="N15" s="81"/>
      <c r="O15" s="81"/>
      <c r="P15" s="81"/>
      <c r="Q15" s="81"/>
      <c r="R15" s="81"/>
      <c r="S15" s="81"/>
      <c r="T15" s="81"/>
      <c r="U15" s="4"/>
      <c r="V15" s="71">
        <f>'разбивка по сметам'!T7/1000</f>
        <v>4067.0625000000005</v>
      </c>
      <c r="W15" s="90">
        <f t="shared" si="0"/>
        <v>0</v>
      </c>
      <c r="X15" s="90">
        <f t="shared" si="0"/>
        <v>0</v>
      </c>
      <c r="Y15" s="90">
        <f t="shared" si="0"/>
        <v>0</v>
      </c>
      <c r="Z15" s="90">
        <f t="shared" si="0"/>
        <v>0</v>
      </c>
      <c r="AA15" s="90">
        <f t="shared" si="0"/>
        <v>0</v>
      </c>
      <c r="AB15" s="90">
        <f t="shared" si="0"/>
        <v>0</v>
      </c>
      <c r="AC15" s="90">
        <f t="shared" si="0"/>
        <v>0</v>
      </c>
      <c r="AD15" s="90">
        <f t="shared" si="0"/>
        <v>0</v>
      </c>
      <c r="AE15" s="90">
        <f t="shared" si="0"/>
        <v>0</v>
      </c>
      <c r="AF15" s="90">
        <f t="shared" si="0"/>
        <v>0</v>
      </c>
      <c r="AG15" s="90">
        <f t="shared" si="0"/>
        <v>0</v>
      </c>
      <c r="AH15" s="90">
        <f t="shared" si="0"/>
        <v>0</v>
      </c>
    </row>
    <row r="16" spans="1:45" x14ac:dyDescent="0.2">
      <c r="A16" s="5"/>
      <c r="B16" s="5"/>
      <c r="C16" s="51" t="s">
        <v>34</v>
      </c>
      <c r="D16" s="52"/>
      <c r="E16" s="52"/>
      <c r="F16" s="52"/>
      <c r="G16" s="71"/>
      <c r="H16" s="7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45"/>
      <c r="V16" s="71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</row>
    <row r="17" spans="1:45" x14ac:dyDescent="0.2">
      <c r="A17" s="5"/>
      <c r="B17" s="5"/>
      <c r="C17" s="51" t="s">
        <v>119</v>
      </c>
      <c r="D17" s="52"/>
      <c r="E17" s="52"/>
      <c r="F17" s="52"/>
      <c r="G17" s="71"/>
      <c r="H17" s="7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45"/>
      <c r="V17" s="71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</row>
    <row r="18" spans="1:45" ht="38.25" customHeight="1" x14ac:dyDescent="0.2">
      <c r="A18" s="43">
        <v>5</v>
      </c>
      <c r="B18" s="65" t="s">
        <v>85</v>
      </c>
      <c r="C18" s="27" t="s">
        <v>86</v>
      </c>
      <c r="D18" s="28">
        <f>НМЦ_Прил_1!G20</f>
        <v>382.56400000000002</v>
      </c>
      <c r="E18" s="28">
        <f>НМЦ_Прил_1!J20</f>
        <v>3391.0549999999998</v>
      </c>
      <c r="F18" s="119" t="s">
        <v>183</v>
      </c>
      <c r="G18" s="71">
        <f t="shared" ref="G18:G42" si="3">V18-H18</f>
        <v>3327.8190799999998</v>
      </c>
      <c r="H18" s="71">
        <f t="shared" ref="H18:H22" si="4">AR18</f>
        <v>63.23592</v>
      </c>
      <c r="I18" s="81"/>
      <c r="J18" s="81"/>
      <c r="K18" s="81"/>
      <c r="L18" s="81"/>
      <c r="M18" s="80"/>
      <c r="N18" s="81"/>
      <c r="O18" s="81"/>
      <c r="P18" s="81"/>
      <c r="Q18" s="81"/>
      <c r="R18" s="81"/>
      <c r="S18" s="81"/>
      <c r="T18" s="81"/>
      <c r="U18" s="45"/>
      <c r="V18" s="71">
        <f>'разбивка по сметам'!T10/1000</f>
        <v>3391.0549999999998</v>
      </c>
      <c r="W18" s="90">
        <f t="shared" ref="W18:W33" si="5">I18*$V18</f>
        <v>0</v>
      </c>
      <c r="X18" s="90">
        <f t="shared" ref="X18:X33" si="6">J18*$V18</f>
        <v>0</v>
      </c>
      <c r="Y18" s="90">
        <f t="shared" ref="Y18:Y33" si="7">K18*$V18</f>
        <v>0</v>
      </c>
      <c r="Z18" s="90">
        <f t="shared" ref="Z18:Z33" si="8">L18*$V18</f>
        <v>0</v>
      </c>
      <c r="AA18" s="90">
        <f t="shared" ref="AA18:AA33" si="9">M18*$V18</f>
        <v>0</v>
      </c>
      <c r="AB18" s="90">
        <f t="shared" ref="AB18:AB33" si="10">N18*$V18</f>
        <v>0</v>
      </c>
      <c r="AC18" s="90">
        <f t="shared" ref="AC18:AC33" si="11">O18*$V18</f>
        <v>0</v>
      </c>
      <c r="AD18" s="90">
        <f t="shared" ref="AD18:AD33" si="12">P18*$V18</f>
        <v>0</v>
      </c>
      <c r="AE18" s="90">
        <f t="shared" ref="AE18:AE33" si="13">Q18*$V18</f>
        <v>0</v>
      </c>
      <c r="AF18" s="90">
        <f t="shared" ref="AF18:AF33" si="14">R18*$V18</f>
        <v>0</v>
      </c>
      <c r="AG18" s="90">
        <f t="shared" ref="AG18:AG33" si="15">S18*$V18</f>
        <v>0</v>
      </c>
      <c r="AH18" s="90">
        <f t="shared" ref="AH18:AH33" si="16">T18*$V18</f>
        <v>0</v>
      </c>
      <c r="AK18" s="139">
        <v>565689.15</v>
      </c>
      <c r="AL18" s="139">
        <v>2762129.93</v>
      </c>
      <c r="AM18" s="139">
        <v>63235.92</v>
      </c>
      <c r="AN18" s="139">
        <v>3391055</v>
      </c>
      <c r="AP18" s="1">
        <f>AK18/1000</f>
        <v>565.68915000000004</v>
      </c>
      <c r="AQ18" s="1">
        <f t="shared" ref="AQ18:AQ22" si="17">AL18/1000</f>
        <v>2762.1299300000001</v>
      </c>
      <c r="AR18" s="1">
        <f t="shared" ref="AR18:AR22" si="18">AM18/1000</f>
        <v>63.23592</v>
      </c>
      <c r="AS18" s="1">
        <f t="shared" ref="AS18:AS22" si="19">AN18/1000</f>
        <v>3391.0549999999998</v>
      </c>
    </row>
    <row r="19" spans="1:45" ht="38.25" x14ac:dyDescent="0.2">
      <c r="A19" s="43">
        <v>6</v>
      </c>
      <c r="B19" s="65" t="s">
        <v>87</v>
      </c>
      <c r="C19" s="27" t="s">
        <v>88</v>
      </c>
      <c r="D19" s="28">
        <f>НМЦ_Прил_1!G21</f>
        <v>1448.78</v>
      </c>
      <c r="E19" s="28">
        <f>НМЦ_Прил_1!J21</f>
        <v>13406.789550000001</v>
      </c>
      <c r="F19" s="119" t="s">
        <v>183</v>
      </c>
      <c r="G19" s="71">
        <f t="shared" si="3"/>
        <v>13365.415800000001</v>
      </c>
      <c r="H19" s="71">
        <f t="shared" si="4"/>
        <v>41.373750000000001</v>
      </c>
      <c r="I19" s="81"/>
      <c r="J19" s="81"/>
      <c r="K19" s="80"/>
      <c r="L19" s="80"/>
      <c r="M19" s="80"/>
      <c r="N19" s="80"/>
      <c r="O19" s="80"/>
      <c r="P19" s="80"/>
      <c r="Q19" s="81"/>
      <c r="R19" s="81"/>
      <c r="S19" s="81"/>
      <c r="T19" s="81"/>
      <c r="U19" s="45"/>
      <c r="V19" s="71">
        <f>'разбивка по сметам'!T11/1000</f>
        <v>13406.789550000001</v>
      </c>
      <c r="W19" s="90">
        <f t="shared" si="5"/>
        <v>0</v>
      </c>
      <c r="X19" s="90">
        <f t="shared" si="6"/>
        <v>0</v>
      </c>
      <c r="Y19" s="90">
        <f t="shared" si="7"/>
        <v>0</v>
      </c>
      <c r="Z19" s="90">
        <f t="shared" si="8"/>
        <v>0</v>
      </c>
      <c r="AA19" s="90">
        <f t="shared" si="9"/>
        <v>0</v>
      </c>
      <c r="AB19" s="90">
        <f t="shared" si="10"/>
        <v>0</v>
      </c>
      <c r="AC19" s="90">
        <f t="shared" si="11"/>
        <v>0</v>
      </c>
      <c r="AD19" s="90">
        <f t="shared" si="12"/>
        <v>0</v>
      </c>
      <c r="AE19" s="90">
        <f t="shared" si="13"/>
        <v>0</v>
      </c>
      <c r="AF19" s="90">
        <f t="shared" si="14"/>
        <v>0</v>
      </c>
      <c r="AG19" s="90">
        <f t="shared" si="15"/>
        <v>0</v>
      </c>
      <c r="AH19" s="90">
        <f t="shared" si="16"/>
        <v>0</v>
      </c>
      <c r="AK19" s="139">
        <v>2154729.06</v>
      </c>
      <c r="AL19" s="139">
        <v>11210686.74</v>
      </c>
      <c r="AM19" s="139">
        <v>41373.75</v>
      </c>
      <c r="AN19" s="139">
        <v>13406789.550000001</v>
      </c>
      <c r="AP19" s="1">
        <f>AK19/1000</f>
        <v>2154.7290600000001</v>
      </c>
      <c r="AQ19" s="1">
        <f t="shared" si="17"/>
        <v>11210.686740000001</v>
      </c>
      <c r="AR19" s="1">
        <f t="shared" si="18"/>
        <v>41.373750000000001</v>
      </c>
      <c r="AS19" s="1">
        <f t="shared" si="19"/>
        <v>13406.789550000001</v>
      </c>
    </row>
    <row r="20" spans="1:45" ht="38.25" x14ac:dyDescent="0.2">
      <c r="A20" s="48">
        <v>7</v>
      </c>
      <c r="B20" s="65" t="s">
        <v>89</v>
      </c>
      <c r="C20" s="27" t="s">
        <v>90</v>
      </c>
      <c r="D20" s="28">
        <f>НМЦ_Прил_1!G22</f>
        <v>2014.5029999999999</v>
      </c>
      <c r="E20" s="28">
        <f>НМЦ_Прил_1!J22</f>
        <v>18595.070789999998</v>
      </c>
      <c r="F20" s="119" t="s">
        <v>183</v>
      </c>
      <c r="G20" s="71">
        <f t="shared" si="3"/>
        <v>18466.253969999998</v>
      </c>
      <c r="H20" s="71">
        <f t="shared" si="4"/>
        <v>128.81682000000001</v>
      </c>
      <c r="I20" s="81"/>
      <c r="J20" s="81"/>
      <c r="K20" s="81"/>
      <c r="L20" s="81"/>
      <c r="M20" s="81"/>
      <c r="N20" s="81"/>
      <c r="O20" s="80"/>
      <c r="P20" s="81"/>
      <c r="Q20" s="81"/>
      <c r="R20" s="81"/>
      <c r="S20" s="81"/>
      <c r="T20" s="81"/>
      <c r="U20" s="45"/>
      <c r="V20" s="71">
        <f>'разбивка по сметам'!T12/1000</f>
        <v>18595.070789999998</v>
      </c>
      <c r="W20" s="90">
        <f t="shared" si="5"/>
        <v>0</v>
      </c>
      <c r="X20" s="90">
        <f t="shared" si="6"/>
        <v>0</v>
      </c>
      <c r="Y20" s="90">
        <f t="shared" si="7"/>
        <v>0</v>
      </c>
      <c r="Z20" s="90">
        <f t="shared" si="8"/>
        <v>0</v>
      </c>
      <c r="AA20" s="90">
        <f t="shared" si="9"/>
        <v>0</v>
      </c>
      <c r="AB20" s="90">
        <f t="shared" si="10"/>
        <v>0</v>
      </c>
      <c r="AC20" s="90">
        <f t="shared" si="11"/>
        <v>0</v>
      </c>
      <c r="AD20" s="90">
        <f t="shared" si="12"/>
        <v>0</v>
      </c>
      <c r="AE20" s="90">
        <f t="shared" si="13"/>
        <v>0</v>
      </c>
      <c r="AF20" s="90">
        <f t="shared" si="14"/>
        <v>0</v>
      </c>
      <c r="AG20" s="90">
        <f t="shared" si="15"/>
        <v>0</v>
      </c>
      <c r="AH20" s="90">
        <f t="shared" si="16"/>
        <v>0</v>
      </c>
      <c r="AK20" s="139">
        <v>3706952.12</v>
      </c>
      <c r="AL20" s="139">
        <v>14759301.85</v>
      </c>
      <c r="AM20" s="139">
        <v>128816.82</v>
      </c>
      <c r="AN20" s="139">
        <v>18595070.789999999</v>
      </c>
      <c r="AP20" s="1">
        <f>AK20/1000</f>
        <v>3706.9521199999999</v>
      </c>
      <c r="AQ20" s="1">
        <f t="shared" si="17"/>
        <v>14759.30185</v>
      </c>
      <c r="AR20" s="1">
        <f t="shared" si="18"/>
        <v>128.81682000000001</v>
      </c>
      <c r="AS20" s="1">
        <f t="shared" si="19"/>
        <v>18595.070789999998</v>
      </c>
    </row>
    <row r="21" spans="1:45" ht="38.25" x14ac:dyDescent="0.2">
      <c r="A21" s="48">
        <v>8</v>
      </c>
      <c r="B21" s="65" t="s">
        <v>91</v>
      </c>
      <c r="C21" s="27" t="s">
        <v>92</v>
      </c>
      <c r="D21" s="28">
        <f>НМЦ_Прил_1!G23</f>
        <v>77.587999999999994</v>
      </c>
      <c r="E21" s="28">
        <f>НМЦ_Прил_1!J23</f>
        <v>685.49867000000006</v>
      </c>
      <c r="F21" s="119" t="s">
        <v>183</v>
      </c>
      <c r="G21" s="71">
        <f t="shared" si="3"/>
        <v>663.52991000000009</v>
      </c>
      <c r="H21" s="71">
        <f t="shared" si="4"/>
        <v>21.96876</v>
      </c>
      <c r="I21" s="81"/>
      <c r="J21" s="81"/>
      <c r="K21" s="81"/>
      <c r="L21" s="81"/>
      <c r="M21" s="81"/>
      <c r="N21" s="81"/>
      <c r="O21" s="81"/>
      <c r="P21" s="80"/>
      <c r="Q21" s="81"/>
      <c r="R21" s="81"/>
      <c r="S21" s="81"/>
      <c r="T21" s="81"/>
      <c r="U21" s="45"/>
      <c r="V21" s="71">
        <f>'разбивка по сметам'!T13/1000</f>
        <v>685.49867000000006</v>
      </c>
      <c r="W21" s="90">
        <f t="shared" si="5"/>
        <v>0</v>
      </c>
      <c r="X21" s="90">
        <f t="shared" si="6"/>
        <v>0</v>
      </c>
      <c r="Y21" s="90">
        <f t="shared" si="7"/>
        <v>0</v>
      </c>
      <c r="Z21" s="90">
        <f t="shared" si="8"/>
        <v>0</v>
      </c>
      <c r="AA21" s="90">
        <f t="shared" si="9"/>
        <v>0</v>
      </c>
      <c r="AB21" s="90">
        <f t="shared" si="10"/>
        <v>0</v>
      </c>
      <c r="AC21" s="90">
        <f t="shared" si="11"/>
        <v>0</v>
      </c>
      <c r="AD21" s="90">
        <f t="shared" si="12"/>
        <v>0</v>
      </c>
      <c r="AE21" s="90">
        <f t="shared" si="13"/>
        <v>0</v>
      </c>
      <c r="AF21" s="90">
        <f t="shared" si="14"/>
        <v>0</v>
      </c>
      <c r="AG21" s="90">
        <f t="shared" si="15"/>
        <v>0</v>
      </c>
      <c r="AH21" s="90">
        <f t="shared" si="16"/>
        <v>0</v>
      </c>
      <c r="AK21" s="139">
        <v>70199.199999999997</v>
      </c>
      <c r="AL21" s="139">
        <v>593330.71</v>
      </c>
      <c r="AM21" s="139">
        <v>21968.76</v>
      </c>
      <c r="AN21" s="139">
        <v>685498.67</v>
      </c>
      <c r="AP21" s="1">
        <f>AK21/1000</f>
        <v>70.19919999999999</v>
      </c>
      <c r="AQ21" s="1">
        <f t="shared" si="17"/>
        <v>593.33070999999995</v>
      </c>
      <c r="AR21" s="1">
        <f t="shared" si="18"/>
        <v>21.96876</v>
      </c>
      <c r="AS21" s="1">
        <f t="shared" si="19"/>
        <v>685.49867000000006</v>
      </c>
    </row>
    <row r="22" spans="1:45" ht="39" customHeight="1" x14ac:dyDescent="0.2">
      <c r="A22" s="48">
        <v>9</v>
      </c>
      <c r="B22" s="65" t="s">
        <v>93</v>
      </c>
      <c r="C22" s="27" t="s">
        <v>94</v>
      </c>
      <c r="D22" s="28">
        <f>НМЦ_Прил_1!G24</f>
        <v>1234.2539999999999</v>
      </c>
      <c r="E22" s="28">
        <f>НМЦ_Прил_1!J24</f>
        <v>11429.426619999998</v>
      </c>
      <c r="F22" s="119" t="s">
        <v>183</v>
      </c>
      <c r="G22" s="71">
        <f t="shared" si="3"/>
        <v>11407.457859999999</v>
      </c>
      <c r="H22" s="71">
        <f t="shared" si="4"/>
        <v>21.96876</v>
      </c>
      <c r="I22" s="81"/>
      <c r="J22" s="81"/>
      <c r="K22" s="81"/>
      <c r="L22" s="81"/>
      <c r="M22" s="81"/>
      <c r="N22" s="81"/>
      <c r="O22" s="81"/>
      <c r="P22" s="81"/>
      <c r="Q22" s="80"/>
      <c r="R22" s="81"/>
      <c r="S22" s="81"/>
      <c r="T22" s="81"/>
      <c r="U22" s="45"/>
      <c r="V22" s="71">
        <f>'разбивка по сметам'!T14/1000</f>
        <v>11429.426619999998</v>
      </c>
      <c r="W22" s="90">
        <f t="shared" si="5"/>
        <v>0</v>
      </c>
      <c r="X22" s="90">
        <f t="shared" si="6"/>
        <v>0</v>
      </c>
      <c r="Y22" s="90">
        <f t="shared" si="7"/>
        <v>0</v>
      </c>
      <c r="Z22" s="90">
        <f t="shared" si="8"/>
        <v>0</v>
      </c>
      <c r="AA22" s="90">
        <f t="shared" si="9"/>
        <v>0</v>
      </c>
      <c r="AB22" s="90">
        <f t="shared" si="10"/>
        <v>0</v>
      </c>
      <c r="AC22" s="90">
        <f t="shared" si="11"/>
        <v>0</v>
      </c>
      <c r="AD22" s="90">
        <f t="shared" si="12"/>
        <v>0</v>
      </c>
      <c r="AE22" s="90">
        <f t="shared" si="13"/>
        <v>0</v>
      </c>
      <c r="AF22" s="90">
        <f t="shared" si="14"/>
        <v>0</v>
      </c>
      <c r="AG22" s="90">
        <f t="shared" si="15"/>
        <v>0</v>
      </c>
      <c r="AH22" s="90">
        <f t="shared" si="16"/>
        <v>0</v>
      </c>
      <c r="AK22" s="139">
        <v>1484269.17</v>
      </c>
      <c r="AL22" s="139">
        <v>9923188.6899999995</v>
      </c>
      <c r="AM22" s="139">
        <v>21968.76</v>
      </c>
      <c r="AN22" s="139">
        <v>11429426.619999999</v>
      </c>
      <c r="AP22" s="1">
        <f>AK22/1000</f>
        <v>1484.26917</v>
      </c>
      <c r="AQ22" s="1">
        <f t="shared" si="17"/>
        <v>9923.188689999999</v>
      </c>
      <c r="AR22" s="1">
        <f t="shared" si="18"/>
        <v>21.96876</v>
      </c>
      <c r="AS22" s="1">
        <f t="shared" si="19"/>
        <v>11429.426619999998</v>
      </c>
    </row>
    <row r="23" spans="1:45" ht="38.25" customHeight="1" x14ac:dyDescent="0.2">
      <c r="A23" s="48">
        <v>10</v>
      </c>
      <c r="B23" s="65" t="s">
        <v>95</v>
      </c>
      <c r="C23" s="27" t="s">
        <v>96</v>
      </c>
      <c r="D23" s="28">
        <f>НМЦ_Прил_1!G25</f>
        <v>46.835000000000001</v>
      </c>
      <c r="E23" s="28">
        <f>НМЦ_Прил_1!J25</f>
        <v>407.16795000000002</v>
      </c>
      <c r="F23" s="119" t="s">
        <v>183</v>
      </c>
      <c r="G23" s="71">
        <f t="shared" si="3"/>
        <v>365.79420000000005</v>
      </c>
      <c r="H23" s="71">
        <f>41373.75/1000</f>
        <v>41.373750000000001</v>
      </c>
      <c r="I23" s="81"/>
      <c r="J23" s="81"/>
      <c r="K23" s="81"/>
      <c r="L23" s="81"/>
      <c r="M23" s="81"/>
      <c r="N23" s="81"/>
      <c r="O23" s="81"/>
      <c r="P23" s="81"/>
      <c r="Q23" s="81"/>
      <c r="R23" s="80"/>
      <c r="S23" s="81"/>
      <c r="T23" s="81"/>
      <c r="U23" s="45"/>
      <c r="V23" s="71">
        <f>'разбивка по сметам'!T15/1000</f>
        <v>407.16795000000002</v>
      </c>
      <c r="W23" s="90">
        <f t="shared" si="5"/>
        <v>0</v>
      </c>
      <c r="X23" s="90">
        <f t="shared" si="6"/>
        <v>0</v>
      </c>
      <c r="Y23" s="90">
        <f t="shared" si="7"/>
        <v>0</v>
      </c>
      <c r="Z23" s="90">
        <f t="shared" si="8"/>
        <v>0</v>
      </c>
      <c r="AA23" s="90">
        <f t="shared" si="9"/>
        <v>0</v>
      </c>
      <c r="AB23" s="90">
        <f t="shared" si="10"/>
        <v>0</v>
      </c>
      <c r="AC23" s="90">
        <f t="shared" si="11"/>
        <v>0</v>
      </c>
      <c r="AD23" s="90">
        <f t="shared" si="12"/>
        <v>0</v>
      </c>
      <c r="AE23" s="90">
        <f t="shared" si="13"/>
        <v>0</v>
      </c>
      <c r="AF23" s="90">
        <f t="shared" si="14"/>
        <v>0</v>
      </c>
      <c r="AG23" s="90">
        <f t="shared" si="15"/>
        <v>0</v>
      </c>
      <c r="AH23" s="90">
        <f t="shared" si="16"/>
        <v>0</v>
      </c>
    </row>
    <row r="24" spans="1:45" ht="38.25" x14ac:dyDescent="0.2">
      <c r="A24" s="48">
        <v>11</v>
      </c>
      <c r="B24" s="65" t="s">
        <v>97</v>
      </c>
      <c r="C24" s="27" t="s">
        <v>98</v>
      </c>
      <c r="D24" s="28">
        <f>НМЦ_Прил_1!G26</f>
        <v>45.720999999999997</v>
      </c>
      <c r="E24" s="28">
        <f>НМЦ_Прил_1!J26</f>
        <v>396.84116999999998</v>
      </c>
      <c r="F24" s="119" t="s">
        <v>183</v>
      </c>
      <c r="G24" s="71">
        <f t="shared" si="3"/>
        <v>355.46741999999995</v>
      </c>
      <c r="H24" s="71">
        <f>41373.75/1000</f>
        <v>41.373750000000001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1"/>
      <c r="U24" s="45"/>
      <c r="V24" s="71">
        <f>'разбивка по сметам'!T16/1000</f>
        <v>396.84116999999998</v>
      </c>
      <c r="W24" s="90">
        <f t="shared" si="5"/>
        <v>0</v>
      </c>
      <c r="X24" s="90">
        <f t="shared" si="6"/>
        <v>0</v>
      </c>
      <c r="Y24" s="90">
        <f t="shared" si="7"/>
        <v>0</v>
      </c>
      <c r="Z24" s="90">
        <f t="shared" si="8"/>
        <v>0</v>
      </c>
      <c r="AA24" s="90">
        <f t="shared" si="9"/>
        <v>0</v>
      </c>
      <c r="AB24" s="90">
        <f t="shared" si="10"/>
        <v>0</v>
      </c>
      <c r="AC24" s="90">
        <f t="shared" si="11"/>
        <v>0</v>
      </c>
      <c r="AD24" s="90">
        <f t="shared" si="12"/>
        <v>0</v>
      </c>
      <c r="AE24" s="90">
        <f t="shared" si="13"/>
        <v>0</v>
      </c>
      <c r="AF24" s="90">
        <f t="shared" si="14"/>
        <v>0</v>
      </c>
      <c r="AG24" s="90">
        <f t="shared" si="15"/>
        <v>0</v>
      </c>
      <c r="AH24" s="90">
        <f t="shared" si="16"/>
        <v>0</v>
      </c>
    </row>
    <row r="25" spans="1:45" ht="38.25" x14ac:dyDescent="0.2">
      <c r="A25" s="48">
        <v>12</v>
      </c>
      <c r="B25" s="65" t="s">
        <v>99</v>
      </c>
      <c r="C25" s="27" t="s">
        <v>100</v>
      </c>
      <c r="D25" s="28">
        <f>НМЦ_Прил_1!G27</f>
        <v>115.64</v>
      </c>
      <c r="E25" s="28">
        <f>НМЦ_Прил_1!J27</f>
        <v>997.32951999999977</v>
      </c>
      <c r="F25" s="119" t="s">
        <v>183</v>
      </c>
      <c r="G25" s="71">
        <f t="shared" si="3"/>
        <v>934.09359999999981</v>
      </c>
      <c r="H25" s="71">
        <f>63235.92/1000</f>
        <v>63.23592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0"/>
      <c r="U25" s="45"/>
      <c r="V25" s="71">
        <f>'разбивка по сметам'!T17/1000</f>
        <v>997.32951999999977</v>
      </c>
      <c r="W25" s="90">
        <f t="shared" si="5"/>
        <v>0</v>
      </c>
      <c r="X25" s="90">
        <f t="shared" si="6"/>
        <v>0</v>
      </c>
      <c r="Y25" s="90">
        <f t="shared" si="7"/>
        <v>0</v>
      </c>
      <c r="Z25" s="90">
        <f t="shared" si="8"/>
        <v>0</v>
      </c>
      <c r="AA25" s="90">
        <f t="shared" si="9"/>
        <v>0</v>
      </c>
      <c r="AB25" s="90">
        <f t="shared" si="10"/>
        <v>0</v>
      </c>
      <c r="AC25" s="90">
        <f t="shared" si="11"/>
        <v>0</v>
      </c>
      <c r="AD25" s="90">
        <f t="shared" si="12"/>
        <v>0</v>
      </c>
      <c r="AE25" s="90">
        <f t="shared" si="13"/>
        <v>0</v>
      </c>
      <c r="AF25" s="90">
        <f t="shared" si="14"/>
        <v>0</v>
      </c>
      <c r="AG25" s="90">
        <f t="shared" si="15"/>
        <v>0</v>
      </c>
      <c r="AH25" s="90">
        <f t="shared" si="16"/>
        <v>0</v>
      </c>
    </row>
    <row r="26" spans="1:45" ht="38.25" x14ac:dyDescent="0.2">
      <c r="A26" s="48">
        <v>13</v>
      </c>
      <c r="B26" s="65" t="s">
        <v>101</v>
      </c>
      <c r="C26" s="27" t="s">
        <v>102</v>
      </c>
      <c r="D26" s="28">
        <f>НМЦ_Прил_1!G28</f>
        <v>96.814999999999998</v>
      </c>
      <c r="E26" s="28">
        <f>НМЦ_Прил_1!J28</f>
        <v>873.80200000000002</v>
      </c>
      <c r="F26" s="119" t="s">
        <v>183</v>
      </c>
      <c r="G26" s="71">
        <f t="shared" si="3"/>
        <v>832.42825000000005</v>
      </c>
      <c r="H26" s="71">
        <f t="shared" ref="H26:H33" si="20">AR26</f>
        <v>41.373750000000001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1"/>
      <c r="U26" s="45"/>
      <c r="V26" s="71">
        <f>'разбивка по сметам'!T18/1000</f>
        <v>873.80200000000002</v>
      </c>
      <c r="W26" s="90">
        <f t="shared" si="5"/>
        <v>0</v>
      </c>
      <c r="X26" s="90">
        <f t="shared" si="6"/>
        <v>0</v>
      </c>
      <c r="Y26" s="90">
        <f t="shared" si="7"/>
        <v>0</v>
      </c>
      <c r="Z26" s="90">
        <f t="shared" si="8"/>
        <v>0</v>
      </c>
      <c r="AA26" s="90">
        <f t="shared" si="9"/>
        <v>0</v>
      </c>
      <c r="AB26" s="90">
        <f t="shared" si="10"/>
        <v>0</v>
      </c>
      <c r="AC26" s="90">
        <f t="shared" si="11"/>
        <v>0</v>
      </c>
      <c r="AD26" s="90">
        <f t="shared" si="12"/>
        <v>0</v>
      </c>
      <c r="AE26" s="90">
        <f t="shared" si="13"/>
        <v>0</v>
      </c>
      <c r="AF26" s="90">
        <f t="shared" si="14"/>
        <v>0</v>
      </c>
      <c r="AG26" s="90">
        <f t="shared" si="15"/>
        <v>0</v>
      </c>
      <c r="AH26" s="90">
        <f t="shared" si="16"/>
        <v>0</v>
      </c>
      <c r="AK26" s="139">
        <v>56258.04</v>
      </c>
      <c r="AL26" s="139">
        <v>776170.21</v>
      </c>
      <c r="AM26" s="139">
        <v>41373.75</v>
      </c>
      <c r="AN26" s="139">
        <v>873802</v>
      </c>
      <c r="AP26" s="1">
        <f t="shared" ref="AP26:AP42" si="21">AK26/1000</f>
        <v>56.258040000000001</v>
      </c>
      <c r="AQ26" s="1">
        <f t="shared" ref="AQ26:AQ42" si="22">AL26/1000</f>
        <v>776.17021</v>
      </c>
      <c r="AR26" s="1">
        <f t="shared" ref="AR26:AR42" si="23">AM26/1000</f>
        <v>41.373750000000001</v>
      </c>
      <c r="AS26" s="1">
        <f t="shared" ref="AS26:AS42" si="24">AN26/1000</f>
        <v>873.80200000000002</v>
      </c>
    </row>
    <row r="27" spans="1:45" ht="39" customHeight="1" x14ac:dyDescent="0.2">
      <c r="A27" s="48">
        <v>14</v>
      </c>
      <c r="B27" s="65" t="s">
        <v>103</v>
      </c>
      <c r="C27" s="27" t="s">
        <v>104</v>
      </c>
      <c r="D27" s="28">
        <f>НМЦ_Прил_1!G29</f>
        <v>94.003</v>
      </c>
      <c r="E27" s="28">
        <f>НМЦ_Прил_1!J29</f>
        <v>839.08500000000004</v>
      </c>
      <c r="F27" s="119" t="s">
        <v>183</v>
      </c>
      <c r="G27" s="71">
        <f t="shared" si="3"/>
        <v>783.13647000000003</v>
      </c>
      <c r="H27" s="71">
        <f t="shared" si="20"/>
        <v>55.948529999999998</v>
      </c>
      <c r="I27" s="81"/>
      <c r="J27" s="81"/>
      <c r="K27" s="81"/>
      <c r="L27" s="81"/>
      <c r="M27" s="81"/>
      <c r="N27" s="81"/>
      <c r="O27" s="81"/>
      <c r="P27" s="81"/>
      <c r="Q27" s="81"/>
      <c r="R27" s="80"/>
      <c r="S27" s="81"/>
      <c r="T27" s="81"/>
      <c r="U27" s="45"/>
      <c r="V27" s="71">
        <f>'разбивка по сметам'!T19/1000</f>
        <v>839.08500000000004</v>
      </c>
      <c r="W27" s="90">
        <f t="shared" si="5"/>
        <v>0</v>
      </c>
      <c r="X27" s="90">
        <f t="shared" si="6"/>
        <v>0</v>
      </c>
      <c r="Y27" s="90">
        <f t="shared" si="7"/>
        <v>0</v>
      </c>
      <c r="Z27" s="90">
        <f t="shared" si="8"/>
        <v>0</v>
      </c>
      <c r="AA27" s="90">
        <f t="shared" si="9"/>
        <v>0</v>
      </c>
      <c r="AB27" s="90">
        <f t="shared" si="10"/>
        <v>0</v>
      </c>
      <c r="AC27" s="90">
        <f t="shared" si="11"/>
        <v>0</v>
      </c>
      <c r="AD27" s="90">
        <f t="shared" si="12"/>
        <v>0</v>
      </c>
      <c r="AE27" s="90">
        <f t="shared" si="13"/>
        <v>0</v>
      </c>
      <c r="AF27" s="90">
        <f t="shared" si="14"/>
        <v>0</v>
      </c>
      <c r="AG27" s="90">
        <f t="shared" si="15"/>
        <v>0</v>
      </c>
      <c r="AH27" s="90">
        <f t="shared" si="16"/>
        <v>0</v>
      </c>
      <c r="AK27" s="139">
        <v>73888.800000000003</v>
      </c>
      <c r="AL27" s="139">
        <v>709247.67</v>
      </c>
      <c r="AM27" s="139">
        <v>55948.53</v>
      </c>
      <c r="AN27" s="139">
        <v>839085</v>
      </c>
      <c r="AP27" s="1">
        <f t="shared" si="21"/>
        <v>73.888800000000003</v>
      </c>
      <c r="AQ27" s="1">
        <f t="shared" si="22"/>
        <v>709.24767000000008</v>
      </c>
      <c r="AR27" s="1">
        <f t="shared" si="23"/>
        <v>55.948529999999998</v>
      </c>
      <c r="AS27" s="1">
        <f t="shared" si="24"/>
        <v>839.08500000000004</v>
      </c>
    </row>
    <row r="28" spans="1:45" ht="38.25" customHeight="1" x14ac:dyDescent="0.2">
      <c r="A28" s="48">
        <v>15</v>
      </c>
      <c r="B28" s="65" t="s">
        <v>105</v>
      </c>
      <c r="C28" s="27" t="s">
        <v>106</v>
      </c>
      <c r="D28" s="28">
        <f>НМЦ_Прил_1!G30</f>
        <v>2828.7460000000001</v>
      </c>
      <c r="E28" s="28">
        <f>НМЦ_Прил_1!J30</f>
        <v>25239.785210000002</v>
      </c>
      <c r="F28" s="119" t="s">
        <v>183</v>
      </c>
      <c r="G28" s="71">
        <f t="shared" si="3"/>
        <v>25096.393610000003</v>
      </c>
      <c r="H28" s="71">
        <f t="shared" si="20"/>
        <v>143.39160000000001</v>
      </c>
      <c r="I28" s="81"/>
      <c r="J28" s="81"/>
      <c r="K28" s="81"/>
      <c r="L28" s="81"/>
      <c r="M28" s="81"/>
      <c r="N28" s="81"/>
      <c r="O28" s="81"/>
      <c r="P28" s="81"/>
      <c r="Q28" s="80"/>
      <c r="R28" s="81"/>
      <c r="S28" s="81"/>
      <c r="T28" s="81"/>
      <c r="U28" s="45"/>
      <c r="V28" s="71">
        <f>'разбивка по сметам'!T20/1000</f>
        <v>25239.785210000002</v>
      </c>
      <c r="W28" s="90">
        <f t="shared" si="5"/>
        <v>0</v>
      </c>
      <c r="X28" s="90">
        <f t="shared" si="6"/>
        <v>0</v>
      </c>
      <c r="Y28" s="90">
        <f t="shared" si="7"/>
        <v>0</v>
      </c>
      <c r="Z28" s="90">
        <f t="shared" si="8"/>
        <v>0</v>
      </c>
      <c r="AA28" s="90">
        <f t="shared" si="9"/>
        <v>0</v>
      </c>
      <c r="AB28" s="90">
        <f t="shared" si="10"/>
        <v>0</v>
      </c>
      <c r="AC28" s="90">
        <f t="shared" si="11"/>
        <v>0</v>
      </c>
      <c r="AD28" s="90">
        <f t="shared" si="12"/>
        <v>0</v>
      </c>
      <c r="AE28" s="90">
        <f t="shared" si="13"/>
        <v>0</v>
      </c>
      <c r="AF28" s="90">
        <f t="shared" si="14"/>
        <v>0</v>
      </c>
      <c r="AG28" s="90">
        <f t="shared" si="15"/>
        <v>0</v>
      </c>
      <c r="AH28" s="90">
        <f t="shared" si="16"/>
        <v>0</v>
      </c>
      <c r="AK28" s="139">
        <v>4579073.07</v>
      </c>
      <c r="AL28" s="139">
        <v>20517320.539999999</v>
      </c>
      <c r="AM28" s="139">
        <v>143391.6</v>
      </c>
      <c r="AN28" s="139">
        <v>25239785.210000001</v>
      </c>
      <c r="AP28" s="1">
        <f t="shared" si="21"/>
        <v>4579.0730700000004</v>
      </c>
      <c r="AQ28" s="1">
        <f t="shared" si="22"/>
        <v>20517.320540000001</v>
      </c>
      <c r="AR28" s="1">
        <f t="shared" si="23"/>
        <v>143.39160000000001</v>
      </c>
      <c r="AS28" s="1">
        <f t="shared" si="24"/>
        <v>25239.785210000002</v>
      </c>
    </row>
    <row r="29" spans="1:45" ht="38.25" x14ac:dyDescent="0.2">
      <c r="A29" s="48">
        <v>16</v>
      </c>
      <c r="B29" s="65" t="s">
        <v>107</v>
      </c>
      <c r="C29" s="27" t="s">
        <v>108</v>
      </c>
      <c r="D29" s="28">
        <f>НМЦ_Прил_1!G31</f>
        <v>1788.585</v>
      </c>
      <c r="E29" s="28">
        <f>НМЦ_Прил_1!J31</f>
        <v>16517.599490000001</v>
      </c>
      <c r="F29" s="119" t="s">
        <v>183</v>
      </c>
      <c r="G29" s="71">
        <f t="shared" si="3"/>
        <v>16410.644840000001</v>
      </c>
      <c r="H29" s="71">
        <f t="shared" si="20"/>
        <v>106.95465</v>
      </c>
      <c r="I29" s="81"/>
      <c r="J29" s="81"/>
      <c r="K29" s="81"/>
      <c r="L29" s="81"/>
      <c r="M29" s="81"/>
      <c r="N29" s="81"/>
      <c r="O29" s="81"/>
      <c r="P29" s="80"/>
      <c r="Q29" s="81"/>
      <c r="R29" s="81"/>
      <c r="S29" s="81"/>
      <c r="T29" s="81"/>
      <c r="U29" s="45"/>
      <c r="V29" s="71">
        <f>'разбивка по сметам'!T21/1000</f>
        <v>16517.599490000001</v>
      </c>
      <c r="W29" s="90">
        <f t="shared" si="5"/>
        <v>0</v>
      </c>
      <c r="X29" s="90">
        <f t="shared" si="6"/>
        <v>0</v>
      </c>
      <c r="Y29" s="90">
        <f t="shared" si="7"/>
        <v>0</v>
      </c>
      <c r="Z29" s="90">
        <f t="shared" si="8"/>
        <v>0</v>
      </c>
      <c r="AA29" s="90">
        <f t="shared" si="9"/>
        <v>0</v>
      </c>
      <c r="AB29" s="90">
        <f t="shared" si="10"/>
        <v>0</v>
      </c>
      <c r="AC29" s="90">
        <f t="shared" si="11"/>
        <v>0</v>
      </c>
      <c r="AD29" s="90">
        <f t="shared" si="12"/>
        <v>0</v>
      </c>
      <c r="AE29" s="90">
        <f t="shared" si="13"/>
        <v>0</v>
      </c>
      <c r="AF29" s="90">
        <f t="shared" si="14"/>
        <v>0</v>
      </c>
      <c r="AG29" s="90">
        <f t="shared" si="15"/>
        <v>0</v>
      </c>
      <c r="AH29" s="90">
        <f t="shared" si="16"/>
        <v>0</v>
      </c>
      <c r="AK29" s="139">
        <v>1506605.88</v>
      </c>
      <c r="AL29" s="139">
        <v>14904038.960000001</v>
      </c>
      <c r="AM29" s="139">
        <v>106954.65</v>
      </c>
      <c r="AN29" s="139">
        <v>16517599.49</v>
      </c>
      <c r="AP29" s="1">
        <f t="shared" si="21"/>
        <v>1506.6058799999998</v>
      </c>
      <c r="AQ29" s="1">
        <f t="shared" si="22"/>
        <v>14904.038960000002</v>
      </c>
      <c r="AR29" s="1">
        <f t="shared" si="23"/>
        <v>106.95465</v>
      </c>
      <c r="AS29" s="1">
        <f t="shared" si="24"/>
        <v>16517.599490000001</v>
      </c>
    </row>
    <row r="30" spans="1:45" ht="38.25" x14ac:dyDescent="0.2">
      <c r="A30" s="48">
        <v>17</v>
      </c>
      <c r="B30" s="65" t="s">
        <v>109</v>
      </c>
      <c r="C30" s="27" t="s">
        <v>110</v>
      </c>
      <c r="D30" s="28">
        <f>НМЦ_Прил_1!G32</f>
        <v>54.966000000000001</v>
      </c>
      <c r="E30" s="28">
        <f>НМЦ_Прил_1!J32</f>
        <v>413.78934999999996</v>
      </c>
      <c r="F30" s="119" t="s">
        <v>183</v>
      </c>
      <c r="G30" s="71">
        <f t="shared" si="3"/>
        <v>372.41559999999993</v>
      </c>
      <c r="H30" s="71">
        <f t="shared" si="20"/>
        <v>41.373750000000001</v>
      </c>
      <c r="I30" s="81"/>
      <c r="J30" s="81"/>
      <c r="K30" s="81"/>
      <c r="L30" s="81"/>
      <c r="M30" s="81"/>
      <c r="N30" s="81"/>
      <c r="O30" s="80"/>
      <c r="P30" s="81"/>
      <c r="Q30" s="81"/>
      <c r="R30" s="81"/>
      <c r="S30" s="81"/>
      <c r="T30" s="81"/>
      <c r="U30" s="45"/>
      <c r="V30" s="71">
        <f>'разбивка по сметам'!T22/1000</f>
        <v>413.78934999999996</v>
      </c>
      <c r="W30" s="90">
        <f t="shared" si="5"/>
        <v>0</v>
      </c>
      <c r="X30" s="90">
        <f t="shared" si="6"/>
        <v>0</v>
      </c>
      <c r="Y30" s="90">
        <f t="shared" si="7"/>
        <v>0</v>
      </c>
      <c r="Z30" s="90">
        <f t="shared" si="8"/>
        <v>0</v>
      </c>
      <c r="AA30" s="90">
        <f t="shared" si="9"/>
        <v>0</v>
      </c>
      <c r="AB30" s="90">
        <f t="shared" si="10"/>
        <v>0</v>
      </c>
      <c r="AC30" s="90">
        <f t="shared" si="11"/>
        <v>0</v>
      </c>
      <c r="AD30" s="90">
        <f t="shared" si="12"/>
        <v>0</v>
      </c>
      <c r="AE30" s="90">
        <f t="shared" si="13"/>
        <v>0</v>
      </c>
      <c r="AF30" s="90">
        <f t="shared" si="14"/>
        <v>0</v>
      </c>
      <c r="AG30" s="90">
        <f t="shared" si="15"/>
        <v>0</v>
      </c>
      <c r="AH30" s="90">
        <f t="shared" si="16"/>
        <v>0</v>
      </c>
      <c r="AK30" s="139">
        <v>21102.720000000001</v>
      </c>
      <c r="AL30" s="139">
        <v>351312.88</v>
      </c>
      <c r="AM30" s="139">
        <v>41373.75</v>
      </c>
      <c r="AN30" s="139">
        <v>413789.35</v>
      </c>
      <c r="AP30" s="1">
        <f t="shared" si="21"/>
        <v>21.102720000000001</v>
      </c>
      <c r="AQ30" s="1">
        <f t="shared" si="22"/>
        <v>351.31288000000001</v>
      </c>
      <c r="AR30" s="1">
        <f t="shared" si="23"/>
        <v>41.373750000000001</v>
      </c>
      <c r="AS30" s="1">
        <f t="shared" si="24"/>
        <v>413.78934999999996</v>
      </c>
    </row>
    <row r="31" spans="1:45" ht="38.25" x14ac:dyDescent="0.2">
      <c r="A31" s="48">
        <v>18</v>
      </c>
      <c r="B31" s="65" t="s">
        <v>111</v>
      </c>
      <c r="C31" s="27" t="s">
        <v>112</v>
      </c>
      <c r="D31" s="28">
        <f>НМЦ_Прил_1!G33</f>
        <v>89.685000000000002</v>
      </c>
      <c r="E31" s="28">
        <f>НМЦ_Прил_1!J33</f>
        <v>807.70690000000002</v>
      </c>
      <c r="F31" s="119" t="s">
        <v>183</v>
      </c>
      <c r="G31" s="71">
        <f t="shared" si="3"/>
        <v>766.33315000000005</v>
      </c>
      <c r="H31" s="71">
        <f t="shared" si="20"/>
        <v>41.373750000000001</v>
      </c>
      <c r="I31" s="81"/>
      <c r="J31" s="81"/>
      <c r="K31" s="81"/>
      <c r="L31" s="81"/>
      <c r="M31" s="81"/>
      <c r="N31" s="80"/>
      <c r="O31" s="81"/>
      <c r="P31" s="81"/>
      <c r="Q31" s="81"/>
      <c r="R31" s="81"/>
      <c r="S31" s="81"/>
      <c r="T31" s="81"/>
      <c r="U31" s="45"/>
      <c r="V31" s="71">
        <f>'разбивка по сметам'!T23/1000</f>
        <v>807.70690000000002</v>
      </c>
      <c r="W31" s="90">
        <f t="shared" si="5"/>
        <v>0</v>
      </c>
      <c r="X31" s="90">
        <f t="shared" si="6"/>
        <v>0</v>
      </c>
      <c r="Y31" s="90">
        <f t="shared" si="7"/>
        <v>0</v>
      </c>
      <c r="Z31" s="90">
        <f t="shared" si="8"/>
        <v>0</v>
      </c>
      <c r="AA31" s="90">
        <f t="shared" si="9"/>
        <v>0</v>
      </c>
      <c r="AB31" s="90">
        <f t="shared" si="10"/>
        <v>0</v>
      </c>
      <c r="AC31" s="90">
        <f t="shared" si="11"/>
        <v>0</v>
      </c>
      <c r="AD31" s="90">
        <f t="shared" si="12"/>
        <v>0</v>
      </c>
      <c r="AE31" s="90">
        <f t="shared" si="13"/>
        <v>0</v>
      </c>
      <c r="AF31" s="90">
        <f t="shared" si="14"/>
        <v>0</v>
      </c>
      <c r="AG31" s="90">
        <f t="shared" si="15"/>
        <v>0</v>
      </c>
      <c r="AH31" s="90">
        <f t="shared" si="16"/>
        <v>0</v>
      </c>
      <c r="AK31" s="139">
        <v>66482.850000000006</v>
      </c>
      <c r="AL31" s="139">
        <v>699850.3</v>
      </c>
      <c r="AM31" s="139">
        <v>41373.75</v>
      </c>
      <c r="AN31" s="139">
        <v>807706.9</v>
      </c>
      <c r="AP31" s="1">
        <f t="shared" si="21"/>
        <v>66.482849999999999</v>
      </c>
      <c r="AQ31" s="1">
        <f t="shared" si="22"/>
        <v>699.85030000000006</v>
      </c>
      <c r="AR31" s="1">
        <f t="shared" si="23"/>
        <v>41.373750000000001</v>
      </c>
      <c r="AS31" s="1">
        <f t="shared" si="24"/>
        <v>807.70690000000002</v>
      </c>
    </row>
    <row r="32" spans="1:45" ht="39" customHeight="1" x14ac:dyDescent="0.2">
      <c r="A32" s="48">
        <v>19</v>
      </c>
      <c r="B32" s="65" t="s">
        <v>113</v>
      </c>
      <c r="C32" s="27" t="s">
        <v>114</v>
      </c>
      <c r="D32" s="28">
        <f>НМЦ_Прил_1!G34</f>
        <v>727.59799999999996</v>
      </c>
      <c r="E32" s="28">
        <f>НМЦ_Прил_1!J34</f>
        <v>6467.6381100000008</v>
      </c>
      <c r="F32" s="119" t="s">
        <v>183</v>
      </c>
      <c r="G32" s="71">
        <f t="shared" si="3"/>
        <v>6382.5400200000004</v>
      </c>
      <c r="H32" s="71">
        <f t="shared" si="20"/>
        <v>85.098089999999999</v>
      </c>
      <c r="I32" s="81"/>
      <c r="J32" s="81"/>
      <c r="K32" s="81"/>
      <c r="L32" s="81"/>
      <c r="M32" s="80"/>
      <c r="N32" s="81"/>
      <c r="O32" s="81"/>
      <c r="P32" s="81"/>
      <c r="Q32" s="81"/>
      <c r="R32" s="81"/>
      <c r="S32" s="81"/>
      <c r="T32" s="81"/>
      <c r="U32" s="45"/>
      <c r="V32" s="71">
        <f>'разбивка по сметам'!T24/1000</f>
        <v>6467.6381100000008</v>
      </c>
      <c r="W32" s="90">
        <f t="shared" si="5"/>
        <v>0</v>
      </c>
      <c r="X32" s="90">
        <f t="shared" si="6"/>
        <v>0</v>
      </c>
      <c r="Y32" s="90">
        <f t="shared" si="7"/>
        <v>0</v>
      </c>
      <c r="Z32" s="90">
        <f t="shared" si="8"/>
        <v>0</v>
      </c>
      <c r="AA32" s="90">
        <f t="shared" si="9"/>
        <v>0</v>
      </c>
      <c r="AB32" s="90">
        <f t="shared" si="10"/>
        <v>0</v>
      </c>
      <c r="AC32" s="90">
        <f t="shared" si="11"/>
        <v>0</v>
      </c>
      <c r="AD32" s="90">
        <f t="shared" si="12"/>
        <v>0</v>
      </c>
      <c r="AE32" s="90">
        <f t="shared" si="13"/>
        <v>0</v>
      </c>
      <c r="AF32" s="90">
        <f t="shared" si="14"/>
        <v>0</v>
      </c>
      <c r="AG32" s="90">
        <f t="shared" si="15"/>
        <v>0</v>
      </c>
      <c r="AH32" s="90">
        <f t="shared" si="16"/>
        <v>0</v>
      </c>
      <c r="AK32" s="139">
        <v>1084154.48</v>
      </c>
      <c r="AL32" s="139">
        <v>5298385.54</v>
      </c>
      <c r="AM32" s="139">
        <v>85098.09</v>
      </c>
      <c r="AN32" s="139">
        <v>6467638.1100000003</v>
      </c>
      <c r="AP32" s="1">
        <f t="shared" si="21"/>
        <v>1084.1544799999999</v>
      </c>
      <c r="AQ32" s="1">
        <f t="shared" si="22"/>
        <v>5298.3855400000002</v>
      </c>
      <c r="AR32" s="1">
        <f t="shared" si="23"/>
        <v>85.098089999999999</v>
      </c>
      <c r="AS32" s="1">
        <f t="shared" si="24"/>
        <v>6467.6381100000008</v>
      </c>
    </row>
    <row r="33" spans="1:45" ht="38.25" customHeight="1" x14ac:dyDescent="0.2">
      <c r="A33" s="48">
        <v>20</v>
      </c>
      <c r="B33" s="65" t="s">
        <v>115</v>
      </c>
      <c r="C33" s="27" t="s">
        <v>116</v>
      </c>
      <c r="D33" s="28">
        <f>НМЦ_Прил_1!G35</f>
        <v>105.279</v>
      </c>
      <c r="E33" s="28">
        <f>НМЦ_Прил_1!J35</f>
        <v>952.16823999999997</v>
      </c>
      <c r="F33" s="119" t="s">
        <v>183</v>
      </c>
      <c r="G33" s="71">
        <f t="shared" si="3"/>
        <v>910.79449</v>
      </c>
      <c r="H33" s="71">
        <f t="shared" si="20"/>
        <v>41.373750000000001</v>
      </c>
      <c r="I33" s="81"/>
      <c r="J33" s="81"/>
      <c r="K33" s="81"/>
      <c r="L33" s="80"/>
      <c r="M33" s="81"/>
      <c r="N33" s="81"/>
      <c r="O33" s="81"/>
      <c r="P33" s="81"/>
      <c r="Q33" s="81"/>
      <c r="R33" s="81"/>
      <c r="S33" s="81"/>
      <c r="T33" s="81"/>
      <c r="U33" s="45"/>
      <c r="V33" s="71">
        <f>'разбивка по сметам'!T25/1000</f>
        <v>952.16823999999997</v>
      </c>
      <c r="W33" s="90">
        <f t="shared" si="5"/>
        <v>0</v>
      </c>
      <c r="X33" s="90">
        <f t="shared" si="6"/>
        <v>0</v>
      </c>
      <c r="Y33" s="90">
        <f t="shared" si="7"/>
        <v>0</v>
      </c>
      <c r="Z33" s="90">
        <f t="shared" si="8"/>
        <v>0</v>
      </c>
      <c r="AA33" s="90">
        <f t="shared" si="9"/>
        <v>0</v>
      </c>
      <c r="AB33" s="90">
        <f t="shared" si="10"/>
        <v>0</v>
      </c>
      <c r="AC33" s="90">
        <f t="shared" si="11"/>
        <v>0</v>
      </c>
      <c r="AD33" s="90">
        <f t="shared" si="12"/>
        <v>0</v>
      </c>
      <c r="AE33" s="90">
        <f t="shared" si="13"/>
        <v>0</v>
      </c>
      <c r="AF33" s="90">
        <f t="shared" si="14"/>
        <v>0</v>
      </c>
      <c r="AG33" s="90">
        <f t="shared" si="15"/>
        <v>0</v>
      </c>
      <c r="AH33" s="90">
        <f t="shared" si="16"/>
        <v>0</v>
      </c>
      <c r="AK33" s="139">
        <v>124612.68</v>
      </c>
      <c r="AL33" s="139">
        <v>786181.81</v>
      </c>
      <c r="AM33" s="139">
        <v>41373.75</v>
      </c>
      <c r="AN33" s="139">
        <v>952168.24</v>
      </c>
      <c r="AP33" s="1">
        <f t="shared" si="21"/>
        <v>124.61268</v>
      </c>
      <c r="AQ33" s="1">
        <f t="shared" si="22"/>
        <v>786.18181000000004</v>
      </c>
      <c r="AR33" s="1">
        <f t="shared" si="23"/>
        <v>41.373750000000001</v>
      </c>
      <c r="AS33" s="1">
        <f t="shared" si="24"/>
        <v>952.16823999999997</v>
      </c>
    </row>
    <row r="34" spans="1:45" x14ac:dyDescent="0.2">
      <c r="A34" s="5"/>
      <c r="B34" s="5"/>
      <c r="C34" s="51" t="s">
        <v>181</v>
      </c>
      <c r="D34" s="28"/>
      <c r="E34" s="28"/>
      <c r="F34" s="92"/>
      <c r="G34" s="71"/>
      <c r="H34" s="7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45"/>
      <c r="V34" s="71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</row>
    <row r="35" spans="1:45" x14ac:dyDescent="0.2">
      <c r="A35" s="61">
        <v>21</v>
      </c>
      <c r="B35" s="65" t="s">
        <v>128</v>
      </c>
      <c r="C35" s="27" t="s">
        <v>77</v>
      </c>
      <c r="D35" s="28">
        <f>НМЦ_Прил_1!G37</f>
        <v>30890.041000000001</v>
      </c>
      <c r="E35" s="28">
        <f>НМЦ_Прил_1!J37</f>
        <v>269549.77541</v>
      </c>
      <c r="F35" s="92" t="s">
        <v>184</v>
      </c>
      <c r="G35" s="71">
        <f t="shared" si="3"/>
        <v>172394.56172</v>
      </c>
      <c r="H35" s="71">
        <f>AR35</f>
        <v>8947.3329000000012</v>
      </c>
      <c r="I35" s="81"/>
      <c r="J35" s="81"/>
      <c r="K35" s="81"/>
      <c r="L35" s="80"/>
      <c r="M35" s="81"/>
      <c r="N35" s="80"/>
      <c r="O35" s="81"/>
      <c r="P35" s="80"/>
      <c r="Q35" s="81"/>
      <c r="R35" s="81"/>
      <c r="S35" s="81"/>
      <c r="T35" s="81"/>
      <c r="U35" s="45"/>
      <c r="V35" s="71">
        <f>'разбивка по сметам'!T27/1000</f>
        <v>181341.89462000001</v>
      </c>
      <c r="W35" s="90">
        <f t="shared" ref="W35:AH42" si="25">I35*$V35</f>
        <v>0</v>
      </c>
      <c r="X35" s="90">
        <f t="shared" si="25"/>
        <v>0</v>
      </c>
      <c r="Y35" s="90">
        <f t="shared" si="25"/>
        <v>0</v>
      </c>
      <c r="Z35" s="90">
        <f t="shared" si="25"/>
        <v>0</v>
      </c>
      <c r="AA35" s="90">
        <f t="shared" si="25"/>
        <v>0</v>
      </c>
      <c r="AB35" s="90">
        <f t="shared" si="25"/>
        <v>0</v>
      </c>
      <c r="AC35" s="90">
        <f t="shared" si="25"/>
        <v>0</v>
      </c>
      <c r="AD35" s="90">
        <f t="shared" si="25"/>
        <v>0</v>
      </c>
      <c r="AE35" s="90">
        <f t="shared" si="25"/>
        <v>0</v>
      </c>
      <c r="AF35" s="90">
        <f t="shared" si="25"/>
        <v>0</v>
      </c>
      <c r="AG35" s="90">
        <f t="shared" si="25"/>
        <v>0</v>
      </c>
      <c r="AH35" s="90">
        <f t="shared" si="25"/>
        <v>0</v>
      </c>
      <c r="AK35" s="139">
        <v>54539986.520000003</v>
      </c>
      <c r="AL35" s="139">
        <v>117854575.2</v>
      </c>
      <c r="AM35" s="139">
        <v>8947332.9000000004</v>
      </c>
      <c r="AN35" s="139">
        <v>181341894.62</v>
      </c>
      <c r="AP35" s="1">
        <f t="shared" si="21"/>
        <v>54539.986520000006</v>
      </c>
      <c r="AQ35" s="1">
        <f t="shared" si="22"/>
        <v>117854.57520000001</v>
      </c>
      <c r="AR35" s="1">
        <f t="shared" si="23"/>
        <v>8947.3329000000012</v>
      </c>
      <c r="AS35" s="1">
        <f t="shared" si="24"/>
        <v>181341.89462000001</v>
      </c>
    </row>
    <row r="36" spans="1:45" ht="15.75" customHeight="1" x14ac:dyDescent="0.2">
      <c r="A36" s="61">
        <v>22</v>
      </c>
      <c r="B36" s="65" t="s">
        <v>129</v>
      </c>
      <c r="C36" s="27" t="s">
        <v>78</v>
      </c>
      <c r="D36" s="28">
        <f>НМЦ_Прил_1!G38</f>
        <v>31943.183000000001</v>
      </c>
      <c r="E36" s="28">
        <f>НМЦ_Прил_1!J38</f>
        <v>275660.57863</v>
      </c>
      <c r="F36" s="92" t="s">
        <v>184</v>
      </c>
      <c r="G36" s="71">
        <f t="shared" si="3"/>
        <v>172394.56172</v>
      </c>
      <c r="H36" s="71">
        <f t="shared" ref="H36:H41" si="26">AR36</f>
        <v>21180.515729999999</v>
      </c>
      <c r="I36" s="81"/>
      <c r="J36" s="80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45"/>
      <c r="V36" s="71">
        <f>'разбивка по сметам'!T28/1000</f>
        <v>193575.07744999998</v>
      </c>
      <c r="W36" s="90">
        <f t="shared" si="25"/>
        <v>0</v>
      </c>
      <c r="X36" s="90">
        <f t="shared" si="25"/>
        <v>0</v>
      </c>
      <c r="Y36" s="90">
        <f t="shared" si="25"/>
        <v>0</v>
      </c>
      <c r="Z36" s="90">
        <f t="shared" si="25"/>
        <v>0</v>
      </c>
      <c r="AA36" s="90">
        <f t="shared" si="25"/>
        <v>0</v>
      </c>
      <c r="AB36" s="90">
        <f t="shared" si="25"/>
        <v>0</v>
      </c>
      <c r="AC36" s="90">
        <f t="shared" si="25"/>
        <v>0</v>
      </c>
      <c r="AD36" s="90">
        <f t="shared" si="25"/>
        <v>0</v>
      </c>
      <c r="AE36" s="90">
        <f t="shared" si="25"/>
        <v>0</v>
      </c>
      <c r="AF36" s="90">
        <f t="shared" si="25"/>
        <v>0</v>
      </c>
      <c r="AG36" s="90">
        <f t="shared" si="25"/>
        <v>0</v>
      </c>
      <c r="AH36" s="90">
        <f t="shared" si="25"/>
        <v>0</v>
      </c>
      <c r="AK36" s="139">
        <v>54539986.560000002</v>
      </c>
      <c r="AL36" s="139">
        <v>117854575.16</v>
      </c>
      <c r="AM36" s="139">
        <v>21180515.73</v>
      </c>
      <c r="AN36" s="139">
        <v>193575077.44999999</v>
      </c>
      <c r="AP36" s="1">
        <f t="shared" si="21"/>
        <v>54539.986560000005</v>
      </c>
      <c r="AQ36" s="1">
        <f t="shared" si="22"/>
        <v>117854.57515999999</v>
      </c>
      <c r="AR36" s="1">
        <f t="shared" si="23"/>
        <v>21180.515729999999</v>
      </c>
      <c r="AS36" s="1">
        <f t="shared" si="24"/>
        <v>193575.07744999998</v>
      </c>
    </row>
    <row r="37" spans="1:45" ht="15" customHeight="1" x14ac:dyDescent="0.2">
      <c r="A37" s="61">
        <v>23</v>
      </c>
      <c r="B37" s="65" t="s">
        <v>130</v>
      </c>
      <c r="C37" s="27" t="s">
        <v>79</v>
      </c>
      <c r="D37" s="28">
        <f>НМЦ_Прил_1!G39</f>
        <v>21557.821</v>
      </c>
      <c r="E37" s="28">
        <f>НМЦ_Прил_1!J39</f>
        <v>185110.46446000002</v>
      </c>
      <c r="F37" s="92" t="s">
        <v>184</v>
      </c>
      <c r="G37" s="71">
        <f t="shared" si="3"/>
        <v>110364.08596000001</v>
      </c>
      <c r="H37" s="71">
        <f t="shared" si="26"/>
        <v>7620.2593499999994</v>
      </c>
      <c r="I37" s="80"/>
      <c r="J37" s="80"/>
      <c r="K37" s="80"/>
      <c r="L37" s="80"/>
      <c r="M37" s="80"/>
      <c r="N37" s="81"/>
      <c r="O37" s="81"/>
      <c r="P37" s="81"/>
      <c r="Q37" s="81"/>
      <c r="R37" s="81"/>
      <c r="S37" s="81"/>
      <c r="T37" s="81"/>
      <c r="U37" s="45"/>
      <c r="V37" s="71">
        <f>'разбивка по сметам'!T29/1000</f>
        <v>117984.34531</v>
      </c>
      <c r="W37" s="90">
        <f t="shared" si="25"/>
        <v>0</v>
      </c>
      <c r="X37" s="90">
        <f t="shared" si="25"/>
        <v>0</v>
      </c>
      <c r="Y37" s="90">
        <f t="shared" si="25"/>
        <v>0</v>
      </c>
      <c r="Z37" s="90">
        <f t="shared" si="25"/>
        <v>0</v>
      </c>
      <c r="AA37" s="90">
        <f t="shared" si="25"/>
        <v>0</v>
      </c>
      <c r="AB37" s="90">
        <f t="shared" si="25"/>
        <v>0</v>
      </c>
      <c r="AC37" s="90">
        <f t="shared" si="25"/>
        <v>0</v>
      </c>
      <c r="AD37" s="90">
        <f t="shared" si="25"/>
        <v>0</v>
      </c>
      <c r="AE37" s="90">
        <f t="shared" si="25"/>
        <v>0</v>
      </c>
      <c r="AF37" s="90">
        <f t="shared" si="25"/>
        <v>0</v>
      </c>
      <c r="AG37" s="90">
        <f t="shared" si="25"/>
        <v>0</v>
      </c>
      <c r="AH37" s="90">
        <f t="shared" si="25"/>
        <v>0</v>
      </c>
      <c r="AK37" s="139">
        <v>35233170.560000002</v>
      </c>
      <c r="AL37" s="139">
        <v>75130915.400000006</v>
      </c>
      <c r="AM37" s="139">
        <v>7620259.3499999996</v>
      </c>
      <c r="AN37" s="139">
        <v>117984345.31</v>
      </c>
      <c r="AP37" s="1">
        <f t="shared" si="21"/>
        <v>35233.170560000006</v>
      </c>
      <c r="AQ37" s="1">
        <f t="shared" si="22"/>
        <v>75130.915400000013</v>
      </c>
      <c r="AR37" s="1">
        <f t="shared" si="23"/>
        <v>7620.2593499999994</v>
      </c>
      <c r="AS37" s="1">
        <f t="shared" si="24"/>
        <v>117984.34531</v>
      </c>
    </row>
    <row r="38" spans="1:45" ht="89.25" x14ac:dyDescent="0.2">
      <c r="A38" s="61">
        <v>24</v>
      </c>
      <c r="B38" s="65" t="s">
        <v>131</v>
      </c>
      <c r="C38" s="27" t="s">
        <v>80</v>
      </c>
      <c r="D38" s="28">
        <f>НМЦ_Прил_1!G40</f>
        <v>13357.947</v>
      </c>
      <c r="E38" s="28">
        <f>НМЦ_Прил_1!J40</f>
        <v>113152.10911</v>
      </c>
      <c r="F38" s="120" t="s">
        <v>185</v>
      </c>
      <c r="G38" s="71">
        <f t="shared" si="3"/>
        <v>79305.978139999992</v>
      </c>
      <c r="H38" s="71">
        <f t="shared" si="26"/>
        <v>3913.7772300000001</v>
      </c>
      <c r="I38" s="81"/>
      <c r="J38" s="80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45"/>
      <c r="V38" s="71">
        <f>'разбивка по сметам'!T30/1000</f>
        <v>83219.755369999999</v>
      </c>
      <c r="W38" s="90">
        <f t="shared" si="25"/>
        <v>0</v>
      </c>
      <c r="X38" s="90">
        <f t="shared" si="25"/>
        <v>0</v>
      </c>
      <c r="Y38" s="90">
        <f t="shared" si="25"/>
        <v>0</v>
      </c>
      <c r="Z38" s="90">
        <f t="shared" si="25"/>
        <v>0</v>
      </c>
      <c r="AA38" s="90">
        <f t="shared" si="25"/>
        <v>0</v>
      </c>
      <c r="AB38" s="90">
        <f t="shared" si="25"/>
        <v>0</v>
      </c>
      <c r="AC38" s="90">
        <f t="shared" si="25"/>
        <v>0</v>
      </c>
      <c r="AD38" s="90">
        <f t="shared" si="25"/>
        <v>0</v>
      </c>
      <c r="AE38" s="90">
        <f t="shared" si="25"/>
        <v>0</v>
      </c>
      <c r="AF38" s="90">
        <f t="shared" si="25"/>
        <v>0</v>
      </c>
      <c r="AG38" s="90">
        <f t="shared" si="25"/>
        <v>0</v>
      </c>
      <c r="AH38" s="90">
        <f t="shared" si="25"/>
        <v>0</v>
      </c>
      <c r="AK38" s="139">
        <v>15938609.439999999</v>
      </c>
      <c r="AL38" s="139">
        <v>63367368.700000003</v>
      </c>
      <c r="AM38" s="139">
        <v>3913777.23</v>
      </c>
      <c r="AN38" s="139">
        <v>83219755.370000005</v>
      </c>
      <c r="AP38" s="1">
        <f t="shared" si="21"/>
        <v>15938.60944</v>
      </c>
      <c r="AQ38" s="1">
        <f t="shared" si="22"/>
        <v>63367.368700000006</v>
      </c>
      <c r="AR38" s="1">
        <f t="shared" si="23"/>
        <v>3913.7772300000001</v>
      </c>
      <c r="AS38" s="1">
        <f t="shared" si="24"/>
        <v>83219.755369999999</v>
      </c>
    </row>
    <row r="39" spans="1:45" ht="25.5" x14ac:dyDescent="0.2">
      <c r="A39" s="61">
        <v>25</v>
      </c>
      <c r="B39" s="65" t="s">
        <v>132</v>
      </c>
      <c r="C39" s="27" t="s">
        <v>81</v>
      </c>
      <c r="D39" s="28">
        <f>НМЦ_Прил_1!G41</f>
        <v>12243.638999999999</v>
      </c>
      <c r="E39" s="28">
        <f>НМЦ_Прил_1!J41</f>
        <v>110640.30298999998</v>
      </c>
      <c r="F39" s="119" t="s">
        <v>46</v>
      </c>
      <c r="G39" s="71">
        <f t="shared" si="3"/>
        <v>0</v>
      </c>
      <c r="H39" s="71">
        <v>0</v>
      </c>
      <c r="I39" s="81"/>
      <c r="J39" s="81"/>
      <c r="K39" s="80"/>
      <c r="L39" s="81"/>
      <c r="M39" s="81"/>
      <c r="N39" s="81"/>
      <c r="O39" s="81"/>
      <c r="P39" s="81"/>
      <c r="Q39" s="81"/>
      <c r="R39" s="81"/>
      <c r="S39" s="81"/>
      <c r="T39" s="81"/>
      <c r="U39" s="45"/>
      <c r="V39" s="71">
        <f>'разбивка по сметам'!T31/1000</f>
        <v>0</v>
      </c>
      <c r="W39" s="90">
        <f t="shared" si="25"/>
        <v>0</v>
      </c>
      <c r="X39" s="90">
        <f t="shared" si="25"/>
        <v>0</v>
      </c>
      <c r="Y39" s="90">
        <f t="shared" si="25"/>
        <v>0</v>
      </c>
      <c r="Z39" s="90">
        <f t="shared" si="25"/>
        <v>0</v>
      </c>
      <c r="AA39" s="90">
        <f t="shared" si="25"/>
        <v>0</v>
      </c>
      <c r="AB39" s="90">
        <f t="shared" si="25"/>
        <v>0</v>
      </c>
      <c r="AC39" s="90">
        <f t="shared" si="25"/>
        <v>0</v>
      </c>
      <c r="AD39" s="90">
        <f t="shared" si="25"/>
        <v>0</v>
      </c>
      <c r="AE39" s="90">
        <f t="shared" si="25"/>
        <v>0</v>
      </c>
      <c r="AF39" s="90">
        <f t="shared" si="25"/>
        <v>0</v>
      </c>
      <c r="AG39" s="90">
        <f t="shared" si="25"/>
        <v>0</v>
      </c>
      <c r="AH39" s="90">
        <f t="shared" si="25"/>
        <v>0</v>
      </c>
      <c r="AK39" s="139">
        <v>1093671.18</v>
      </c>
      <c r="AL39" s="139">
        <v>697644.36</v>
      </c>
      <c r="AM39" s="139">
        <v>36122.79</v>
      </c>
      <c r="AN39" s="139">
        <v>1827438.33</v>
      </c>
      <c r="AP39" s="1">
        <f t="shared" si="21"/>
        <v>1093.6711799999998</v>
      </c>
      <c r="AQ39" s="1">
        <f t="shared" si="22"/>
        <v>697.64436000000001</v>
      </c>
      <c r="AR39" s="1">
        <f t="shared" si="23"/>
        <v>36.122790000000002</v>
      </c>
      <c r="AS39" s="1">
        <f t="shared" si="24"/>
        <v>1827.4383300000002</v>
      </c>
    </row>
    <row r="40" spans="1:45" ht="25.5" x14ac:dyDescent="0.2">
      <c r="A40" s="61">
        <v>26</v>
      </c>
      <c r="B40" s="65" t="s">
        <v>133</v>
      </c>
      <c r="C40" s="27" t="s">
        <v>82</v>
      </c>
      <c r="D40" s="28">
        <f>НМЦ_Прил_1!G42</f>
        <v>9449.18</v>
      </c>
      <c r="E40" s="28">
        <f>НМЦ_Прил_1!J42</f>
        <v>85339.579400000002</v>
      </c>
      <c r="F40" s="119" t="s">
        <v>46</v>
      </c>
      <c r="G40" s="71">
        <f t="shared" si="3"/>
        <v>0</v>
      </c>
      <c r="H40" s="71">
        <v>0</v>
      </c>
      <c r="I40" s="81"/>
      <c r="J40" s="81"/>
      <c r="K40" s="81"/>
      <c r="L40" s="80"/>
      <c r="M40" s="81"/>
      <c r="N40" s="81"/>
      <c r="O40" s="81"/>
      <c r="P40" s="81"/>
      <c r="Q40" s="81"/>
      <c r="R40" s="81"/>
      <c r="S40" s="81"/>
      <c r="T40" s="81"/>
      <c r="U40" s="45"/>
      <c r="V40" s="71">
        <f>'разбивка по сметам'!T32/1000</f>
        <v>0</v>
      </c>
      <c r="W40" s="90">
        <f t="shared" si="25"/>
        <v>0</v>
      </c>
      <c r="X40" s="90">
        <f t="shared" si="25"/>
        <v>0</v>
      </c>
      <c r="Y40" s="90">
        <f t="shared" si="25"/>
        <v>0</v>
      </c>
      <c r="Z40" s="90">
        <f t="shared" si="25"/>
        <v>0</v>
      </c>
      <c r="AA40" s="90">
        <f t="shared" si="25"/>
        <v>0</v>
      </c>
      <c r="AB40" s="90">
        <f t="shared" si="25"/>
        <v>0</v>
      </c>
      <c r="AC40" s="90">
        <f t="shared" si="25"/>
        <v>0</v>
      </c>
      <c r="AD40" s="90">
        <f t="shared" si="25"/>
        <v>0</v>
      </c>
      <c r="AE40" s="90">
        <f t="shared" si="25"/>
        <v>0</v>
      </c>
      <c r="AF40" s="90">
        <f t="shared" si="25"/>
        <v>0</v>
      </c>
      <c r="AG40" s="90">
        <f t="shared" si="25"/>
        <v>0</v>
      </c>
      <c r="AH40" s="90">
        <f t="shared" si="25"/>
        <v>0</v>
      </c>
      <c r="AK40" s="139">
        <v>599001.48</v>
      </c>
      <c r="AL40" s="139">
        <v>344151.99</v>
      </c>
      <c r="AM40" s="139">
        <v>12039.06</v>
      </c>
      <c r="AN40" s="139">
        <v>955192.53</v>
      </c>
      <c r="AP40" s="1">
        <f t="shared" si="21"/>
        <v>599.00148000000002</v>
      </c>
      <c r="AQ40" s="1">
        <f t="shared" si="22"/>
        <v>344.15199000000001</v>
      </c>
      <c r="AR40" s="1">
        <f t="shared" si="23"/>
        <v>12.039059999999999</v>
      </c>
      <c r="AS40" s="1">
        <f t="shared" si="24"/>
        <v>955.19253000000003</v>
      </c>
    </row>
    <row r="41" spans="1:45" ht="15.75" customHeight="1" x14ac:dyDescent="0.2">
      <c r="A41" s="61">
        <v>27</v>
      </c>
      <c r="B41" s="65" t="s">
        <v>134</v>
      </c>
      <c r="C41" s="27" t="s">
        <v>83</v>
      </c>
      <c r="D41" s="28">
        <f>НМЦ_Прил_1!G43</f>
        <v>13295.196</v>
      </c>
      <c r="E41" s="28">
        <f>НМЦ_Прил_1!J43</f>
        <v>115817.78015999999</v>
      </c>
      <c r="F41" s="92" t="s">
        <v>184</v>
      </c>
      <c r="G41" s="71">
        <f t="shared" si="3"/>
        <v>81009.210191999999</v>
      </c>
      <c r="H41" s="71">
        <f t="shared" si="26"/>
        <v>63.23592</v>
      </c>
      <c r="I41" s="81"/>
      <c r="J41" s="81"/>
      <c r="K41" s="81"/>
      <c r="L41" s="81"/>
      <c r="M41" s="80"/>
      <c r="N41" s="81"/>
      <c r="O41" s="81"/>
      <c r="P41" s="81"/>
      <c r="Q41" s="81"/>
      <c r="R41" s="81"/>
      <c r="S41" s="81"/>
      <c r="T41" s="81"/>
      <c r="U41" s="45"/>
      <c r="V41" s="71">
        <f>'разбивка по сметам'!T33/1000*0.7</f>
        <v>81072.446112000005</v>
      </c>
      <c r="W41" s="90">
        <f t="shared" si="25"/>
        <v>0</v>
      </c>
      <c r="X41" s="90">
        <f t="shared" si="25"/>
        <v>0</v>
      </c>
      <c r="Y41" s="90">
        <f t="shared" si="25"/>
        <v>0</v>
      </c>
      <c r="Z41" s="90">
        <f t="shared" si="25"/>
        <v>0</v>
      </c>
      <c r="AA41" s="90">
        <f t="shared" si="25"/>
        <v>0</v>
      </c>
      <c r="AB41" s="90">
        <f t="shared" si="25"/>
        <v>0</v>
      </c>
      <c r="AC41" s="90">
        <f t="shared" si="25"/>
        <v>0</v>
      </c>
      <c r="AD41" s="90">
        <f t="shared" si="25"/>
        <v>0</v>
      </c>
      <c r="AE41" s="90">
        <f t="shared" si="25"/>
        <v>0</v>
      </c>
      <c r="AF41" s="90">
        <f t="shared" si="25"/>
        <v>0</v>
      </c>
      <c r="AG41" s="90">
        <f t="shared" si="25"/>
        <v>0</v>
      </c>
      <c r="AH41" s="90">
        <f t="shared" si="25"/>
        <v>0</v>
      </c>
      <c r="AK41" s="139">
        <v>565689.15</v>
      </c>
      <c r="AL41" s="139">
        <v>2762129.93</v>
      </c>
      <c r="AM41" s="139">
        <v>63235.92</v>
      </c>
      <c r="AN41" s="139">
        <v>3391055</v>
      </c>
      <c r="AP41" s="1">
        <f t="shared" si="21"/>
        <v>565.68915000000004</v>
      </c>
      <c r="AQ41" s="1">
        <f t="shared" si="22"/>
        <v>2762.1299300000001</v>
      </c>
      <c r="AR41" s="1">
        <f t="shared" si="23"/>
        <v>63.23592</v>
      </c>
      <c r="AS41" s="1">
        <f t="shared" si="24"/>
        <v>3391.0549999999998</v>
      </c>
    </row>
    <row r="42" spans="1:45" ht="25.5" customHeight="1" x14ac:dyDescent="0.2">
      <c r="A42" s="61">
        <v>28</v>
      </c>
      <c r="B42" s="65" t="s">
        <v>135</v>
      </c>
      <c r="C42" s="27" t="s">
        <v>84</v>
      </c>
      <c r="D42" s="28">
        <f>НМЦ_Прил_1!G44</f>
        <v>5208.1130000000003</v>
      </c>
      <c r="E42" s="28">
        <f>НМЦ_Прил_1!J44</f>
        <v>46787.930079999998</v>
      </c>
      <c r="F42" s="119" t="s">
        <v>46</v>
      </c>
      <c r="G42" s="71">
        <f t="shared" si="3"/>
        <v>0</v>
      </c>
      <c r="H42" s="71">
        <v>0</v>
      </c>
      <c r="I42" s="81"/>
      <c r="J42" s="81"/>
      <c r="K42" s="81"/>
      <c r="L42" s="81"/>
      <c r="M42" s="81"/>
      <c r="N42" s="80"/>
      <c r="O42" s="81"/>
      <c r="P42" s="81"/>
      <c r="Q42" s="81"/>
      <c r="R42" s="81"/>
      <c r="S42" s="81"/>
      <c r="T42" s="81"/>
      <c r="U42" s="45"/>
      <c r="V42" s="71">
        <f>'разбивка по сметам'!T34/1000</f>
        <v>0</v>
      </c>
      <c r="W42" s="90">
        <f t="shared" si="25"/>
        <v>0</v>
      </c>
      <c r="X42" s="90">
        <f t="shared" si="25"/>
        <v>0</v>
      </c>
      <c r="Y42" s="90">
        <f t="shared" si="25"/>
        <v>0</v>
      </c>
      <c r="Z42" s="90">
        <f t="shared" si="25"/>
        <v>0</v>
      </c>
      <c r="AA42" s="90">
        <f t="shared" si="25"/>
        <v>0</v>
      </c>
      <c r="AB42" s="90">
        <f t="shared" si="25"/>
        <v>0</v>
      </c>
      <c r="AC42" s="90">
        <f t="shared" si="25"/>
        <v>0</v>
      </c>
      <c r="AD42" s="90">
        <f t="shared" si="25"/>
        <v>0</v>
      </c>
      <c r="AE42" s="90">
        <f t="shared" si="25"/>
        <v>0</v>
      </c>
      <c r="AF42" s="90">
        <f t="shared" si="25"/>
        <v>0</v>
      </c>
      <c r="AG42" s="90">
        <f t="shared" si="25"/>
        <v>0</v>
      </c>
      <c r="AH42" s="90">
        <f t="shared" si="25"/>
        <v>0</v>
      </c>
      <c r="AK42" s="139">
        <v>2154729.06</v>
      </c>
      <c r="AL42" s="139">
        <v>11210686.74</v>
      </c>
      <c r="AM42" s="139">
        <v>41373.75</v>
      </c>
      <c r="AN42" s="139">
        <v>13406789.550000001</v>
      </c>
      <c r="AP42" s="1">
        <f t="shared" si="21"/>
        <v>2154.7290600000001</v>
      </c>
      <c r="AQ42" s="1">
        <f t="shared" si="22"/>
        <v>11210.686740000001</v>
      </c>
      <c r="AR42" s="1">
        <f t="shared" si="23"/>
        <v>41.373750000000001</v>
      </c>
      <c r="AS42" s="1">
        <f t="shared" si="24"/>
        <v>13406.789550000001</v>
      </c>
    </row>
    <row r="43" spans="1:45" s="10" customFormat="1" ht="25.5" x14ac:dyDescent="0.2">
      <c r="A43" s="111">
        <v>29</v>
      </c>
      <c r="B43" s="106" t="s">
        <v>151</v>
      </c>
      <c r="C43" s="27" t="s">
        <v>152</v>
      </c>
      <c r="D43" s="28">
        <f>НМЦ_Прил_1!G45</f>
        <v>405.25</v>
      </c>
      <c r="E43" s="28">
        <f>НМЦ_Прил_1!J45</f>
        <v>4149.7299999999996</v>
      </c>
      <c r="F43" s="119" t="s">
        <v>183</v>
      </c>
      <c r="G43" s="71">
        <f t="shared" ref="G43:G49" si="27">V43-H43</f>
        <v>4149.7299999999996</v>
      </c>
      <c r="H43" s="71">
        <f>'разбивка по сметам'!S35/1000</f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V43" s="71">
        <f>'разбивка по сметам'!T35/1000</f>
        <v>4149.7299999999996</v>
      </c>
    </row>
    <row r="44" spans="1:45" s="10" customFormat="1" ht="25.5" x14ac:dyDescent="0.2">
      <c r="A44" s="111">
        <v>30</v>
      </c>
      <c r="B44" s="106" t="s">
        <v>153</v>
      </c>
      <c r="C44" s="27" t="s">
        <v>154</v>
      </c>
      <c r="D44" s="28">
        <f>НМЦ_Прил_1!G46</f>
        <v>61788.41</v>
      </c>
      <c r="E44" s="28">
        <f>НМЦ_Прил_1!J46</f>
        <v>350132.03</v>
      </c>
      <c r="F44" s="119" t="s">
        <v>183</v>
      </c>
      <c r="G44" s="71">
        <f t="shared" si="27"/>
        <v>5027.3700000000536</v>
      </c>
      <c r="H44" s="71">
        <f>'разбивка по сметам'!S36/1000</f>
        <v>345104.66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V44" s="71">
        <f>'разбивка по сметам'!T36/1000</f>
        <v>350132.03</v>
      </c>
    </row>
    <row r="45" spans="1:45" s="10" customFormat="1" ht="25.5" x14ac:dyDescent="0.2">
      <c r="A45" s="111">
        <v>31</v>
      </c>
      <c r="B45" s="106" t="s">
        <v>155</v>
      </c>
      <c r="C45" s="27" t="s">
        <v>154</v>
      </c>
      <c r="D45" s="28">
        <f>НМЦ_Прил_1!G47</f>
        <v>3950.1</v>
      </c>
      <c r="E45" s="28">
        <f>НМЦ_Прил_1!J47</f>
        <v>22412.03</v>
      </c>
      <c r="F45" s="119" t="s">
        <v>183</v>
      </c>
      <c r="G45" s="71">
        <f t="shared" si="27"/>
        <v>384.18999999999869</v>
      </c>
      <c r="H45" s="71">
        <f>'разбивка по сметам'!S37/1000</f>
        <v>22027.84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V45" s="71">
        <f>'разбивка по сметам'!T37/1000</f>
        <v>22412.03</v>
      </c>
    </row>
    <row r="46" spans="1:45" s="10" customFormat="1" ht="25.5" x14ac:dyDescent="0.2">
      <c r="A46" s="111">
        <v>32</v>
      </c>
      <c r="B46" s="106" t="s">
        <v>156</v>
      </c>
      <c r="C46" s="27" t="s">
        <v>154</v>
      </c>
      <c r="D46" s="28">
        <f>НМЦ_Прил_1!G48</f>
        <v>707.15</v>
      </c>
      <c r="E46" s="28">
        <f>НМЦ_Прил_1!J48</f>
        <v>4923.6099999999997</v>
      </c>
      <c r="F46" s="119" t="s">
        <v>183</v>
      </c>
      <c r="G46" s="71">
        <f t="shared" si="27"/>
        <v>2093.3199999999997</v>
      </c>
      <c r="H46" s="71">
        <f>'разбивка по сметам'!S38/1000</f>
        <v>2830.29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V46" s="71">
        <f>'разбивка по сметам'!T38/1000</f>
        <v>4923.6099999999997</v>
      </c>
    </row>
    <row r="47" spans="1:45" s="10" customFormat="1" ht="25.5" x14ac:dyDescent="0.2">
      <c r="A47" s="111">
        <v>33</v>
      </c>
      <c r="B47" s="106" t="s">
        <v>157</v>
      </c>
      <c r="C47" s="27" t="s">
        <v>154</v>
      </c>
      <c r="D47" s="28">
        <f>НМЦ_Прил_1!G49</f>
        <v>341.06</v>
      </c>
      <c r="E47" s="28">
        <f>НМЦ_Прил_1!J49</f>
        <v>2014.16</v>
      </c>
      <c r="F47" s="119" t="s">
        <v>183</v>
      </c>
      <c r="G47" s="71">
        <f t="shared" si="27"/>
        <v>208.73000000000002</v>
      </c>
      <c r="H47" s="71">
        <f>'разбивка по сметам'!S39/1000</f>
        <v>1805.43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V47" s="71">
        <f>'разбивка по сметам'!T39/1000</f>
        <v>2014.16</v>
      </c>
    </row>
    <row r="48" spans="1:45" s="10" customFormat="1" ht="25.5" x14ac:dyDescent="0.2">
      <c r="A48" s="111">
        <v>34</v>
      </c>
      <c r="B48" s="106" t="s">
        <v>158</v>
      </c>
      <c r="C48" s="27" t="s">
        <v>159</v>
      </c>
      <c r="D48" s="28">
        <f>НМЦ_Прил_1!G50</f>
        <v>556.73</v>
      </c>
      <c r="E48" s="28">
        <f>НМЦ_Прил_1!J50</f>
        <v>5055.8999999999996</v>
      </c>
      <c r="F48" s="119" t="s">
        <v>183</v>
      </c>
      <c r="G48" s="71">
        <f t="shared" si="27"/>
        <v>4268.1099999999997</v>
      </c>
      <c r="H48" s="71">
        <f>'разбивка по сметам'!S40/1000</f>
        <v>787.79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V48" s="71">
        <f>'разбивка по сметам'!T40/1000</f>
        <v>5055.8999999999996</v>
      </c>
    </row>
    <row r="49" spans="1:39" s="10" customFormat="1" ht="25.5" x14ac:dyDescent="0.2">
      <c r="A49" s="111">
        <v>35</v>
      </c>
      <c r="B49" s="106" t="s">
        <v>160</v>
      </c>
      <c r="C49" s="27" t="s">
        <v>161</v>
      </c>
      <c r="D49" s="28">
        <f>НМЦ_Прил_1!G51</f>
        <v>918.61</v>
      </c>
      <c r="E49" s="28">
        <f>НМЦ_Прил_1!J51</f>
        <v>5392.84</v>
      </c>
      <c r="F49" s="119" t="s">
        <v>183</v>
      </c>
      <c r="G49" s="71">
        <f t="shared" si="27"/>
        <v>491.05000000000018</v>
      </c>
      <c r="H49" s="71">
        <f>'разбивка по сметам'!S41/1000</f>
        <v>4901.79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V49" s="71">
        <f>'разбивка по сметам'!T41/1000</f>
        <v>5392.84</v>
      </c>
    </row>
    <row r="50" spans="1:39" s="10" customFormat="1" ht="40.5" customHeight="1" x14ac:dyDescent="0.2">
      <c r="A50" s="111">
        <v>36</v>
      </c>
      <c r="B50" s="106" t="s">
        <v>162</v>
      </c>
      <c r="C50" s="27" t="s">
        <v>163</v>
      </c>
      <c r="D50" s="28">
        <f>НМЦ_Прил_1!G52</f>
        <v>73.960999999999999</v>
      </c>
      <c r="E50" s="28">
        <f>НМЦ_Прил_1!J52</f>
        <v>749.96454000000006</v>
      </c>
      <c r="F50" s="119" t="s">
        <v>46</v>
      </c>
      <c r="G50" s="71">
        <v>0</v>
      </c>
      <c r="H50" s="71">
        <f t="shared" ref="H50:H55" si="28">W50-I50</f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V50" s="71">
        <f>НМЦ_Прил_1!L52</f>
        <v>749.96454000000006</v>
      </c>
    </row>
    <row r="51" spans="1:39" s="10" customFormat="1" ht="52.5" customHeight="1" x14ac:dyDescent="0.2">
      <c r="A51" s="111">
        <v>37</v>
      </c>
      <c r="B51" s="106" t="s">
        <v>164</v>
      </c>
      <c r="C51" s="27" t="s">
        <v>165</v>
      </c>
      <c r="D51" s="28">
        <f>НМЦ_Прил_1!G53</f>
        <v>7644.32</v>
      </c>
      <c r="E51" s="28">
        <f>НМЦ_Прил_1!J53</f>
        <v>43260.666259999998</v>
      </c>
      <c r="F51" s="119" t="s">
        <v>46</v>
      </c>
      <c r="G51" s="71">
        <v>0</v>
      </c>
      <c r="H51" s="71">
        <f t="shared" si="28"/>
        <v>0</v>
      </c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V51" s="71">
        <f>НМЦ_Прил_1!L53</f>
        <v>43260.666259999998</v>
      </c>
    </row>
    <row r="52" spans="1:39" s="10" customFormat="1" ht="36.75" customHeight="1" x14ac:dyDescent="0.2">
      <c r="A52" s="111">
        <v>38</v>
      </c>
      <c r="B52" s="106" t="s">
        <v>166</v>
      </c>
      <c r="C52" s="27" t="s">
        <v>167</v>
      </c>
      <c r="D52" s="28">
        <f>НМЦ_Прил_1!G54</f>
        <v>369.23</v>
      </c>
      <c r="E52" s="28">
        <f>НМЦ_Прил_1!J54</f>
        <v>2361.0634899999995</v>
      </c>
      <c r="F52" s="119" t="s">
        <v>46</v>
      </c>
      <c r="G52" s="71">
        <v>0</v>
      </c>
      <c r="H52" s="71">
        <f t="shared" si="28"/>
        <v>0</v>
      </c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V52" s="71">
        <f>НМЦ_Прил_1!L54</f>
        <v>2361.0634899999995</v>
      </c>
    </row>
    <row r="53" spans="1:39" s="10" customFormat="1" ht="50.25" customHeight="1" x14ac:dyDescent="0.2">
      <c r="A53" s="111">
        <v>39</v>
      </c>
      <c r="B53" s="106" t="s">
        <v>168</v>
      </c>
      <c r="C53" s="27" t="s">
        <v>169</v>
      </c>
      <c r="D53" s="28">
        <f>НМЦ_Прил_1!G55</f>
        <v>16.462</v>
      </c>
      <c r="E53" s="28">
        <f>НМЦ_Прил_1!J55</f>
        <v>141.24395999999999</v>
      </c>
      <c r="F53" s="119" t="s">
        <v>46</v>
      </c>
      <c r="G53" s="71">
        <v>0</v>
      </c>
      <c r="H53" s="71">
        <f t="shared" si="28"/>
        <v>0</v>
      </c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V53" s="71">
        <f>НМЦ_Прил_1!L55</f>
        <v>141.24395999999999</v>
      </c>
    </row>
    <row r="54" spans="1:39" s="10" customFormat="1" ht="51.75" customHeight="1" x14ac:dyDescent="0.2">
      <c r="A54" s="111">
        <v>40</v>
      </c>
      <c r="B54" s="106" t="s">
        <v>170</v>
      </c>
      <c r="C54" s="27" t="s">
        <v>171</v>
      </c>
      <c r="D54" s="28">
        <f>НМЦ_Прил_1!G56</f>
        <v>71.094999999999999</v>
      </c>
      <c r="E54" s="28">
        <f>НМЦ_Прил_1!J56</f>
        <v>728.01279999999997</v>
      </c>
      <c r="F54" s="119" t="s">
        <v>46</v>
      </c>
      <c r="G54" s="71">
        <v>0</v>
      </c>
      <c r="H54" s="71">
        <f t="shared" si="28"/>
        <v>0</v>
      </c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V54" s="71">
        <f>НМЦ_Прил_1!L56</f>
        <v>728.01279999999997</v>
      </c>
    </row>
    <row r="55" spans="1:39" s="10" customFormat="1" ht="48.75" customHeight="1" x14ac:dyDescent="0.2">
      <c r="A55" s="111">
        <v>41</v>
      </c>
      <c r="B55" s="106" t="s">
        <v>172</v>
      </c>
      <c r="C55" s="27" t="s">
        <v>173</v>
      </c>
      <c r="D55" s="28">
        <f>НМЦ_Прил_1!G57</f>
        <v>29.86</v>
      </c>
      <c r="E55" s="28">
        <f>НМЦ_Прил_1!J57</f>
        <v>191.71502000000001</v>
      </c>
      <c r="F55" s="119" t="s">
        <v>46</v>
      </c>
      <c r="G55" s="71">
        <v>0</v>
      </c>
      <c r="H55" s="71">
        <f t="shared" si="28"/>
        <v>0</v>
      </c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V55" s="71">
        <f>НМЦ_Прил_1!L57</f>
        <v>191.71502000000001</v>
      </c>
    </row>
    <row r="56" spans="1:39" ht="25.5" customHeight="1" x14ac:dyDescent="0.2">
      <c r="A56" s="61"/>
      <c r="B56" s="68"/>
      <c r="C56" s="51" t="s">
        <v>36</v>
      </c>
      <c r="D56" s="28"/>
      <c r="E56" s="28"/>
      <c r="F56" s="92"/>
      <c r="G56" s="71"/>
      <c r="H56" s="7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47"/>
      <c r="V56" s="71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J56" s="139">
        <f>SUM(V43:V55)</f>
        <v>441512.96607000008</v>
      </c>
      <c r="AL56" s="139">
        <f>SUM(G43:G55)</f>
        <v>16622.500000000051</v>
      </c>
      <c r="AM56" s="139">
        <f>SUM(H43:H55)</f>
        <v>377457.79999999993</v>
      </c>
    </row>
    <row r="57" spans="1:39" ht="25.5" customHeight="1" x14ac:dyDescent="0.2">
      <c r="A57" s="61"/>
      <c r="B57" s="100"/>
      <c r="C57" s="56" t="s">
        <v>117</v>
      </c>
      <c r="D57" s="28"/>
      <c r="E57" s="28"/>
      <c r="F57" s="92"/>
      <c r="G57" s="71"/>
      <c r="H57" s="7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47"/>
      <c r="V57" s="71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</row>
    <row r="58" spans="1:39" ht="25.5" x14ac:dyDescent="0.2">
      <c r="A58" s="61">
        <v>42</v>
      </c>
      <c r="B58" s="65" t="s">
        <v>47</v>
      </c>
      <c r="C58" s="27" t="s">
        <v>53</v>
      </c>
      <c r="D58" s="28">
        <f>НМЦ_Прил_1!G61</f>
        <v>448.04</v>
      </c>
      <c r="E58" s="28">
        <f>НМЦ_Прил_1!J61</f>
        <v>1983.5832000000003</v>
      </c>
      <c r="F58" s="119" t="s">
        <v>183</v>
      </c>
      <c r="G58" s="71">
        <f t="shared" ref="G58:G65" si="29">V58-H58</f>
        <v>1947.4604100000004</v>
      </c>
      <c r="H58" s="71">
        <f>36122.79/1000</f>
        <v>36.122790000000002</v>
      </c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45"/>
      <c r="V58" s="71">
        <f>'разбивка по сметам'!T50/1000</f>
        <v>1983.5832000000003</v>
      </c>
      <c r="W58" s="90">
        <f t="shared" ref="W58:AH65" si="30">I58*$V58</f>
        <v>0</v>
      </c>
      <c r="X58" s="90">
        <f t="shared" si="30"/>
        <v>0</v>
      </c>
      <c r="Y58" s="90">
        <f t="shared" si="30"/>
        <v>0</v>
      </c>
      <c r="Z58" s="90">
        <f t="shared" si="30"/>
        <v>0</v>
      </c>
      <c r="AA58" s="90">
        <f t="shared" si="30"/>
        <v>0</v>
      </c>
      <c r="AB58" s="90">
        <f t="shared" si="30"/>
        <v>0</v>
      </c>
      <c r="AC58" s="90">
        <f t="shared" si="30"/>
        <v>0</v>
      </c>
      <c r="AD58" s="90">
        <f t="shared" si="30"/>
        <v>0</v>
      </c>
      <c r="AE58" s="90">
        <f t="shared" si="30"/>
        <v>0</v>
      </c>
      <c r="AF58" s="90">
        <f t="shared" si="30"/>
        <v>0</v>
      </c>
      <c r="AG58" s="90">
        <f t="shared" si="30"/>
        <v>0</v>
      </c>
      <c r="AH58" s="90">
        <f t="shared" si="30"/>
        <v>0</v>
      </c>
    </row>
    <row r="59" spans="1:39" ht="26.25" customHeight="1" x14ac:dyDescent="0.2">
      <c r="A59" s="61">
        <v>43</v>
      </c>
      <c r="B59" s="65" t="s">
        <v>61</v>
      </c>
      <c r="C59" s="27" t="s">
        <v>54</v>
      </c>
      <c r="D59" s="28">
        <f>НМЦ_Прил_1!G62</f>
        <v>515.20000000000005</v>
      </c>
      <c r="E59" s="28">
        <f>НМЦ_Прил_1!J62</f>
        <v>2290.0619999999999</v>
      </c>
      <c r="F59" s="119" t="s">
        <v>183</v>
      </c>
      <c r="G59" s="71">
        <f t="shared" si="29"/>
        <v>2205.7717499999999</v>
      </c>
      <c r="H59" s="71">
        <f>84290.25/1000</f>
        <v>84.29025</v>
      </c>
      <c r="I59" s="81"/>
      <c r="J59" s="81"/>
      <c r="K59" s="81"/>
      <c r="L59" s="81"/>
      <c r="M59" s="81"/>
      <c r="N59" s="81"/>
      <c r="O59" s="81"/>
      <c r="P59" s="80"/>
      <c r="Q59" s="81"/>
      <c r="R59" s="81"/>
      <c r="S59" s="81"/>
      <c r="T59" s="81"/>
      <c r="U59" s="45"/>
      <c r="V59" s="71">
        <f>'разбивка по сметам'!T51/1000</f>
        <v>2290.0619999999999</v>
      </c>
      <c r="W59" s="90">
        <f t="shared" si="30"/>
        <v>0</v>
      </c>
      <c r="X59" s="90">
        <f t="shared" si="30"/>
        <v>0</v>
      </c>
      <c r="Y59" s="90">
        <f t="shared" si="30"/>
        <v>0</v>
      </c>
      <c r="Z59" s="90">
        <f t="shared" si="30"/>
        <v>0</v>
      </c>
      <c r="AA59" s="90">
        <f t="shared" si="30"/>
        <v>0</v>
      </c>
      <c r="AB59" s="90">
        <f t="shared" si="30"/>
        <v>0</v>
      </c>
      <c r="AC59" s="90">
        <f t="shared" si="30"/>
        <v>0</v>
      </c>
      <c r="AD59" s="90">
        <f t="shared" si="30"/>
        <v>0</v>
      </c>
      <c r="AE59" s="90">
        <f t="shared" si="30"/>
        <v>0</v>
      </c>
      <c r="AF59" s="90">
        <f t="shared" si="30"/>
        <v>0</v>
      </c>
      <c r="AG59" s="90">
        <f t="shared" si="30"/>
        <v>0</v>
      </c>
      <c r="AH59" s="90">
        <f t="shared" si="30"/>
        <v>0</v>
      </c>
    </row>
    <row r="60" spans="1:39" ht="25.5" customHeight="1" x14ac:dyDescent="0.2">
      <c r="A60" s="111">
        <v>44</v>
      </c>
      <c r="B60" s="65" t="s">
        <v>62</v>
      </c>
      <c r="C60" s="27" t="s">
        <v>55</v>
      </c>
      <c r="D60" s="28">
        <f>НМЦ_Прил_1!G63</f>
        <v>343.185</v>
      </c>
      <c r="E60" s="28">
        <f>НМЦ_Прил_1!J63</f>
        <v>1518.5974500000002</v>
      </c>
      <c r="F60" s="119" t="s">
        <v>183</v>
      </c>
      <c r="G60" s="71">
        <f t="shared" si="29"/>
        <v>1494.5137200000001</v>
      </c>
      <c r="H60" s="71">
        <f>24083.73/1000</f>
        <v>24.083729999999999</v>
      </c>
      <c r="I60" s="81"/>
      <c r="J60" s="81"/>
      <c r="K60" s="81"/>
      <c r="L60" s="81"/>
      <c r="M60" s="81"/>
      <c r="N60" s="81"/>
      <c r="O60" s="81"/>
      <c r="P60" s="81"/>
      <c r="Q60" s="80"/>
      <c r="R60" s="81"/>
      <c r="S60" s="81"/>
      <c r="T60" s="81"/>
      <c r="U60" s="45"/>
      <c r="V60" s="71">
        <f>'разбивка по сметам'!T52/1000</f>
        <v>1518.5974500000002</v>
      </c>
      <c r="W60" s="90">
        <f t="shared" si="30"/>
        <v>0</v>
      </c>
      <c r="X60" s="90">
        <f t="shared" si="30"/>
        <v>0</v>
      </c>
      <c r="Y60" s="90">
        <f t="shared" si="30"/>
        <v>0</v>
      </c>
      <c r="Z60" s="90">
        <f t="shared" si="30"/>
        <v>0</v>
      </c>
      <c r="AA60" s="90">
        <f t="shared" si="30"/>
        <v>0</v>
      </c>
      <c r="AB60" s="90">
        <f t="shared" si="30"/>
        <v>0</v>
      </c>
      <c r="AC60" s="90">
        <f t="shared" si="30"/>
        <v>0</v>
      </c>
      <c r="AD60" s="90">
        <f t="shared" si="30"/>
        <v>0</v>
      </c>
      <c r="AE60" s="90">
        <f t="shared" si="30"/>
        <v>0</v>
      </c>
      <c r="AF60" s="90">
        <f t="shared" si="30"/>
        <v>0</v>
      </c>
      <c r="AG60" s="90">
        <f t="shared" si="30"/>
        <v>0</v>
      </c>
      <c r="AH60" s="90">
        <f t="shared" si="30"/>
        <v>0</v>
      </c>
    </row>
    <row r="61" spans="1:39" ht="25.5" x14ac:dyDescent="0.2">
      <c r="A61" s="111">
        <v>45</v>
      </c>
      <c r="B61" s="65" t="s">
        <v>63</v>
      </c>
      <c r="C61" s="27" t="s">
        <v>56</v>
      </c>
      <c r="D61" s="28">
        <f>НМЦ_Прил_1!G64</f>
        <v>235.90100000000001</v>
      </c>
      <c r="E61" s="28">
        <f>НМЦ_Прил_1!J64</f>
        <v>1040.32341</v>
      </c>
      <c r="F61" s="119" t="s">
        <v>183</v>
      </c>
      <c r="G61" s="71">
        <f t="shared" si="29"/>
        <v>1040.32341</v>
      </c>
      <c r="H61" s="71">
        <v>0</v>
      </c>
      <c r="I61" s="81"/>
      <c r="J61" s="81"/>
      <c r="K61" s="81"/>
      <c r="L61" s="81"/>
      <c r="M61" s="81"/>
      <c r="N61" s="81"/>
      <c r="O61" s="81"/>
      <c r="P61" s="81"/>
      <c r="Q61" s="81"/>
      <c r="R61" s="80"/>
      <c r="S61" s="81"/>
      <c r="T61" s="81"/>
      <c r="U61" s="45"/>
      <c r="V61" s="71">
        <f>'разбивка по сметам'!T53/1000</f>
        <v>1040.32341</v>
      </c>
      <c r="W61" s="90">
        <f t="shared" si="30"/>
        <v>0</v>
      </c>
      <c r="X61" s="90">
        <f t="shared" si="30"/>
        <v>0</v>
      </c>
      <c r="Y61" s="90">
        <f t="shared" si="30"/>
        <v>0</v>
      </c>
      <c r="Z61" s="90">
        <f t="shared" si="30"/>
        <v>0</v>
      </c>
      <c r="AA61" s="90">
        <f t="shared" si="30"/>
        <v>0</v>
      </c>
      <c r="AB61" s="90">
        <f t="shared" si="30"/>
        <v>0</v>
      </c>
      <c r="AC61" s="90">
        <f t="shared" si="30"/>
        <v>0</v>
      </c>
      <c r="AD61" s="90">
        <f t="shared" si="30"/>
        <v>0</v>
      </c>
      <c r="AE61" s="90">
        <f t="shared" si="30"/>
        <v>0</v>
      </c>
      <c r="AF61" s="90">
        <f t="shared" si="30"/>
        <v>0</v>
      </c>
      <c r="AG61" s="90">
        <f t="shared" si="30"/>
        <v>0</v>
      </c>
      <c r="AH61" s="90">
        <f t="shared" si="30"/>
        <v>0</v>
      </c>
    </row>
    <row r="62" spans="1:39" ht="25.5" x14ac:dyDescent="0.2">
      <c r="A62" s="111">
        <v>46</v>
      </c>
      <c r="B62" s="65" t="s">
        <v>64</v>
      </c>
      <c r="C62" s="27" t="s">
        <v>57</v>
      </c>
      <c r="D62" s="28">
        <f>НМЦ_Прил_1!G65</f>
        <v>412.63299999999998</v>
      </c>
      <c r="E62" s="28">
        <f>НМЦ_Прил_1!J65</f>
        <v>1827.4383300000002</v>
      </c>
      <c r="F62" s="119" t="s">
        <v>183</v>
      </c>
      <c r="G62" s="71">
        <f t="shared" si="29"/>
        <v>1791.3155400000003</v>
      </c>
      <c r="H62" s="71">
        <f>36122.79/1000</f>
        <v>36.122790000000002</v>
      </c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0"/>
      <c r="T62" s="81"/>
      <c r="U62" s="45"/>
      <c r="V62" s="71">
        <f>'разбивка по сметам'!T54/1000</f>
        <v>1827.4383300000002</v>
      </c>
      <c r="W62" s="90">
        <f t="shared" si="30"/>
        <v>0</v>
      </c>
      <c r="X62" s="90">
        <f t="shared" si="30"/>
        <v>0</v>
      </c>
      <c r="Y62" s="90">
        <f t="shared" si="30"/>
        <v>0</v>
      </c>
      <c r="Z62" s="90">
        <f t="shared" si="30"/>
        <v>0</v>
      </c>
      <c r="AA62" s="90">
        <f t="shared" si="30"/>
        <v>0</v>
      </c>
      <c r="AB62" s="90">
        <f t="shared" si="30"/>
        <v>0</v>
      </c>
      <c r="AC62" s="90">
        <f t="shared" si="30"/>
        <v>0</v>
      </c>
      <c r="AD62" s="90">
        <f t="shared" si="30"/>
        <v>0</v>
      </c>
      <c r="AE62" s="90">
        <f t="shared" si="30"/>
        <v>0</v>
      </c>
      <c r="AF62" s="90">
        <f t="shared" si="30"/>
        <v>0</v>
      </c>
      <c r="AG62" s="90">
        <f t="shared" si="30"/>
        <v>0</v>
      </c>
      <c r="AH62" s="90">
        <f t="shared" si="30"/>
        <v>0</v>
      </c>
    </row>
    <row r="63" spans="1:39" ht="25.5" x14ac:dyDescent="0.2">
      <c r="A63" s="111">
        <v>47</v>
      </c>
      <c r="B63" s="65" t="s">
        <v>65</v>
      </c>
      <c r="C63" s="27" t="s">
        <v>58</v>
      </c>
      <c r="D63" s="28">
        <f>НМЦ_Прил_1!G66</f>
        <v>216.01300000000001</v>
      </c>
      <c r="E63" s="28">
        <f>НМЦ_Прил_1!J66</f>
        <v>955.19253000000003</v>
      </c>
      <c r="F63" s="119" t="s">
        <v>183</v>
      </c>
      <c r="G63" s="71">
        <f t="shared" si="29"/>
        <v>943.15347000000008</v>
      </c>
      <c r="H63" s="71">
        <f>12039.06/1000</f>
        <v>12.039059999999999</v>
      </c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0"/>
      <c r="U63" s="45"/>
      <c r="V63" s="71">
        <f>'разбивка по сметам'!T55/1000</f>
        <v>955.19253000000003</v>
      </c>
      <c r="W63" s="90">
        <f t="shared" si="30"/>
        <v>0</v>
      </c>
      <c r="X63" s="90">
        <f t="shared" si="30"/>
        <v>0</v>
      </c>
      <c r="Y63" s="90">
        <f t="shared" si="30"/>
        <v>0</v>
      </c>
      <c r="Z63" s="90">
        <f t="shared" si="30"/>
        <v>0</v>
      </c>
      <c r="AA63" s="90">
        <f t="shared" si="30"/>
        <v>0</v>
      </c>
      <c r="AB63" s="90">
        <f t="shared" si="30"/>
        <v>0</v>
      </c>
      <c r="AC63" s="90">
        <f t="shared" si="30"/>
        <v>0</v>
      </c>
      <c r="AD63" s="90">
        <f t="shared" si="30"/>
        <v>0</v>
      </c>
      <c r="AE63" s="90">
        <f t="shared" si="30"/>
        <v>0</v>
      </c>
      <c r="AF63" s="90">
        <f t="shared" si="30"/>
        <v>0</v>
      </c>
      <c r="AG63" s="90">
        <f t="shared" si="30"/>
        <v>0</v>
      </c>
      <c r="AH63" s="90">
        <f t="shared" si="30"/>
        <v>0</v>
      </c>
    </row>
    <row r="64" spans="1:39" ht="26.25" customHeight="1" x14ac:dyDescent="0.2">
      <c r="A64" s="111">
        <v>48</v>
      </c>
      <c r="B64" s="65" t="s">
        <v>66</v>
      </c>
      <c r="C64" s="27" t="s">
        <v>59</v>
      </c>
      <c r="D64" s="28">
        <f>НМЦ_Прил_1!G67</f>
        <v>73.275999999999996</v>
      </c>
      <c r="E64" s="28">
        <f>НМЦ_Прил_1!J67</f>
        <v>324.52476000000001</v>
      </c>
      <c r="F64" s="119" t="s">
        <v>183</v>
      </c>
      <c r="G64" s="71">
        <f t="shared" si="29"/>
        <v>318.08448000000004</v>
      </c>
      <c r="H64" s="71">
        <f>6440.28/1000</f>
        <v>6.4402799999999996</v>
      </c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0"/>
      <c r="T64" s="81"/>
      <c r="U64" s="45"/>
      <c r="V64" s="71">
        <f>'разбивка по сметам'!T56/1000</f>
        <v>324.52476000000001</v>
      </c>
      <c r="W64" s="90">
        <f t="shared" si="30"/>
        <v>0</v>
      </c>
      <c r="X64" s="90">
        <f t="shared" si="30"/>
        <v>0</v>
      </c>
      <c r="Y64" s="90">
        <f t="shared" si="30"/>
        <v>0</v>
      </c>
      <c r="Z64" s="90">
        <f t="shared" si="30"/>
        <v>0</v>
      </c>
      <c r="AA64" s="90">
        <f t="shared" si="30"/>
        <v>0</v>
      </c>
      <c r="AB64" s="90">
        <f t="shared" si="30"/>
        <v>0</v>
      </c>
      <c r="AC64" s="90">
        <f t="shared" si="30"/>
        <v>0</v>
      </c>
      <c r="AD64" s="90">
        <f t="shared" si="30"/>
        <v>0</v>
      </c>
      <c r="AE64" s="90">
        <f t="shared" si="30"/>
        <v>0</v>
      </c>
      <c r="AF64" s="90">
        <f t="shared" si="30"/>
        <v>0</v>
      </c>
      <c r="AG64" s="90">
        <f t="shared" si="30"/>
        <v>0</v>
      </c>
      <c r="AH64" s="90">
        <f t="shared" si="30"/>
        <v>0</v>
      </c>
    </row>
    <row r="65" spans="1:37" ht="25.5" customHeight="1" x14ac:dyDescent="0.2">
      <c r="A65" s="111">
        <v>49</v>
      </c>
      <c r="B65" s="65" t="s">
        <v>67</v>
      </c>
      <c r="C65" s="27" t="s">
        <v>60</v>
      </c>
      <c r="D65" s="28">
        <f>НМЦ_Прил_1!G68</f>
        <v>54.984999999999999</v>
      </c>
      <c r="E65" s="28">
        <f>НМЦ_Прил_1!J68</f>
        <v>242.48385000000002</v>
      </c>
      <c r="F65" s="119" t="s">
        <v>183</v>
      </c>
      <c r="G65" s="71">
        <f t="shared" si="29"/>
        <v>242.48385000000002</v>
      </c>
      <c r="H65" s="71">
        <v>0</v>
      </c>
      <c r="I65" s="81"/>
      <c r="J65" s="81"/>
      <c r="K65" s="81"/>
      <c r="L65" s="81"/>
      <c r="M65" s="81"/>
      <c r="N65" s="81"/>
      <c r="O65" s="81"/>
      <c r="P65" s="81"/>
      <c r="Q65" s="81"/>
      <c r="R65" s="80"/>
      <c r="S65" s="81"/>
      <c r="T65" s="81"/>
      <c r="U65" s="45"/>
      <c r="V65" s="71">
        <f>'разбивка по сметам'!T57/1000</f>
        <v>242.48385000000002</v>
      </c>
      <c r="W65" s="90">
        <f t="shared" si="30"/>
        <v>0</v>
      </c>
      <c r="X65" s="90">
        <f t="shared" si="30"/>
        <v>0</v>
      </c>
      <c r="Y65" s="90">
        <f t="shared" si="30"/>
        <v>0</v>
      </c>
      <c r="Z65" s="90">
        <f t="shared" si="30"/>
        <v>0</v>
      </c>
      <c r="AA65" s="90">
        <f t="shared" si="30"/>
        <v>0</v>
      </c>
      <c r="AB65" s="90">
        <f t="shared" si="30"/>
        <v>0</v>
      </c>
      <c r="AC65" s="90">
        <f t="shared" si="30"/>
        <v>0</v>
      </c>
      <c r="AD65" s="90">
        <f t="shared" si="30"/>
        <v>0</v>
      </c>
      <c r="AE65" s="90">
        <f t="shared" si="30"/>
        <v>0</v>
      </c>
      <c r="AF65" s="90">
        <f t="shared" si="30"/>
        <v>0</v>
      </c>
      <c r="AG65" s="90">
        <f t="shared" si="30"/>
        <v>0</v>
      </c>
      <c r="AH65" s="90">
        <f t="shared" si="30"/>
        <v>0</v>
      </c>
    </row>
    <row r="66" spans="1:37" ht="15" customHeight="1" x14ac:dyDescent="0.2">
      <c r="A66" s="86"/>
      <c r="B66" s="86"/>
      <c r="C66" s="59" t="s">
        <v>190</v>
      </c>
      <c r="D66" s="85">
        <f>SUM(D12:D65)</f>
        <v>235916.91500000004</v>
      </c>
      <c r="E66" s="85">
        <f>SUM(E12:E65)</f>
        <v>1829496.1708200001</v>
      </c>
      <c r="F66" s="113"/>
      <c r="G66" s="85">
        <f>SUM(G12:G65)</f>
        <v>815675.51660199987</v>
      </c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4"/>
      <c r="V66" s="140">
        <f>SUM(V12:V65)</f>
        <v>1284631.1694420001</v>
      </c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K66" s="139">
        <f>G66+H67</f>
        <v>1237198.5033719998</v>
      </c>
    </row>
    <row r="67" spans="1:37" ht="15" customHeight="1" x14ac:dyDescent="0.2">
      <c r="A67" s="86"/>
      <c r="B67" s="86"/>
      <c r="C67" s="101" t="s">
        <v>191</v>
      </c>
      <c r="D67" s="143"/>
      <c r="E67" s="143"/>
      <c r="F67" s="92"/>
      <c r="G67" s="140"/>
      <c r="H67" s="143">
        <f>SUM(H12:H65)</f>
        <v>421522.9867699999</v>
      </c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13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</row>
    <row r="68" spans="1:37" ht="15" customHeight="1" x14ac:dyDescent="0.2">
      <c r="A68" s="86"/>
      <c r="B68" s="86"/>
      <c r="C68" s="101" t="s">
        <v>194</v>
      </c>
      <c r="D68" s="143"/>
      <c r="E68" s="143"/>
      <c r="F68" s="92"/>
      <c r="G68" s="264">
        <f>G66+H67</f>
        <v>1237198.5033719998</v>
      </c>
      <c r="H68" s="264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138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</row>
    <row r="69" spans="1:37" ht="15" customHeight="1" x14ac:dyDescent="0.2">
      <c r="A69" s="86"/>
      <c r="B69" s="86"/>
      <c r="C69" s="101" t="s">
        <v>195</v>
      </c>
      <c r="D69" s="143"/>
      <c r="E69" s="92"/>
      <c r="F69" s="92"/>
      <c r="G69" s="140"/>
      <c r="H69" s="140">
        <v>400000</v>
      </c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141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</row>
    <row r="70" spans="1:37" ht="15" customHeight="1" x14ac:dyDescent="0.2">
      <c r="A70" s="86"/>
      <c r="B70" s="230"/>
      <c r="C70" s="237" t="s">
        <v>145</v>
      </c>
      <c r="D70" s="252"/>
      <c r="E70" s="253"/>
      <c r="F70" s="253"/>
      <c r="G70" s="253"/>
      <c r="H70" s="254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  <c r="U70" s="67"/>
    </row>
    <row r="71" spans="1:37" ht="15" customHeight="1" x14ac:dyDescent="0.2">
      <c r="A71" s="99"/>
      <c r="B71" s="235"/>
      <c r="C71" s="239"/>
      <c r="D71" s="255"/>
      <c r="E71" s="256"/>
      <c r="F71" s="256"/>
      <c r="G71" s="256"/>
      <c r="H71" s="257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84"/>
      <c r="U71" s="67"/>
    </row>
    <row r="72" spans="1:37" ht="15" customHeight="1" x14ac:dyDescent="0.2">
      <c r="A72" s="99"/>
      <c r="B72" s="235"/>
      <c r="C72" s="239"/>
      <c r="D72" s="255"/>
      <c r="E72" s="256"/>
      <c r="F72" s="256"/>
      <c r="G72" s="256"/>
      <c r="H72" s="257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84"/>
      <c r="U72" s="67"/>
    </row>
    <row r="73" spans="1:37" ht="15" customHeight="1" x14ac:dyDescent="0.2">
      <c r="A73" s="99"/>
      <c r="B73" s="235"/>
      <c r="C73" s="239"/>
      <c r="D73" s="255"/>
      <c r="E73" s="256"/>
      <c r="F73" s="256"/>
      <c r="G73" s="256"/>
      <c r="H73" s="257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84"/>
      <c r="U73" s="67"/>
    </row>
    <row r="74" spans="1:37" ht="15" customHeight="1" x14ac:dyDescent="0.2">
      <c r="A74" s="99"/>
      <c r="B74" s="235"/>
      <c r="C74" s="239"/>
      <c r="D74" s="255"/>
      <c r="E74" s="256"/>
      <c r="F74" s="256"/>
      <c r="G74" s="256"/>
      <c r="H74" s="257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84"/>
      <c r="U74" s="67"/>
    </row>
    <row r="75" spans="1:37" x14ac:dyDescent="0.2">
      <c r="A75" s="72"/>
      <c r="B75" s="231"/>
      <c r="C75" s="241"/>
      <c r="D75" s="258"/>
      <c r="E75" s="259"/>
      <c r="F75" s="259"/>
      <c r="G75" s="259"/>
      <c r="H75" s="260"/>
      <c r="I75" s="88">
        <f t="shared" ref="I75:T75" si="31">SUMPRODUCT($V12:$V65,I12:I65)</f>
        <v>0</v>
      </c>
      <c r="J75" s="88">
        <f t="shared" si="31"/>
        <v>0</v>
      </c>
      <c r="K75" s="88">
        <f t="shared" si="31"/>
        <v>0</v>
      </c>
      <c r="L75" s="88">
        <f t="shared" si="31"/>
        <v>0</v>
      </c>
      <c r="M75" s="88">
        <f t="shared" si="31"/>
        <v>0</v>
      </c>
      <c r="N75" s="88">
        <f t="shared" si="31"/>
        <v>0</v>
      </c>
      <c r="O75" s="88">
        <f t="shared" si="31"/>
        <v>0</v>
      </c>
      <c r="P75" s="88">
        <f t="shared" si="31"/>
        <v>0</v>
      </c>
      <c r="Q75" s="88">
        <f t="shared" si="31"/>
        <v>0</v>
      </c>
      <c r="R75" s="88">
        <f t="shared" si="31"/>
        <v>0</v>
      </c>
      <c r="S75" s="88">
        <f t="shared" si="31"/>
        <v>0</v>
      </c>
      <c r="T75" s="88">
        <f t="shared" si="31"/>
        <v>0</v>
      </c>
      <c r="U75" s="89"/>
      <c r="V75" s="121">
        <f>SUM(I75:T75)</f>
        <v>0</v>
      </c>
    </row>
    <row r="76" spans="1:37" ht="15" customHeight="1" x14ac:dyDescent="0.2">
      <c r="A76" s="232"/>
      <c r="B76" s="232"/>
      <c r="C76" s="232" t="s">
        <v>138</v>
      </c>
      <c r="D76" s="236"/>
      <c r="E76" s="237"/>
      <c r="F76" s="237"/>
      <c r="G76" s="237"/>
      <c r="H76" s="261"/>
      <c r="I76" s="246"/>
      <c r="J76" s="247"/>
      <c r="K76" s="247"/>
      <c r="L76" s="247"/>
      <c r="M76" s="247"/>
      <c r="N76" s="247"/>
      <c r="O76" s="247"/>
      <c r="P76" s="247"/>
      <c r="Q76" s="247"/>
      <c r="R76" s="247"/>
      <c r="S76" s="247"/>
      <c r="T76" s="248"/>
      <c r="U76" s="89"/>
    </row>
    <row r="77" spans="1:37" ht="69" customHeight="1" x14ac:dyDescent="0.2">
      <c r="A77" s="233"/>
      <c r="B77" s="233"/>
      <c r="C77" s="233"/>
      <c r="D77" s="238"/>
      <c r="E77" s="239"/>
      <c r="F77" s="239"/>
      <c r="G77" s="239"/>
      <c r="H77" s="262"/>
      <c r="I77" s="249"/>
      <c r="J77" s="250"/>
      <c r="K77" s="250"/>
      <c r="L77" s="250"/>
      <c r="M77" s="250"/>
      <c r="N77" s="250"/>
      <c r="O77" s="250"/>
      <c r="P77" s="250"/>
      <c r="Q77" s="250"/>
      <c r="R77" s="250"/>
      <c r="S77" s="250"/>
      <c r="T77" s="251"/>
      <c r="U77" s="89"/>
    </row>
    <row r="78" spans="1:37" x14ac:dyDescent="0.2">
      <c r="A78" s="234"/>
      <c r="B78" s="234"/>
      <c r="C78" s="234"/>
      <c r="D78" s="240"/>
      <c r="E78" s="241"/>
      <c r="F78" s="241"/>
      <c r="G78" s="241"/>
      <c r="H78" s="263"/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66"/>
    </row>
    <row r="79" spans="1:37" ht="15" customHeight="1" x14ac:dyDescent="0.2">
      <c r="A79" s="232"/>
      <c r="B79" s="232"/>
      <c r="C79" s="236" t="s">
        <v>144</v>
      </c>
      <c r="D79" s="236"/>
      <c r="E79" s="237"/>
      <c r="F79" s="237"/>
      <c r="G79" s="237"/>
      <c r="H79" s="237"/>
      <c r="I79" s="135"/>
      <c r="J79" s="135"/>
      <c r="K79" s="87"/>
      <c r="L79" s="87"/>
      <c r="M79" s="87"/>
      <c r="N79" s="87"/>
      <c r="O79" s="87"/>
      <c r="P79" s="87"/>
      <c r="Q79" s="87"/>
      <c r="R79" s="87"/>
      <c r="S79" s="87"/>
      <c r="T79" s="94"/>
      <c r="U79" s="66"/>
    </row>
    <row r="80" spans="1:37" x14ac:dyDescent="0.2">
      <c r="A80" s="233"/>
      <c r="B80" s="233"/>
      <c r="C80" s="238"/>
      <c r="D80" s="238"/>
      <c r="E80" s="239"/>
      <c r="F80" s="239"/>
      <c r="G80" s="239"/>
      <c r="H80" s="239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4"/>
      <c r="U80" s="66"/>
    </row>
    <row r="81" spans="1:21" x14ac:dyDescent="0.2">
      <c r="A81" s="233"/>
      <c r="B81" s="233"/>
      <c r="C81" s="238"/>
      <c r="D81" s="238"/>
      <c r="E81" s="239"/>
      <c r="F81" s="239"/>
      <c r="G81" s="239"/>
      <c r="H81" s="239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4"/>
      <c r="U81" s="66"/>
    </row>
    <row r="82" spans="1:21" x14ac:dyDescent="0.2">
      <c r="A82" s="233"/>
      <c r="B82" s="233"/>
      <c r="C82" s="238"/>
      <c r="D82" s="238"/>
      <c r="E82" s="239"/>
      <c r="F82" s="239"/>
      <c r="G82" s="239"/>
      <c r="H82" s="239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4"/>
      <c r="U82" s="66"/>
    </row>
    <row r="83" spans="1:21" x14ac:dyDescent="0.2">
      <c r="A83" s="233"/>
      <c r="B83" s="233"/>
      <c r="C83" s="238"/>
      <c r="D83" s="238"/>
      <c r="E83" s="239"/>
      <c r="F83" s="239"/>
      <c r="G83" s="239"/>
      <c r="H83" s="239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6"/>
      <c r="U83" s="66"/>
    </row>
    <row r="84" spans="1:21" x14ac:dyDescent="0.2">
      <c r="A84" s="234"/>
      <c r="B84" s="234"/>
      <c r="C84" s="240"/>
      <c r="D84" s="240"/>
      <c r="E84" s="241"/>
      <c r="F84" s="241"/>
      <c r="G84" s="241"/>
      <c r="H84" s="241"/>
      <c r="I84" s="136">
        <f t="shared" ref="I84:J84" si="32">I85+I86+I87+I88+I89</f>
        <v>0</v>
      </c>
      <c r="J84" s="136">
        <f t="shared" si="32"/>
        <v>0</v>
      </c>
      <c r="K84" s="77">
        <f t="shared" ref="K84:T84" si="33">K85+K86+K87+K88+K89</f>
        <v>0</v>
      </c>
      <c r="L84" s="77">
        <f t="shared" si="33"/>
        <v>0</v>
      </c>
      <c r="M84" s="77">
        <f t="shared" si="33"/>
        <v>0</v>
      </c>
      <c r="N84" s="77">
        <f t="shared" si="33"/>
        <v>0</v>
      </c>
      <c r="O84" s="77">
        <f t="shared" si="33"/>
        <v>0</v>
      </c>
      <c r="P84" s="77">
        <f t="shared" si="33"/>
        <v>0</v>
      </c>
      <c r="Q84" s="77">
        <f t="shared" si="33"/>
        <v>0</v>
      </c>
      <c r="R84" s="77">
        <f t="shared" si="33"/>
        <v>0</v>
      </c>
      <c r="S84" s="77">
        <f t="shared" si="33"/>
        <v>0</v>
      </c>
      <c r="T84" s="77">
        <f t="shared" si="33"/>
        <v>0</v>
      </c>
      <c r="U84" s="66"/>
    </row>
    <row r="85" spans="1:21" x14ac:dyDescent="0.2">
      <c r="A85" s="232"/>
      <c r="B85" s="232"/>
      <c r="C85" s="70" t="s">
        <v>139</v>
      </c>
      <c r="D85" s="242"/>
      <c r="E85" s="243"/>
      <c r="F85" s="243"/>
      <c r="G85" s="244"/>
      <c r="H85" s="137"/>
      <c r="I85" s="78">
        <v>0</v>
      </c>
      <c r="J85" s="78">
        <v>0</v>
      </c>
      <c r="K85" s="78">
        <v>0</v>
      </c>
      <c r="L85" s="78">
        <v>0</v>
      </c>
      <c r="M85" s="78">
        <v>0</v>
      </c>
      <c r="N85" s="78"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66"/>
    </row>
    <row r="86" spans="1:21" x14ac:dyDescent="0.2">
      <c r="A86" s="233"/>
      <c r="B86" s="233"/>
      <c r="C86" s="70" t="s">
        <v>140</v>
      </c>
      <c r="D86" s="242"/>
      <c r="E86" s="243"/>
      <c r="F86" s="243"/>
      <c r="G86" s="244"/>
      <c r="H86" s="137"/>
      <c r="I86" s="78">
        <v>0</v>
      </c>
      <c r="J86" s="78">
        <v>0</v>
      </c>
      <c r="K86" s="78">
        <v>0</v>
      </c>
      <c r="L86" s="78">
        <v>0</v>
      </c>
      <c r="M86" s="78">
        <v>0</v>
      </c>
      <c r="N86" s="78">
        <v>0</v>
      </c>
      <c r="O86" s="78">
        <v>0</v>
      </c>
      <c r="P86" s="78">
        <v>0</v>
      </c>
      <c r="Q86" s="78">
        <v>0</v>
      </c>
      <c r="R86" s="78">
        <v>0</v>
      </c>
      <c r="S86" s="78">
        <v>0</v>
      </c>
      <c r="T86" s="78">
        <v>0</v>
      </c>
      <c r="U86" s="66"/>
    </row>
    <row r="87" spans="1:21" x14ac:dyDescent="0.2">
      <c r="A87" s="233"/>
      <c r="B87" s="233"/>
      <c r="C87" s="70" t="s">
        <v>141</v>
      </c>
      <c r="D87" s="242"/>
      <c r="E87" s="243"/>
      <c r="F87" s="243"/>
      <c r="G87" s="244"/>
      <c r="H87" s="137"/>
      <c r="I87" s="78">
        <v>0</v>
      </c>
      <c r="J87" s="78">
        <v>0</v>
      </c>
      <c r="K87" s="78">
        <v>0</v>
      </c>
      <c r="L87" s="78">
        <v>0</v>
      </c>
      <c r="M87" s="78">
        <v>0</v>
      </c>
      <c r="N87" s="78">
        <v>0</v>
      </c>
      <c r="O87" s="78">
        <v>0</v>
      </c>
      <c r="P87" s="78">
        <v>0</v>
      </c>
      <c r="Q87" s="78">
        <v>0</v>
      </c>
      <c r="R87" s="78">
        <v>0</v>
      </c>
      <c r="S87" s="78">
        <v>0</v>
      </c>
      <c r="T87" s="78">
        <v>0</v>
      </c>
      <c r="U87" s="66"/>
    </row>
    <row r="88" spans="1:21" x14ac:dyDescent="0.2">
      <c r="A88" s="233"/>
      <c r="B88" s="233"/>
      <c r="C88" s="70" t="s">
        <v>142</v>
      </c>
      <c r="D88" s="242"/>
      <c r="E88" s="243"/>
      <c r="F88" s="243"/>
      <c r="G88" s="244"/>
      <c r="H88" s="137"/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66"/>
    </row>
    <row r="89" spans="1:21" x14ac:dyDescent="0.2">
      <c r="A89" s="234"/>
      <c r="B89" s="234"/>
      <c r="C89" s="70" t="s">
        <v>143</v>
      </c>
      <c r="D89" s="242"/>
      <c r="E89" s="243"/>
      <c r="F89" s="243"/>
      <c r="G89" s="244"/>
      <c r="H89" s="137"/>
      <c r="I89" s="78">
        <v>0</v>
      </c>
      <c r="J89" s="78">
        <v>0</v>
      </c>
      <c r="K89" s="78">
        <v>0</v>
      </c>
      <c r="L89" s="78">
        <v>0</v>
      </c>
      <c r="M89" s="78">
        <v>0</v>
      </c>
      <c r="N89" s="78">
        <v>0</v>
      </c>
      <c r="O89" s="78">
        <v>0</v>
      </c>
      <c r="P89" s="78">
        <v>0</v>
      </c>
      <c r="Q89" s="78">
        <v>0</v>
      </c>
      <c r="R89" s="78">
        <v>0</v>
      </c>
      <c r="S89" s="78">
        <v>0</v>
      </c>
      <c r="T89" s="78">
        <v>0</v>
      </c>
      <c r="U89" s="66"/>
    </row>
    <row r="90" spans="1:21" x14ac:dyDescent="0.2">
      <c r="A90" s="66"/>
      <c r="B90" s="66"/>
      <c r="C90" s="66"/>
      <c r="D90" s="66"/>
      <c r="E90" s="66"/>
      <c r="F90" s="103"/>
      <c r="G90" s="66"/>
      <c r="H90" s="133"/>
      <c r="I90" s="133"/>
      <c r="J90" s="133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</row>
    <row r="91" spans="1:21" x14ac:dyDescent="0.2">
      <c r="A91" s="66"/>
      <c r="B91" s="66"/>
      <c r="C91" s="66"/>
      <c r="D91" s="66"/>
      <c r="E91" s="66"/>
      <c r="F91" s="103"/>
      <c r="G91" s="66"/>
      <c r="H91" s="133"/>
      <c r="I91" s="133"/>
      <c r="J91" s="133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</row>
    <row r="92" spans="1:21" x14ac:dyDescent="0.2">
      <c r="A92" s="66"/>
      <c r="B92" s="66"/>
      <c r="C92" s="66"/>
      <c r="D92" s="66"/>
      <c r="E92" s="66"/>
      <c r="F92" s="103"/>
      <c r="G92" s="66"/>
      <c r="H92" s="133"/>
      <c r="I92" s="133"/>
      <c r="J92" s="133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</row>
    <row r="93" spans="1:21" x14ac:dyDescent="0.2">
      <c r="A93" s="66"/>
      <c r="B93" s="66"/>
      <c r="C93" s="66"/>
      <c r="D93" s="66"/>
      <c r="E93" s="66"/>
      <c r="F93" s="103"/>
      <c r="G93" s="66"/>
      <c r="H93" s="133"/>
      <c r="I93" s="133"/>
      <c r="J93" s="133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</row>
    <row r="94" spans="1:21" x14ac:dyDescent="0.2">
      <c r="A94" s="2"/>
      <c r="B94" s="66"/>
      <c r="C94" s="2"/>
      <c r="D94" s="2"/>
      <c r="E94" s="2"/>
      <c r="F94" s="103"/>
      <c r="G94" s="66"/>
      <c r="H94" s="133"/>
      <c r="I94" s="133"/>
      <c r="J94" s="133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x14ac:dyDescent="0.2">
      <c r="A95" s="2"/>
      <c r="B95" s="66"/>
      <c r="C95" s="229" t="s">
        <v>18</v>
      </c>
      <c r="D95" s="229"/>
      <c r="E95" s="2"/>
      <c r="F95" s="103"/>
      <c r="G95" s="66"/>
      <c r="H95" s="133"/>
      <c r="I95" s="133"/>
      <c r="J95" s="133"/>
      <c r="K95" s="2"/>
      <c r="L95" s="2"/>
      <c r="M95" s="2"/>
      <c r="N95" s="229" t="s">
        <v>19</v>
      </c>
      <c r="O95" s="229"/>
      <c r="P95" s="229"/>
      <c r="Q95" s="2"/>
      <c r="R95" s="2"/>
      <c r="S95" s="2"/>
      <c r="T95" s="2"/>
      <c r="U95" s="2"/>
    </row>
    <row r="96" spans="1:21" ht="15.75" customHeight="1" x14ac:dyDescent="0.2">
      <c r="A96" s="4"/>
      <c r="B96" s="67"/>
      <c r="C96" s="222"/>
      <c r="D96" s="222"/>
      <c r="E96" s="4"/>
      <c r="F96" s="104"/>
      <c r="G96" s="67"/>
      <c r="H96" s="132"/>
      <c r="I96" s="132"/>
      <c r="J96" s="132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21" ht="15.75" customHeight="1" thickBot="1" x14ac:dyDescent="0.25">
      <c r="A97" s="4"/>
      <c r="B97" s="67"/>
      <c r="C97" s="6"/>
      <c r="D97" s="6"/>
      <c r="E97" s="6"/>
      <c r="F97" s="6"/>
      <c r="G97" s="6"/>
      <c r="H97" s="6"/>
      <c r="I97" s="132"/>
      <c r="J97" s="132"/>
      <c r="K97" s="4"/>
      <c r="L97" s="4"/>
      <c r="M97" s="4"/>
      <c r="N97" s="6"/>
      <c r="O97" s="6"/>
      <c r="P97" s="6"/>
      <c r="Q97" s="6"/>
      <c r="R97" s="4"/>
      <c r="S97" s="4"/>
      <c r="T97" s="4"/>
      <c r="U97" s="4"/>
    </row>
  </sheetData>
  <mergeCells count="38">
    <mergeCell ref="C95:D95"/>
    <mergeCell ref="N95:P95"/>
    <mergeCell ref="C96:D96"/>
    <mergeCell ref="L1:O1"/>
    <mergeCell ref="L2:U2"/>
    <mergeCell ref="A5:T5"/>
    <mergeCell ref="A6:D6"/>
    <mergeCell ref="A9:A10"/>
    <mergeCell ref="C9:C10"/>
    <mergeCell ref="D9:D10"/>
    <mergeCell ref="E9:E10"/>
    <mergeCell ref="I9:T9"/>
    <mergeCell ref="E6:T6"/>
    <mergeCell ref="C70:C75"/>
    <mergeCell ref="C76:C78"/>
    <mergeCell ref="C79:C84"/>
    <mergeCell ref="W9:AH9"/>
    <mergeCell ref="G9:G10"/>
    <mergeCell ref="I76:T77"/>
    <mergeCell ref="F9:F10"/>
    <mergeCell ref="H9:H10"/>
    <mergeCell ref="D70:H75"/>
    <mergeCell ref="D76:H78"/>
    <mergeCell ref="G68:H68"/>
    <mergeCell ref="D79:H84"/>
    <mergeCell ref="A85:A89"/>
    <mergeCell ref="D85:G85"/>
    <mergeCell ref="D86:G86"/>
    <mergeCell ref="D87:G87"/>
    <mergeCell ref="D89:G89"/>
    <mergeCell ref="D88:G88"/>
    <mergeCell ref="B85:B89"/>
    <mergeCell ref="B9:B10"/>
    <mergeCell ref="B79:B84"/>
    <mergeCell ref="B76:B78"/>
    <mergeCell ref="B70:B75"/>
    <mergeCell ref="A79:A84"/>
    <mergeCell ref="A76:A7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BreakPreview" zoomScaleNormal="100" zoomScaleSheetLayoutView="100" workbookViewId="0">
      <selection activeCell="B16" sqref="B16"/>
    </sheetView>
  </sheetViews>
  <sheetFormatPr defaultColWidth="9.140625" defaultRowHeight="15" x14ac:dyDescent="0.25"/>
  <cols>
    <col min="1" max="1" width="5.7109375" style="181" customWidth="1"/>
    <col min="2" max="2" width="48.7109375" style="182" customWidth="1"/>
    <col min="3" max="3" width="21.5703125" style="183" customWidth="1"/>
    <col min="4" max="5" width="23.85546875" style="184" customWidth="1"/>
    <col min="6" max="6" width="10.85546875" style="185" bestFit="1" customWidth="1"/>
    <col min="7" max="7" width="24.85546875" style="185" customWidth="1"/>
    <col min="8" max="8" width="12" style="185" bestFit="1" customWidth="1"/>
    <col min="9" max="16384" width="9.140625" style="185"/>
  </cols>
  <sheetData>
    <row r="1" spans="1:7" s="144" customFormat="1" ht="18.75" x14ac:dyDescent="0.3">
      <c r="D1" s="145"/>
      <c r="E1" s="146" t="s">
        <v>20</v>
      </c>
    </row>
    <row r="2" spans="1:7" s="144" customFormat="1" ht="18.75" x14ac:dyDescent="0.3">
      <c r="D2" s="147"/>
      <c r="E2" s="148" t="s">
        <v>206</v>
      </c>
    </row>
    <row r="3" spans="1:7" s="144" customFormat="1" ht="18.75" x14ac:dyDescent="0.3">
      <c r="C3" s="149"/>
      <c r="D3" s="150"/>
      <c r="E3" s="150"/>
    </row>
    <row r="4" spans="1:7" s="144" customFormat="1" ht="18.75" x14ac:dyDescent="0.3">
      <c r="D4" s="150"/>
      <c r="E4" s="150"/>
    </row>
    <row r="5" spans="1:7" s="152" customFormat="1" ht="18.75" x14ac:dyDescent="0.3">
      <c r="A5" s="271" t="s">
        <v>196</v>
      </c>
      <c r="B5" s="271"/>
      <c r="C5" s="271"/>
      <c r="D5" s="271"/>
      <c r="E5" s="270"/>
      <c r="F5" s="151"/>
    </row>
    <row r="6" spans="1:7" s="152" customFormat="1" ht="18.75" x14ac:dyDescent="0.3">
      <c r="A6" s="153"/>
      <c r="B6" s="153"/>
      <c r="C6" s="153"/>
      <c r="D6" s="153"/>
      <c r="E6" s="187"/>
      <c r="F6" s="151"/>
    </row>
    <row r="7" spans="1:7" s="144" customFormat="1" ht="36" customHeight="1" x14ac:dyDescent="0.3">
      <c r="A7" s="269" t="s">
        <v>203</v>
      </c>
      <c r="B7" s="269"/>
      <c r="C7" s="269"/>
      <c r="D7" s="269"/>
      <c r="E7" s="270"/>
      <c r="F7" s="154"/>
    </row>
    <row r="8" spans="1:7" s="144" customFormat="1" ht="18" customHeight="1" x14ac:dyDescent="0.3">
      <c r="A8" s="269" t="s">
        <v>202</v>
      </c>
      <c r="B8" s="270"/>
      <c r="C8" s="270"/>
      <c r="D8" s="270"/>
      <c r="E8" s="270"/>
      <c r="F8" s="154"/>
    </row>
    <row r="9" spans="1:7" s="158" customFormat="1" ht="18.75" x14ac:dyDescent="0.3">
      <c r="A9" s="155"/>
      <c r="B9" s="156"/>
      <c r="C9" s="157"/>
      <c r="D9" s="268" t="s">
        <v>197</v>
      </c>
      <c r="E9" s="268"/>
    </row>
    <row r="10" spans="1:7" s="159" customFormat="1" ht="18.75" customHeight="1" x14ac:dyDescent="0.3">
      <c r="A10" s="278" t="s">
        <v>17</v>
      </c>
      <c r="B10" s="281" t="s">
        <v>198</v>
      </c>
      <c r="C10" s="284" t="s">
        <v>28</v>
      </c>
      <c r="D10" s="284"/>
      <c r="E10" s="284"/>
    </row>
    <row r="11" spans="1:7" s="159" customFormat="1" ht="18.75" x14ac:dyDescent="0.3">
      <c r="A11" s="279"/>
      <c r="B11" s="282"/>
      <c r="C11" s="284" t="s">
        <v>199</v>
      </c>
      <c r="D11" s="272">
        <v>2023</v>
      </c>
      <c r="E11" s="273"/>
    </row>
    <row r="12" spans="1:7" s="159" customFormat="1" ht="18.75" x14ac:dyDescent="0.3">
      <c r="A12" s="280"/>
      <c r="B12" s="283"/>
      <c r="C12" s="284"/>
      <c r="D12" s="274"/>
      <c r="E12" s="275"/>
    </row>
    <row r="13" spans="1:7" s="159" customFormat="1" ht="18.75" x14ac:dyDescent="0.3">
      <c r="A13" s="161">
        <v>1</v>
      </c>
      <c r="B13" s="160">
        <v>2</v>
      </c>
      <c r="C13" s="162">
        <v>3</v>
      </c>
      <c r="D13" s="285">
        <v>4</v>
      </c>
      <c r="E13" s="286"/>
    </row>
    <row r="14" spans="1:7" s="159" customFormat="1" ht="56.25" x14ac:dyDescent="0.3">
      <c r="A14" s="188">
        <v>1</v>
      </c>
      <c r="B14" s="189" t="s">
        <v>120</v>
      </c>
      <c r="C14" s="164"/>
      <c r="D14" s="287"/>
      <c r="E14" s="288"/>
      <c r="G14" s="163"/>
    </row>
    <row r="15" spans="1:7" s="159" customFormat="1" ht="18.75" x14ac:dyDescent="0.3">
      <c r="A15" s="188"/>
      <c r="B15" s="190" t="s">
        <v>210</v>
      </c>
      <c r="C15" s="164"/>
      <c r="D15" s="287"/>
      <c r="E15" s="288"/>
    </row>
    <row r="16" spans="1:7" s="166" customFormat="1" ht="37.5" x14ac:dyDescent="0.3">
      <c r="A16" s="191"/>
      <c r="B16" s="192" t="s">
        <v>211</v>
      </c>
      <c r="C16" s="165"/>
      <c r="D16" s="289"/>
      <c r="E16" s="290"/>
    </row>
    <row r="17" spans="1:5" s="167" customFormat="1" ht="33.75" customHeight="1" x14ac:dyDescent="0.3">
      <c r="A17" s="276" t="s">
        <v>201</v>
      </c>
      <c r="B17" s="276"/>
      <c r="C17" s="276"/>
      <c r="D17" s="276"/>
      <c r="E17" s="193"/>
    </row>
    <row r="18" spans="1:5" s="167" customFormat="1" ht="18.75" x14ac:dyDescent="0.3">
      <c r="A18" s="168"/>
      <c r="B18" s="169"/>
      <c r="C18" s="170"/>
      <c r="D18" s="171"/>
      <c r="E18" s="171"/>
    </row>
    <row r="19" spans="1:5" s="167" customFormat="1" ht="18.75" x14ac:dyDescent="0.3">
      <c r="A19" s="168"/>
      <c r="B19" s="169"/>
      <c r="C19" s="170"/>
      <c r="D19" s="171"/>
      <c r="E19" s="171"/>
    </row>
    <row r="20" spans="1:5" s="167" customFormat="1" ht="18.75" x14ac:dyDescent="0.3">
      <c r="A20" s="168"/>
      <c r="B20" s="169"/>
      <c r="C20" s="170"/>
      <c r="D20" s="171"/>
      <c r="E20" s="171"/>
    </row>
    <row r="21" spans="1:5" s="159" customFormat="1" ht="18.75" x14ac:dyDescent="0.3">
      <c r="A21" s="172" t="s">
        <v>200</v>
      </c>
      <c r="B21" s="172"/>
      <c r="C21" s="172" t="s">
        <v>209</v>
      </c>
      <c r="D21" s="173"/>
      <c r="E21" s="173"/>
    </row>
    <row r="22" spans="1:5" s="159" customFormat="1" ht="18.75" x14ac:dyDescent="0.3">
      <c r="A22" s="174"/>
      <c r="B22" s="174"/>
      <c r="C22" s="175"/>
      <c r="D22" s="174"/>
      <c r="E22" s="174"/>
    </row>
    <row r="23" spans="1:5" s="176" customFormat="1" ht="37.5" customHeight="1" x14ac:dyDescent="0.25">
      <c r="A23" s="277" t="s">
        <v>205</v>
      </c>
      <c r="B23" s="277"/>
      <c r="C23" s="277" t="s">
        <v>208</v>
      </c>
      <c r="D23" s="277"/>
      <c r="E23" s="186"/>
    </row>
    <row r="24" spans="1:5" s="159" customFormat="1" ht="18.75" x14ac:dyDescent="0.3">
      <c r="A24" s="177"/>
      <c r="B24" s="167"/>
      <c r="C24" s="177"/>
      <c r="D24" s="167"/>
      <c r="E24" s="167"/>
    </row>
    <row r="25" spans="1:5" s="159" customFormat="1" ht="18.75" x14ac:dyDescent="0.3">
      <c r="A25" s="177"/>
      <c r="B25" s="167"/>
      <c r="C25" s="177"/>
      <c r="D25" s="167"/>
      <c r="E25" s="167"/>
    </row>
    <row r="26" spans="1:5" s="159" customFormat="1" ht="18.75" x14ac:dyDescent="0.3">
      <c r="A26" s="172" t="s">
        <v>204</v>
      </c>
      <c r="B26" s="173"/>
      <c r="C26" s="172" t="s">
        <v>207</v>
      </c>
      <c r="D26" s="173"/>
      <c r="E26" s="173"/>
    </row>
    <row r="27" spans="1:5" s="159" customFormat="1" ht="18.75" x14ac:dyDescent="0.3">
      <c r="A27" s="178"/>
      <c r="B27" s="179"/>
      <c r="C27" s="180"/>
      <c r="D27" s="173"/>
      <c r="E27" s="173"/>
    </row>
  </sheetData>
  <mergeCells count="16">
    <mergeCell ref="A17:D17"/>
    <mergeCell ref="A23:B23"/>
    <mergeCell ref="C23:D23"/>
    <mergeCell ref="A10:A12"/>
    <mergeCell ref="B10:B12"/>
    <mergeCell ref="C11:C12"/>
    <mergeCell ref="C10:E10"/>
    <mergeCell ref="D13:E13"/>
    <mergeCell ref="D14:E14"/>
    <mergeCell ref="D15:E15"/>
    <mergeCell ref="D16:E16"/>
    <mergeCell ref="D9:E9"/>
    <mergeCell ref="A7:E7"/>
    <mergeCell ref="A8:E8"/>
    <mergeCell ref="A5:E5"/>
    <mergeCell ref="D11:E12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0"/>
  <sheetViews>
    <sheetView topLeftCell="A70" zoomScale="85" zoomScaleNormal="85" workbookViewId="0">
      <selection activeCell="L84" sqref="L84"/>
    </sheetView>
  </sheetViews>
  <sheetFormatPr defaultColWidth="8.7109375" defaultRowHeight="12.75" outlineLevelCol="1" x14ac:dyDescent="0.2"/>
  <cols>
    <col min="1" max="1" width="9.42578125" style="10" customWidth="1"/>
    <col min="2" max="2" width="12.140625" style="10" customWidth="1"/>
    <col min="3" max="3" width="36.7109375" style="10" customWidth="1"/>
    <col min="4" max="6" width="10.5703125" style="10" customWidth="1"/>
    <col min="7" max="7" width="19" style="10" customWidth="1" outlineLevel="1"/>
    <col min="8" max="8" width="10.5703125" style="10" customWidth="1" outlineLevel="1"/>
    <col min="9" max="9" width="10.5703125" style="10" customWidth="1"/>
    <col min="10" max="10" width="13.42578125" style="10" bestFit="1" customWidth="1"/>
    <col min="11" max="11" width="10.5703125" style="10" customWidth="1"/>
    <col min="12" max="12" width="13.85546875" style="10" customWidth="1"/>
    <col min="13" max="13" width="8.7109375" style="10"/>
    <col min="14" max="14" width="12.42578125" style="10" bestFit="1" customWidth="1"/>
    <col min="15" max="16384" width="8.7109375" style="10"/>
  </cols>
  <sheetData>
    <row r="1" spans="1:12" x14ac:dyDescent="0.2">
      <c r="I1" s="20" t="s">
        <v>20</v>
      </c>
    </row>
    <row r="2" spans="1:12" x14ac:dyDescent="0.2">
      <c r="C2" s="21"/>
      <c r="I2" s="22" t="s">
        <v>21</v>
      </c>
    </row>
    <row r="3" spans="1:12" x14ac:dyDescent="0.2">
      <c r="A3" s="20"/>
    </row>
    <row r="4" spans="1:12" x14ac:dyDescent="0.2">
      <c r="A4" s="23" t="s">
        <v>22</v>
      </c>
    </row>
    <row r="5" spans="1:12" x14ac:dyDescent="0.2">
      <c r="A5" s="23" t="s">
        <v>23</v>
      </c>
    </row>
    <row r="6" spans="1:12" x14ac:dyDescent="0.2">
      <c r="A6" s="23" t="s">
        <v>52</v>
      </c>
    </row>
    <row r="7" spans="1:12" ht="13.5" thickBot="1" x14ac:dyDescent="0.25">
      <c r="A7" s="24"/>
    </row>
    <row r="8" spans="1:12" s="25" customFormat="1" x14ac:dyDescent="0.2">
      <c r="A8" s="216" t="s">
        <v>17</v>
      </c>
      <c r="B8" s="210" t="s">
        <v>24</v>
      </c>
      <c r="C8" s="210" t="s">
        <v>25</v>
      </c>
      <c r="D8" s="210" t="s">
        <v>12</v>
      </c>
      <c r="E8" s="210" t="s">
        <v>26</v>
      </c>
      <c r="F8" s="210" t="s">
        <v>182</v>
      </c>
      <c r="G8" s="210" t="s">
        <v>137</v>
      </c>
      <c r="H8" s="210" t="s">
        <v>27</v>
      </c>
      <c r="I8" s="210" t="s">
        <v>28</v>
      </c>
      <c r="J8" s="210"/>
      <c r="K8" s="210"/>
      <c r="L8" s="210"/>
    </row>
    <row r="9" spans="1:12" s="25" customFormat="1" ht="15" customHeight="1" x14ac:dyDescent="0.2">
      <c r="A9" s="217"/>
      <c r="B9" s="194"/>
      <c r="C9" s="194"/>
      <c r="D9" s="194"/>
      <c r="E9" s="194"/>
      <c r="F9" s="194"/>
      <c r="G9" s="194"/>
      <c r="H9" s="194"/>
      <c r="I9" s="194" t="s">
        <v>29</v>
      </c>
      <c r="J9" s="194"/>
      <c r="K9" s="194" t="s">
        <v>30</v>
      </c>
      <c r="L9" s="194"/>
    </row>
    <row r="10" spans="1:12" s="25" customFormat="1" ht="15" customHeight="1" x14ac:dyDescent="0.2">
      <c r="A10" s="217"/>
      <c r="B10" s="194"/>
      <c r="C10" s="194"/>
      <c r="D10" s="194"/>
      <c r="E10" s="194"/>
      <c r="F10" s="194"/>
      <c r="G10" s="194"/>
      <c r="H10" s="194"/>
      <c r="I10" s="194"/>
      <c r="J10" s="194"/>
      <c r="K10" s="194" t="s">
        <v>44</v>
      </c>
      <c r="L10" s="194"/>
    </row>
    <row r="11" spans="1:12" s="25" customFormat="1" ht="26.25" thickBot="1" x14ac:dyDescent="0.25">
      <c r="A11" s="218"/>
      <c r="B11" s="211"/>
      <c r="C11" s="211"/>
      <c r="D11" s="211"/>
      <c r="E11" s="211"/>
      <c r="F11" s="211"/>
      <c r="G11" s="211"/>
      <c r="H11" s="211"/>
      <c r="I11" s="11" t="s">
        <v>31</v>
      </c>
      <c r="J11" s="11" t="s">
        <v>45</v>
      </c>
      <c r="K11" s="11" t="s">
        <v>31</v>
      </c>
      <c r="L11" s="11" t="s">
        <v>45</v>
      </c>
    </row>
    <row r="12" spans="1:12" ht="12.75" customHeight="1" x14ac:dyDescent="0.2">
      <c r="A12" s="212" t="s">
        <v>32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</row>
    <row r="13" spans="1:12" ht="51" x14ac:dyDescent="0.2">
      <c r="A13" s="26">
        <v>1</v>
      </c>
      <c r="B13" s="12" t="s">
        <v>68</v>
      </c>
      <c r="C13" s="27" t="s">
        <v>72</v>
      </c>
      <c r="D13" s="12"/>
      <c r="E13" s="12"/>
      <c r="F13" s="119" t="s">
        <v>183</v>
      </c>
      <c r="G13" s="28">
        <f>'разбивка по сметам'!$H4/1000</f>
        <v>3422.9059999999999</v>
      </c>
      <c r="H13" s="12"/>
      <c r="I13" s="12"/>
      <c r="J13" s="64">
        <f>'разбивка по сметам'!$L4/1000</f>
        <v>33421.392550000004</v>
      </c>
      <c r="K13" s="12"/>
      <c r="L13" s="28">
        <f>'разбивка по сметам'!T4/1000</f>
        <v>33421.392550000004</v>
      </c>
    </row>
    <row r="14" spans="1:12" ht="51" x14ac:dyDescent="0.2">
      <c r="A14" s="44">
        <v>2</v>
      </c>
      <c r="B14" s="43" t="s">
        <v>69</v>
      </c>
      <c r="C14" s="27" t="s">
        <v>73</v>
      </c>
      <c r="D14" s="43"/>
      <c r="E14" s="43"/>
      <c r="F14" s="119" t="s">
        <v>183</v>
      </c>
      <c r="G14" s="28">
        <f>'разбивка по сметам'!$H5/1000</f>
        <v>2296.4940000000001</v>
      </c>
      <c r="H14" s="43"/>
      <c r="I14" s="43"/>
      <c r="J14" s="64">
        <f>'разбивка по сметам'!$L5/1000</f>
        <v>22208.692270000003</v>
      </c>
      <c r="K14" s="43"/>
      <c r="L14" s="28">
        <f>'разбивка по сметам'!T5/1000</f>
        <v>22208.692270000003</v>
      </c>
    </row>
    <row r="15" spans="1:12" ht="51" x14ac:dyDescent="0.2">
      <c r="A15" s="44">
        <v>3</v>
      </c>
      <c r="B15" s="43" t="s">
        <v>70</v>
      </c>
      <c r="C15" s="27" t="s">
        <v>74</v>
      </c>
      <c r="D15" s="43"/>
      <c r="E15" s="43"/>
      <c r="F15" s="119" t="s">
        <v>183</v>
      </c>
      <c r="G15" s="28">
        <f>'разбивка по сметам'!$H6/1000</f>
        <v>1503.1849999999999</v>
      </c>
      <c r="H15" s="43"/>
      <c r="I15" s="43"/>
      <c r="J15" s="64">
        <f>'разбивка по сметам'!$L6/1000</f>
        <v>14624.578089999999</v>
      </c>
      <c r="K15" s="43"/>
      <c r="L15" s="28">
        <f>'разбивка по сметам'!T6/1000</f>
        <v>14624.578089999999</v>
      </c>
    </row>
    <row r="16" spans="1:12" ht="38.25" x14ac:dyDescent="0.2">
      <c r="A16" s="44">
        <v>4</v>
      </c>
      <c r="B16" s="43" t="s">
        <v>71</v>
      </c>
      <c r="C16" s="27" t="s">
        <v>75</v>
      </c>
      <c r="D16" s="43"/>
      <c r="E16" s="43"/>
      <c r="F16" s="119" t="s">
        <v>183</v>
      </c>
      <c r="G16" s="28">
        <f>'разбивка по сметам'!$H7/1000</f>
        <v>426.17700000000002</v>
      </c>
      <c r="H16" s="43"/>
      <c r="I16" s="43"/>
      <c r="J16" s="64">
        <f>'разбивка по сметам'!$L7/1000</f>
        <v>4067.0625000000005</v>
      </c>
      <c r="K16" s="43"/>
      <c r="L16" s="28">
        <f>'разбивка по сметам'!T7/1000</f>
        <v>4067.0625000000005</v>
      </c>
    </row>
    <row r="17" spans="1:12" ht="13.5" thickBot="1" x14ac:dyDescent="0.25">
      <c r="A17" s="195" t="s">
        <v>33</v>
      </c>
      <c r="B17" s="196"/>
      <c r="C17" s="197"/>
      <c r="D17" s="13" t="s">
        <v>46</v>
      </c>
      <c r="E17" s="13" t="s">
        <v>46</v>
      </c>
      <c r="F17" s="13"/>
      <c r="G17" s="30">
        <f>SUM(G13:G16)</f>
        <v>7648.7619999999988</v>
      </c>
      <c r="H17" s="29"/>
      <c r="I17" s="13" t="s">
        <v>46</v>
      </c>
      <c r="J17" s="30">
        <f>SUM(J13:J16)</f>
        <v>74321.725409999999</v>
      </c>
      <c r="K17" s="13" t="s">
        <v>46</v>
      </c>
      <c r="L17" s="30">
        <f>SUM(L13:L16)</f>
        <v>74321.725409999999</v>
      </c>
    </row>
    <row r="18" spans="1:12" x14ac:dyDescent="0.2">
      <c r="A18" s="214" t="s">
        <v>34</v>
      </c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</row>
    <row r="19" spans="1:12" x14ac:dyDescent="0.2">
      <c r="A19" s="291" t="s">
        <v>119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</row>
    <row r="20" spans="1:12" ht="38.25" x14ac:dyDescent="0.2">
      <c r="A20" s="26">
        <v>5</v>
      </c>
      <c r="B20" s="43" t="s">
        <v>85</v>
      </c>
      <c r="C20" s="27" t="s">
        <v>86</v>
      </c>
      <c r="D20" s="43"/>
      <c r="E20" s="31"/>
      <c r="F20" s="119" t="s">
        <v>183</v>
      </c>
      <c r="G20" s="28">
        <f>'разбивка по сметам'!H10/1000</f>
        <v>382.56400000000002</v>
      </c>
      <c r="H20" s="12"/>
      <c r="I20" s="31"/>
      <c r="J20" s="64">
        <f>'разбивка по сметам'!$L10/1000</f>
        <v>3391.0549999999998</v>
      </c>
      <c r="K20" s="31"/>
      <c r="L20" s="28">
        <f>'разбивка по сметам'!T10/1000</f>
        <v>3391.0549999999998</v>
      </c>
    </row>
    <row r="21" spans="1:12" ht="38.25" x14ac:dyDescent="0.2">
      <c r="A21" s="26">
        <v>6</v>
      </c>
      <c r="B21" s="43" t="s">
        <v>87</v>
      </c>
      <c r="C21" s="27" t="s">
        <v>88</v>
      </c>
      <c r="D21" s="43"/>
      <c r="E21" s="12"/>
      <c r="F21" s="119" t="s">
        <v>183</v>
      </c>
      <c r="G21" s="28">
        <f>'разбивка по сметам'!H11/1000</f>
        <v>1448.78</v>
      </c>
      <c r="H21" s="12"/>
      <c r="I21" s="12"/>
      <c r="J21" s="64">
        <f>'разбивка по сметам'!$L11/1000</f>
        <v>13406.789550000001</v>
      </c>
      <c r="K21" s="12"/>
      <c r="L21" s="28">
        <f>'разбивка по сметам'!T11/1000</f>
        <v>13406.789550000001</v>
      </c>
    </row>
    <row r="22" spans="1:12" ht="38.25" x14ac:dyDescent="0.2">
      <c r="A22" s="49">
        <v>7</v>
      </c>
      <c r="B22" s="43" t="s">
        <v>89</v>
      </c>
      <c r="C22" s="27" t="s">
        <v>90</v>
      </c>
      <c r="D22" s="43"/>
      <c r="E22" s="43"/>
      <c r="F22" s="119" t="s">
        <v>183</v>
      </c>
      <c r="G22" s="28">
        <f>'разбивка по сметам'!H12/1000</f>
        <v>2014.5029999999999</v>
      </c>
      <c r="H22" s="43"/>
      <c r="I22" s="43"/>
      <c r="J22" s="64">
        <f>'разбивка по сметам'!$L12/1000</f>
        <v>18595.070789999998</v>
      </c>
      <c r="K22" s="43"/>
      <c r="L22" s="28">
        <f>'разбивка по сметам'!T12/1000</f>
        <v>18595.070789999998</v>
      </c>
    </row>
    <row r="23" spans="1:12" ht="38.25" x14ac:dyDescent="0.2">
      <c r="A23" s="49">
        <v>8</v>
      </c>
      <c r="B23" s="43" t="s">
        <v>91</v>
      </c>
      <c r="C23" s="27" t="s">
        <v>92</v>
      </c>
      <c r="D23" s="43"/>
      <c r="E23" s="43"/>
      <c r="F23" s="119" t="s">
        <v>183</v>
      </c>
      <c r="G23" s="28">
        <f>'разбивка по сметам'!H13/1000</f>
        <v>77.587999999999994</v>
      </c>
      <c r="H23" s="43"/>
      <c r="I23" s="43"/>
      <c r="J23" s="64">
        <f>'разбивка по сметам'!$L13/1000</f>
        <v>685.49867000000006</v>
      </c>
      <c r="K23" s="43"/>
      <c r="L23" s="28">
        <f>'разбивка по сметам'!T13/1000</f>
        <v>685.49867000000006</v>
      </c>
    </row>
    <row r="24" spans="1:12" ht="38.25" x14ac:dyDescent="0.2">
      <c r="A24" s="49">
        <v>9</v>
      </c>
      <c r="B24" s="43" t="s">
        <v>93</v>
      </c>
      <c r="C24" s="27" t="s">
        <v>94</v>
      </c>
      <c r="D24" s="43"/>
      <c r="E24" s="43"/>
      <c r="F24" s="119" t="s">
        <v>183</v>
      </c>
      <c r="G24" s="28">
        <f>'разбивка по сметам'!H14/1000</f>
        <v>1234.2539999999999</v>
      </c>
      <c r="H24" s="43"/>
      <c r="I24" s="43"/>
      <c r="J24" s="64">
        <f>'разбивка по сметам'!$L14/1000</f>
        <v>11429.426619999998</v>
      </c>
      <c r="K24" s="43"/>
      <c r="L24" s="28">
        <f>'разбивка по сметам'!T14/1000</f>
        <v>11429.426619999998</v>
      </c>
    </row>
    <row r="25" spans="1:12" ht="38.25" x14ac:dyDescent="0.2">
      <c r="A25" s="49">
        <v>10</v>
      </c>
      <c r="B25" s="43" t="s">
        <v>95</v>
      </c>
      <c r="C25" s="27" t="s">
        <v>96</v>
      </c>
      <c r="D25" s="43"/>
      <c r="E25" s="43"/>
      <c r="F25" s="119" t="s">
        <v>183</v>
      </c>
      <c r="G25" s="28">
        <f>'разбивка по сметам'!H15/1000</f>
        <v>46.835000000000001</v>
      </c>
      <c r="H25" s="43"/>
      <c r="I25" s="43"/>
      <c r="J25" s="64">
        <f>'разбивка по сметам'!$L15/1000</f>
        <v>407.16795000000002</v>
      </c>
      <c r="K25" s="43"/>
      <c r="L25" s="28">
        <f>'разбивка по сметам'!T15/1000</f>
        <v>407.16795000000002</v>
      </c>
    </row>
    <row r="26" spans="1:12" ht="38.25" x14ac:dyDescent="0.2">
      <c r="A26" s="49">
        <v>11</v>
      </c>
      <c r="B26" s="43" t="s">
        <v>97</v>
      </c>
      <c r="C26" s="27" t="s">
        <v>98</v>
      </c>
      <c r="D26" s="43"/>
      <c r="E26" s="43"/>
      <c r="F26" s="119" t="s">
        <v>183</v>
      </c>
      <c r="G26" s="28">
        <f>'разбивка по сметам'!H16/1000</f>
        <v>45.720999999999997</v>
      </c>
      <c r="H26" s="43"/>
      <c r="I26" s="43"/>
      <c r="J26" s="64">
        <f>'разбивка по сметам'!$L16/1000</f>
        <v>396.84116999999998</v>
      </c>
      <c r="K26" s="43"/>
      <c r="L26" s="28">
        <f>'разбивка по сметам'!T16/1000</f>
        <v>396.84116999999998</v>
      </c>
    </row>
    <row r="27" spans="1:12" ht="38.25" x14ac:dyDescent="0.2">
      <c r="A27" s="49">
        <v>12</v>
      </c>
      <c r="B27" s="43" t="s">
        <v>99</v>
      </c>
      <c r="C27" s="27" t="s">
        <v>100</v>
      </c>
      <c r="D27" s="43"/>
      <c r="E27" s="43"/>
      <c r="F27" s="119" t="s">
        <v>183</v>
      </c>
      <c r="G27" s="28">
        <f>'разбивка по сметам'!H17/1000</f>
        <v>115.64</v>
      </c>
      <c r="H27" s="43"/>
      <c r="I27" s="43"/>
      <c r="J27" s="64">
        <f>'разбивка по сметам'!$L17/1000</f>
        <v>997.32951999999977</v>
      </c>
      <c r="K27" s="43"/>
      <c r="L27" s="28">
        <f>'разбивка по сметам'!T17/1000</f>
        <v>997.32951999999977</v>
      </c>
    </row>
    <row r="28" spans="1:12" ht="38.25" x14ac:dyDescent="0.2">
      <c r="A28" s="49">
        <v>13</v>
      </c>
      <c r="B28" s="43" t="s">
        <v>101</v>
      </c>
      <c r="C28" s="27" t="s">
        <v>102</v>
      </c>
      <c r="D28" s="43"/>
      <c r="E28" s="43"/>
      <c r="F28" s="119" t="s">
        <v>183</v>
      </c>
      <c r="G28" s="28">
        <f>'разбивка по сметам'!H18/1000</f>
        <v>96.814999999999998</v>
      </c>
      <c r="H28" s="43"/>
      <c r="I28" s="43"/>
      <c r="J28" s="64">
        <f>'разбивка по сметам'!$L18/1000</f>
        <v>873.80200000000002</v>
      </c>
      <c r="K28" s="43"/>
      <c r="L28" s="28">
        <f>'разбивка по сметам'!T18/1000</f>
        <v>873.80200000000002</v>
      </c>
    </row>
    <row r="29" spans="1:12" ht="38.25" x14ac:dyDescent="0.2">
      <c r="A29" s="49">
        <v>14</v>
      </c>
      <c r="B29" s="43" t="s">
        <v>103</v>
      </c>
      <c r="C29" s="27" t="s">
        <v>104</v>
      </c>
      <c r="D29" s="43"/>
      <c r="E29" s="43"/>
      <c r="F29" s="119" t="s">
        <v>183</v>
      </c>
      <c r="G29" s="28">
        <f>'разбивка по сметам'!H19/1000</f>
        <v>94.003</v>
      </c>
      <c r="H29" s="43"/>
      <c r="I29" s="43"/>
      <c r="J29" s="64">
        <f>'разбивка по сметам'!$L19/1000</f>
        <v>839.08500000000004</v>
      </c>
      <c r="K29" s="43"/>
      <c r="L29" s="28">
        <f>'разбивка по сметам'!T19/1000</f>
        <v>839.08500000000004</v>
      </c>
    </row>
    <row r="30" spans="1:12" ht="38.25" x14ac:dyDescent="0.2">
      <c r="A30" s="49">
        <v>15</v>
      </c>
      <c r="B30" s="43" t="s">
        <v>105</v>
      </c>
      <c r="C30" s="27" t="s">
        <v>106</v>
      </c>
      <c r="D30" s="43"/>
      <c r="E30" s="43"/>
      <c r="F30" s="119" t="s">
        <v>183</v>
      </c>
      <c r="G30" s="28">
        <f>'разбивка по сметам'!H20/1000</f>
        <v>2828.7460000000001</v>
      </c>
      <c r="H30" s="43"/>
      <c r="I30" s="43"/>
      <c r="J30" s="64">
        <f>'разбивка по сметам'!$L20/1000</f>
        <v>25239.785210000002</v>
      </c>
      <c r="K30" s="43"/>
      <c r="L30" s="28">
        <f>'разбивка по сметам'!T20/1000</f>
        <v>25239.785210000002</v>
      </c>
    </row>
    <row r="31" spans="1:12" ht="38.25" x14ac:dyDescent="0.2">
      <c r="A31" s="49">
        <v>16</v>
      </c>
      <c r="B31" s="43" t="s">
        <v>107</v>
      </c>
      <c r="C31" s="27" t="s">
        <v>108</v>
      </c>
      <c r="D31" s="43"/>
      <c r="E31" s="43"/>
      <c r="F31" s="119" t="s">
        <v>183</v>
      </c>
      <c r="G31" s="28">
        <f>'разбивка по сметам'!H21/1000</f>
        <v>1788.585</v>
      </c>
      <c r="H31" s="43"/>
      <c r="I31" s="43"/>
      <c r="J31" s="64">
        <f>'разбивка по сметам'!$L21/1000</f>
        <v>16517.599490000001</v>
      </c>
      <c r="K31" s="43"/>
      <c r="L31" s="28">
        <f>'разбивка по сметам'!T21/1000</f>
        <v>16517.599490000001</v>
      </c>
    </row>
    <row r="32" spans="1:12" ht="38.25" x14ac:dyDescent="0.2">
      <c r="A32" s="49">
        <v>17</v>
      </c>
      <c r="B32" s="43" t="s">
        <v>109</v>
      </c>
      <c r="C32" s="27" t="s">
        <v>110</v>
      </c>
      <c r="D32" s="43"/>
      <c r="E32" s="43"/>
      <c r="F32" s="119" t="s">
        <v>183</v>
      </c>
      <c r="G32" s="28">
        <f>'разбивка по сметам'!H22/1000</f>
        <v>54.966000000000001</v>
      </c>
      <c r="H32" s="43"/>
      <c r="I32" s="43"/>
      <c r="J32" s="64">
        <f>'разбивка по сметам'!$L22/1000</f>
        <v>413.78934999999996</v>
      </c>
      <c r="K32" s="43"/>
      <c r="L32" s="28">
        <f>'разбивка по сметам'!T22/1000</f>
        <v>413.78934999999996</v>
      </c>
    </row>
    <row r="33" spans="1:12" ht="38.25" x14ac:dyDescent="0.2">
      <c r="A33" s="49">
        <v>18</v>
      </c>
      <c r="B33" s="43" t="s">
        <v>111</v>
      </c>
      <c r="C33" s="27" t="s">
        <v>112</v>
      </c>
      <c r="D33" s="43"/>
      <c r="E33" s="43"/>
      <c r="F33" s="119" t="s">
        <v>183</v>
      </c>
      <c r="G33" s="28">
        <f>'разбивка по сметам'!H23/1000</f>
        <v>89.685000000000002</v>
      </c>
      <c r="H33" s="43"/>
      <c r="I33" s="43"/>
      <c r="J33" s="64">
        <f>'разбивка по сметам'!$L23/1000</f>
        <v>807.70690000000002</v>
      </c>
      <c r="K33" s="43"/>
      <c r="L33" s="28">
        <f>'разбивка по сметам'!T23/1000</f>
        <v>807.70690000000002</v>
      </c>
    </row>
    <row r="34" spans="1:12" ht="38.25" x14ac:dyDescent="0.2">
      <c r="A34" s="49">
        <v>19</v>
      </c>
      <c r="B34" s="43" t="s">
        <v>113</v>
      </c>
      <c r="C34" s="27" t="s">
        <v>114</v>
      </c>
      <c r="D34" s="43"/>
      <c r="E34" s="43"/>
      <c r="F34" s="119" t="s">
        <v>183</v>
      </c>
      <c r="G34" s="28">
        <f>'разбивка по сметам'!H24/1000</f>
        <v>727.59799999999996</v>
      </c>
      <c r="H34" s="43"/>
      <c r="I34" s="43"/>
      <c r="J34" s="64">
        <f>'разбивка по сметам'!$L24/1000</f>
        <v>6467.6381100000008</v>
      </c>
      <c r="K34" s="43"/>
      <c r="L34" s="28">
        <f>'разбивка по сметам'!T24/1000</f>
        <v>6467.6381100000008</v>
      </c>
    </row>
    <row r="35" spans="1:12" ht="38.25" x14ac:dyDescent="0.2">
      <c r="A35" s="49">
        <v>20</v>
      </c>
      <c r="B35" s="43" t="s">
        <v>115</v>
      </c>
      <c r="C35" s="27" t="s">
        <v>116</v>
      </c>
      <c r="D35" s="43"/>
      <c r="E35" s="43"/>
      <c r="F35" s="119" t="s">
        <v>183</v>
      </c>
      <c r="G35" s="28">
        <f>'разбивка по сметам'!H25/1000</f>
        <v>105.279</v>
      </c>
      <c r="H35" s="43"/>
      <c r="I35" s="43"/>
      <c r="J35" s="64">
        <f>'разбивка по сметам'!$L25/1000</f>
        <v>952.16823999999997</v>
      </c>
      <c r="K35" s="43"/>
      <c r="L35" s="28">
        <f>'разбивка по сметам'!T25/1000</f>
        <v>952.16823999999997</v>
      </c>
    </row>
    <row r="36" spans="1:12" ht="12.75" customHeight="1" x14ac:dyDescent="0.2">
      <c r="A36" s="291" t="s">
        <v>76</v>
      </c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</row>
    <row r="37" spans="1:12" ht="25.5" x14ac:dyDescent="0.2">
      <c r="A37" s="44">
        <v>21</v>
      </c>
      <c r="B37" s="43" t="s">
        <v>128</v>
      </c>
      <c r="C37" s="27" t="s">
        <v>77</v>
      </c>
      <c r="D37" s="43"/>
      <c r="E37" s="43"/>
      <c r="F37" s="92" t="s">
        <v>184</v>
      </c>
      <c r="G37" s="28">
        <f>'разбивка по сметам'!H27/1000</f>
        <v>30890.041000000001</v>
      </c>
      <c r="H37" s="43"/>
      <c r="I37" s="43"/>
      <c r="J37" s="64">
        <f>'разбивка по сметам'!$L27/1000</f>
        <v>269549.77541</v>
      </c>
      <c r="K37" s="43"/>
      <c r="L37" s="28">
        <f>'разбивка по сметам'!T27/1000</f>
        <v>181341.89462000001</v>
      </c>
    </row>
    <row r="38" spans="1:12" ht="25.5" x14ac:dyDescent="0.2">
      <c r="A38" s="44">
        <v>22</v>
      </c>
      <c r="B38" s="43" t="s">
        <v>129</v>
      </c>
      <c r="C38" s="27" t="s">
        <v>78</v>
      </c>
      <c r="D38" s="43"/>
      <c r="E38" s="43"/>
      <c r="F38" s="92" t="s">
        <v>184</v>
      </c>
      <c r="G38" s="28">
        <f>'разбивка по сметам'!H28/1000</f>
        <v>31943.183000000001</v>
      </c>
      <c r="H38" s="43"/>
      <c r="I38" s="43"/>
      <c r="J38" s="64">
        <f>'разбивка по сметам'!$L28/1000</f>
        <v>275660.57863</v>
      </c>
      <c r="K38" s="43"/>
      <c r="L38" s="28">
        <f>'разбивка по сметам'!T28/1000</f>
        <v>193575.07744999998</v>
      </c>
    </row>
    <row r="39" spans="1:12" ht="25.5" x14ac:dyDescent="0.2">
      <c r="A39" s="49">
        <v>23</v>
      </c>
      <c r="B39" s="43" t="s">
        <v>130</v>
      </c>
      <c r="C39" s="27" t="s">
        <v>79</v>
      </c>
      <c r="D39" s="43"/>
      <c r="E39" s="43"/>
      <c r="F39" s="92" t="s">
        <v>184</v>
      </c>
      <c r="G39" s="28">
        <f>'разбивка по сметам'!H29/1000</f>
        <v>21557.821</v>
      </c>
      <c r="H39" s="43"/>
      <c r="I39" s="43"/>
      <c r="J39" s="64">
        <f>'разбивка по сметам'!$L29/1000</f>
        <v>185110.46446000002</v>
      </c>
      <c r="K39" s="43"/>
      <c r="L39" s="28">
        <f>'разбивка по сметам'!T29/1000</f>
        <v>117984.34531</v>
      </c>
    </row>
    <row r="40" spans="1:12" ht="102" x14ac:dyDescent="0.2">
      <c r="A40" s="49">
        <v>24</v>
      </c>
      <c r="B40" s="43" t="s">
        <v>131</v>
      </c>
      <c r="C40" s="27" t="s">
        <v>80</v>
      </c>
      <c r="D40" s="43"/>
      <c r="E40" s="43"/>
      <c r="F40" s="120" t="s">
        <v>185</v>
      </c>
      <c r="G40" s="28">
        <f>'разбивка по сметам'!H30/1000</f>
        <v>13357.947</v>
      </c>
      <c r="H40" s="43"/>
      <c r="I40" s="43"/>
      <c r="J40" s="64">
        <f>'разбивка по сметам'!$L30/1000</f>
        <v>113152.10911</v>
      </c>
      <c r="K40" s="43"/>
      <c r="L40" s="28">
        <f>'разбивка по сметам'!T30/1000</f>
        <v>83219.755369999999</v>
      </c>
    </row>
    <row r="41" spans="1:12" ht="25.5" x14ac:dyDescent="0.2">
      <c r="A41" s="49">
        <v>25</v>
      </c>
      <c r="B41" s="43" t="s">
        <v>132</v>
      </c>
      <c r="C41" s="27" t="s">
        <v>81</v>
      </c>
      <c r="D41" s="43"/>
      <c r="E41" s="43"/>
      <c r="F41" s="119" t="s">
        <v>46</v>
      </c>
      <c r="G41" s="28">
        <f>'разбивка по сметам'!H31/1000</f>
        <v>12243.638999999999</v>
      </c>
      <c r="H41" s="43"/>
      <c r="I41" s="43"/>
      <c r="J41" s="64">
        <f>'разбивка по сметам'!$L31/1000</f>
        <v>110640.30298999998</v>
      </c>
      <c r="K41" s="43"/>
      <c r="L41" s="28">
        <f>'разбивка по сметам'!T31/1000</f>
        <v>0</v>
      </c>
    </row>
    <row r="42" spans="1:12" ht="25.5" x14ac:dyDescent="0.2">
      <c r="A42" s="49">
        <v>26</v>
      </c>
      <c r="B42" s="43" t="s">
        <v>133</v>
      </c>
      <c r="C42" s="27" t="s">
        <v>82</v>
      </c>
      <c r="D42" s="43"/>
      <c r="E42" s="43"/>
      <c r="F42" s="119" t="s">
        <v>46</v>
      </c>
      <c r="G42" s="28">
        <f>'разбивка по сметам'!H32/1000</f>
        <v>9449.18</v>
      </c>
      <c r="H42" s="43"/>
      <c r="I42" s="43"/>
      <c r="J42" s="64">
        <f>'разбивка по сметам'!$L32/1000</f>
        <v>85339.579400000002</v>
      </c>
      <c r="K42" s="43"/>
      <c r="L42" s="28">
        <f>'разбивка по сметам'!T32/1000</f>
        <v>0</v>
      </c>
    </row>
    <row r="43" spans="1:12" ht="25.5" x14ac:dyDescent="0.2">
      <c r="A43" s="49">
        <v>27</v>
      </c>
      <c r="B43" s="43" t="s">
        <v>134</v>
      </c>
      <c r="C43" s="27" t="s">
        <v>83</v>
      </c>
      <c r="D43" s="43"/>
      <c r="E43" s="43"/>
      <c r="F43" s="92" t="s">
        <v>184</v>
      </c>
      <c r="G43" s="28">
        <f>'разбивка по сметам'!H33/1000</f>
        <v>13295.196</v>
      </c>
      <c r="H43" s="43"/>
      <c r="I43" s="43"/>
      <c r="J43" s="131">
        <f>'разбивка по сметам'!$L33/1000</f>
        <v>115817.78015999999</v>
      </c>
      <c r="K43" s="43"/>
      <c r="L43" s="130">
        <f>'разбивка по сметам'!T33/1000*0.7</f>
        <v>81072.446112000005</v>
      </c>
    </row>
    <row r="44" spans="1:12" ht="25.5" x14ac:dyDescent="0.2">
      <c r="A44" s="49">
        <v>28</v>
      </c>
      <c r="B44" s="43" t="s">
        <v>135</v>
      </c>
      <c r="C44" s="27" t="s">
        <v>84</v>
      </c>
      <c r="D44" s="43"/>
      <c r="E44" s="43"/>
      <c r="F44" s="92" t="s">
        <v>184</v>
      </c>
      <c r="G44" s="28">
        <f>'разбивка по сметам'!H34/1000</f>
        <v>5208.1130000000003</v>
      </c>
      <c r="H44" s="43"/>
      <c r="I44" s="43"/>
      <c r="J44" s="64">
        <f>'разбивка по сметам'!$L34/1000</f>
        <v>46787.930079999998</v>
      </c>
      <c r="K44" s="43"/>
      <c r="L44" s="28">
        <f>'разбивка по сметам'!T34/1000</f>
        <v>0</v>
      </c>
    </row>
    <row r="45" spans="1:12" ht="25.5" x14ac:dyDescent="0.2">
      <c r="A45" s="108">
        <v>29</v>
      </c>
      <c r="B45" s="106" t="s">
        <v>151</v>
      </c>
      <c r="C45" s="27" t="s">
        <v>152</v>
      </c>
      <c r="D45" s="107"/>
      <c r="E45" s="107"/>
      <c r="F45" s="119" t="s">
        <v>183</v>
      </c>
      <c r="G45" s="28">
        <f>'разбивка по сметам'!H35/1000</f>
        <v>405.25</v>
      </c>
      <c r="H45" s="107"/>
      <c r="I45" s="107"/>
      <c r="J45" s="64">
        <f>'разбивка по сметам'!$L35/1000</f>
        <v>4149.7299999999996</v>
      </c>
      <c r="K45" s="107"/>
      <c r="L45" s="28">
        <f>'разбивка по сметам'!T35/1000</f>
        <v>4149.7299999999996</v>
      </c>
    </row>
    <row r="46" spans="1:12" ht="25.5" x14ac:dyDescent="0.2">
      <c r="A46" s="108">
        <v>30</v>
      </c>
      <c r="B46" s="106" t="s">
        <v>153</v>
      </c>
      <c r="C46" s="27" t="s">
        <v>154</v>
      </c>
      <c r="D46" s="107"/>
      <c r="E46" s="107"/>
      <c r="F46" s="119" t="s">
        <v>183</v>
      </c>
      <c r="G46" s="28">
        <f>'разбивка по сметам'!H36/1000</f>
        <v>61788.41</v>
      </c>
      <c r="H46" s="107"/>
      <c r="I46" s="107"/>
      <c r="J46" s="64">
        <f>'разбивка по сметам'!$L36/1000</f>
        <v>350132.03</v>
      </c>
      <c r="K46" s="107"/>
      <c r="L46" s="28">
        <f>'разбивка по сметам'!T36/1000</f>
        <v>350132.03</v>
      </c>
    </row>
    <row r="47" spans="1:12" ht="25.5" x14ac:dyDescent="0.2">
      <c r="A47" s="108">
        <v>31</v>
      </c>
      <c r="B47" s="106" t="s">
        <v>155</v>
      </c>
      <c r="C47" s="27" t="s">
        <v>154</v>
      </c>
      <c r="D47" s="107"/>
      <c r="E47" s="107"/>
      <c r="F47" s="119" t="s">
        <v>183</v>
      </c>
      <c r="G47" s="28">
        <f>'разбивка по сметам'!H37/1000</f>
        <v>3950.1</v>
      </c>
      <c r="H47" s="107"/>
      <c r="I47" s="107"/>
      <c r="J47" s="64">
        <f>'разбивка по сметам'!$L37/1000</f>
        <v>22412.03</v>
      </c>
      <c r="K47" s="107"/>
      <c r="L47" s="28">
        <f>'разбивка по сметам'!T37/1000</f>
        <v>22412.03</v>
      </c>
    </row>
    <row r="48" spans="1:12" ht="25.5" x14ac:dyDescent="0.2">
      <c r="A48" s="108">
        <v>32</v>
      </c>
      <c r="B48" s="106" t="s">
        <v>156</v>
      </c>
      <c r="C48" s="27" t="s">
        <v>154</v>
      </c>
      <c r="D48" s="107"/>
      <c r="E48" s="107"/>
      <c r="F48" s="119" t="s">
        <v>183</v>
      </c>
      <c r="G48" s="28">
        <f>'разбивка по сметам'!H38/1000</f>
        <v>707.15</v>
      </c>
      <c r="H48" s="107"/>
      <c r="I48" s="107"/>
      <c r="J48" s="64">
        <f>'разбивка по сметам'!$L38/1000</f>
        <v>4923.6099999999997</v>
      </c>
      <c r="K48" s="107"/>
      <c r="L48" s="28">
        <f>'разбивка по сметам'!T38/1000</f>
        <v>4923.6099999999997</v>
      </c>
    </row>
    <row r="49" spans="1:13" ht="25.5" x14ac:dyDescent="0.2">
      <c r="A49" s="108">
        <v>33</v>
      </c>
      <c r="B49" s="106" t="s">
        <v>157</v>
      </c>
      <c r="C49" s="27" t="s">
        <v>154</v>
      </c>
      <c r="D49" s="107"/>
      <c r="E49" s="107"/>
      <c r="F49" s="119" t="s">
        <v>183</v>
      </c>
      <c r="G49" s="28">
        <f>'разбивка по сметам'!H39/1000</f>
        <v>341.06</v>
      </c>
      <c r="H49" s="107"/>
      <c r="I49" s="107"/>
      <c r="J49" s="64">
        <f>'разбивка по сметам'!$L39/1000</f>
        <v>2014.16</v>
      </c>
      <c r="K49" s="107"/>
      <c r="L49" s="28">
        <f>'разбивка по сметам'!T39/1000</f>
        <v>2014.16</v>
      </c>
    </row>
    <row r="50" spans="1:13" ht="25.5" x14ac:dyDescent="0.2">
      <c r="A50" s="108">
        <v>34</v>
      </c>
      <c r="B50" s="106" t="s">
        <v>158</v>
      </c>
      <c r="C50" s="27" t="s">
        <v>159</v>
      </c>
      <c r="D50" s="107"/>
      <c r="E50" s="107"/>
      <c r="F50" s="119" t="s">
        <v>183</v>
      </c>
      <c r="G50" s="28">
        <f>'разбивка по сметам'!H40/1000</f>
        <v>556.73</v>
      </c>
      <c r="H50" s="107"/>
      <c r="I50" s="107"/>
      <c r="J50" s="64">
        <f>'разбивка по сметам'!$L40/1000</f>
        <v>5055.8999999999996</v>
      </c>
      <c r="K50" s="107"/>
      <c r="L50" s="28">
        <f>'разбивка по сметам'!T40/1000</f>
        <v>5055.8999999999996</v>
      </c>
    </row>
    <row r="51" spans="1:13" ht="25.5" x14ac:dyDescent="0.2">
      <c r="A51" s="108">
        <v>35</v>
      </c>
      <c r="B51" s="106" t="s">
        <v>160</v>
      </c>
      <c r="C51" s="27" t="s">
        <v>161</v>
      </c>
      <c r="D51" s="107"/>
      <c r="E51" s="107"/>
      <c r="F51" s="119" t="s">
        <v>183</v>
      </c>
      <c r="G51" s="28">
        <f>'разбивка по сметам'!H41/1000</f>
        <v>918.61</v>
      </c>
      <c r="H51" s="107"/>
      <c r="I51" s="107"/>
      <c r="J51" s="64">
        <f>'разбивка по сметам'!$L41/1000</f>
        <v>5392.84</v>
      </c>
      <c r="K51" s="107"/>
      <c r="L51" s="28">
        <f>'разбивка по сметам'!T41/1000</f>
        <v>5392.84</v>
      </c>
    </row>
    <row r="52" spans="1:13" ht="63.75" x14ac:dyDescent="0.2">
      <c r="A52" s="108">
        <v>36</v>
      </c>
      <c r="B52" s="106" t="s">
        <v>162</v>
      </c>
      <c r="C52" s="27" t="s">
        <v>163</v>
      </c>
      <c r="D52" s="107"/>
      <c r="E52" s="107"/>
      <c r="F52" s="119" t="s">
        <v>183</v>
      </c>
      <c r="G52" s="28">
        <v>73.960999999999999</v>
      </c>
      <c r="H52" s="107"/>
      <c r="I52" s="107"/>
      <c r="J52" s="28">
        <f>G52*10.14</f>
        <v>749.96454000000006</v>
      </c>
      <c r="K52" s="115"/>
      <c r="L52" s="28">
        <f>J52</f>
        <v>749.96454000000006</v>
      </c>
      <c r="M52" s="10" t="s">
        <v>189</v>
      </c>
    </row>
    <row r="53" spans="1:13" ht="76.5" x14ac:dyDescent="0.2">
      <c r="A53" s="108">
        <v>37</v>
      </c>
      <c r="B53" s="106" t="s">
        <v>164</v>
      </c>
      <c r="C53" s="27" t="s">
        <v>165</v>
      </c>
      <c r="D53" s="107"/>
      <c r="E53" s="107"/>
      <c r="F53" s="119" t="s">
        <v>183</v>
      </c>
      <c r="G53" s="28">
        <v>7644.32</v>
      </c>
      <c r="H53" s="107"/>
      <c r="I53" s="107"/>
      <c r="J53" s="28">
        <v>43260.666259999998</v>
      </c>
      <c r="K53" s="115"/>
      <c r="L53" s="28">
        <f t="shared" ref="L53:L55" si="0">J53</f>
        <v>43260.666259999998</v>
      </c>
      <c r="M53" s="10" t="s">
        <v>189</v>
      </c>
    </row>
    <row r="54" spans="1:13" ht="63.75" x14ac:dyDescent="0.2">
      <c r="A54" s="108">
        <v>38</v>
      </c>
      <c r="B54" s="106" t="s">
        <v>166</v>
      </c>
      <c r="C54" s="27" t="s">
        <v>167</v>
      </c>
      <c r="D54" s="107"/>
      <c r="E54" s="107"/>
      <c r="F54" s="119" t="s">
        <v>183</v>
      </c>
      <c r="G54" s="28">
        <v>369.23</v>
      </c>
      <c r="H54" s="107"/>
      <c r="I54" s="107"/>
      <c r="J54" s="28">
        <v>2361.0634899999995</v>
      </c>
      <c r="K54" s="115"/>
      <c r="L54" s="28">
        <f t="shared" si="0"/>
        <v>2361.0634899999995</v>
      </c>
      <c r="M54" s="10" t="s">
        <v>189</v>
      </c>
    </row>
    <row r="55" spans="1:13" ht="51" x14ac:dyDescent="0.2">
      <c r="A55" s="108">
        <v>39</v>
      </c>
      <c r="B55" s="106" t="s">
        <v>168</v>
      </c>
      <c r="C55" s="27" t="s">
        <v>169</v>
      </c>
      <c r="D55" s="107"/>
      <c r="E55" s="107"/>
      <c r="F55" s="119" t="s">
        <v>183</v>
      </c>
      <c r="G55" s="28">
        <v>16.462</v>
      </c>
      <c r="H55" s="107"/>
      <c r="I55" s="107"/>
      <c r="J55" s="28">
        <f>G55*8.58</f>
        <v>141.24395999999999</v>
      </c>
      <c r="K55" s="115"/>
      <c r="L55" s="28">
        <f t="shared" si="0"/>
        <v>141.24395999999999</v>
      </c>
      <c r="M55" s="10" t="s">
        <v>189</v>
      </c>
    </row>
    <row r="56" spans="1:13" ht="76.5" x14ac:dyDescent="0.2">
      <c r="A56" s="108">
        <v>40</v>
      </c>
      <c r="B56" s="106" t="s">
        <v>170</v>
      </c>
      <c r="C56" s="27" t="s">
        <v>171</v>
      </c>
      <c r="D56" s="107"/>
      <c r="E56" s="107"/>
      <c r="F56" s="119" t="s">
        <v>183</v>
      </c>
      <c r="G56" s="28">
        <v>71.094999999999999</v>
      </c>
      <c r="H56" s="107"/>
      <c r="I56" s="107"/>
      <c r="J56" s="28">
        <f>G56*10.24</f>
        <v>728.01279999999997</v>
      </c>
      <c r="K56" s="115"/>
      <c r="L56" s="28">
        <f t="shared" ref="L56:L57" si="1">J56</f>
        <v>728.01279999999997</v>
      </c>
      <c r="M56" s="10" t="s">
        <v>189</v>
      </c>
    </row>
    <row r="57" spans="1:13" ht="63.75" x14ac:dyDescent="0.2">
      <c r="A57" s="108">
        <v>41</v>
      </c>
      <c r="B57" s="106" t="s">
        <v>172</v>
      </c>
      <c r="C57" s="27" t="s">
        <v>173</v>
      </c>
      <c r="D57" s="107"/>
      <c r="E57" s="107"/>
      <c r="F57" s="119" t="s">
        <v>183</v>
      </c>
      <c r="G57" s="28">
        <v>29.86</v>
      </c>
      <c r="H57" s="107"/>
      <c r="I57" s="107"/>
      <c r="J57" s="28">
        <v>191.71502000000001</v>
      </c>
      <c r="K57" s="115"/>
      <c r="L57" s="28">
        <f t="shared" si="1"/>
        <v>191.71502000000001</v>
      </c>
      <c r="M57" s="10" t="s">
        <v>189</v>
      </c>
    </row>
    <row r="58" spans="1:13" ht="12.95" customHeight="1" thickBot="1" x14ac:dyDescent="0.25">
      <c r="A58" s="223" t="s">
        <v>35</v>
      </c>
      <c r="B58" s="224"/>
      <c r="C58" s="225"/>
      <c r="D58" s="14" t="s">
        <v>46</v>
      </c>
      <c r="E58" s="14" t="s">
        <v>46</v>
      </c>
      <c r="F58" s="14"/>
      <c r="G58" s="33">
        <f>SUM(G20:G35)+SUM(G37:G57)</f>
        <v>225968.92</v>
      </c>
      <c r="H58" s="32"/>
      <c r="I58" s="14" t="s">
        <v>46</v>
      </c>
      <c r="J58" s="33">
        <f>SUM(J20:J35)+SUM(J37:J57)</f>
        <v>1744992.2398800005</v>
      </c>
      <c r="K58" s="14" t="s">
        <v>46</v>
      </c>
      <c r="L58" s="33">
        <f>SUM(L20:L35)+SUM(L37:L57)</f>
        <v>1200127.2385020005</v>
      </c>
    </row>
    <row r="59" spans="1:13" x14ac:dyDescent="0.2">
      <c r="A59" s="208" t="s">
        <v>36</v>
      </c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</row>
    <row r="60" spans="1:13" x14ac:dyDescent="0.2">
      <c r="A60" s="206" t="s">
        <v>117</v>
      </c>
      <c r="B60" s="207"/>
      <c r="C60" s="207"/>
      <c r="D60" s="207"/>
      <c r="E60" s="207"/>
      <c r="F60" s="207"/>
      <c r="G60" s="207"/>
      <c r="H60" s="207"/>
      <c r="I60" s="207"/>
      <c r="J60" s="207"/>
      <c r="K60" s="207"/>
      <c r="L60" s="207"/>
    </row>
    <row r="61" spans="1:13" ht="38.25" x14ac:dyDescent="0.2">
      <c r="A61" s="44">
        <v>42</v>
      </c>
      <c r="B61" s="43" t="s">
        <v>47</v>
      </c>
      <c r="C61" s="27" t="s">
        <v>53</v>
      </c>
      <c r="D61" s="43"/>
      <c r="E61" s="31"/>
      <c r="F61" s="119" t="s">
        <v>183</v>
      </c>
      <c r="G61" s="28">
        <f>'разбивка по сметам'!H50/1000</f>
        <v>448.04</v>
      </c>
      <c r="H61" s="43"/>
      <c r="I61" s="31"/>
      <c r="J61" s="64">
        <f>'разбивка по сметам'!$L50/1000</f>
        <v>1983.5832000000003</v>
      </c>
      <c r="K61" s="31"/>
      <c r="L61" s="28">
        <f>'разбивка по сметам'!T50/1000</f>
        <v>1983.5832000000003</v>
      </c>
    </row>
    <row r="62" spans="1:13" ht="25.5" x14ac:dyDescent="0.2">
      <c r="A62" s="44">
        <v>43</v>
      </c>
      <c r="B62" s="43" t="s">
        <v>61</v>
      </c>
      <c r="C62" s="27" t="s">
        <v>54</v>
      </c>
      <c r="D62" s="43"/>
      <c r="E62" s="43"/>
      <c r="F62" s="119" t="s">
        <v>183</v>
      </c>
      <c r="G62" s="28">
        <f>'разбивка по сметам'!H51/1000</f>
        <v>515.20000000000005</v>
      </c>
      <c r="H62" s="43"/>
      <c r="I62" s="43"/>
      <c r="J62" s="64">
        <f>'разбивка по сметам'!$L51/1000</f>
        <v>2290.0619999999999</v>
      </c>
      <c r="K62" s="43"/>
      <c r="L62" s="28">
        <f>'разбивка по сметам'!T51/1000</f>
        <v>2290.0619999999999</v>
      </c>
    </row>
    <row r="63" spans="1:13" ht="38.25" x14ac:dyDescent="0.2">
      <c r="A63" s="108">
        <v>44</v>
      </c>
      <c r="B63" s="43" t="s">
        <v>62</v>
      </c>
      <c r="C63" s="27" t="s">
        <v>55</v>
      </c>
      <c r="D63" s="43"/>
      <c r="E63" s="43"/>
      <c r="F63" s="119" t="s">
        <v>183</v>
      </c>
      <c r="G63" s="28">
        <f>'разбивка по сметам'!H52/1000</f>
        <v>343.185</v>
      </c>
      <c r="H63" s="43"/>
      <c r="I63" s="43"/>
      <c r="J63" s="64">
        <f>'разбивка по сметам'!$L52/1000</f>
        <v>1518.5974500000002</v>
      </c>
      <c r="K63" s="43"/>
      <c r="L63" s="28">
        <f>'разбивка по сметам'!T52/1000</f>
        <v>1518.5974500000002</v>
      </c>
    </row>
    <row r="64" spans="1:13" ht="38.25" x14ac:dyDescent="0.2">
      <c r="A64" s="108">
        <v>45</v>
      </c>
      <c r="B64" s="43" t="s">
        <v>63</v>
      </c>
      <c r="C64" s="27" t="s">
        <v>56</v>
      </c>
      <c r="D64" s="43"/>
      <c r="E64" s="43"/>
      <c r="F64" s="119" t="s">
        <v>183</v>
      </c>
      <c r="G64" s="28">
        <f>'разбивка по сметам'!H53/1000</f>
        <v>235.90100000000001</v>
      </c>
      <c r="H64" s="43"/>
      <c r="I64" s="43"/>
      <c r="J64" s="64">
        <f>'разбивка по сметам'!$L53/1000</f>
        <v>1040.32341</v>
      </c>
      <c r="K64" s="43"/>
      <c r="L64" s="28">
        <f>'разбивка по сметам'!T53/1000</f>
        <v>1040.32341</v>
      </c>
    </row>
    <row r="65" spans="1:12" ht="42.75" customHeight="1" x14ac:dyDescent="0.2">
      <c r="A65" s="108">
        <v>46</v>
      </c>
      <c r="B65" s="43" t="s">
        <v>64</v>
      </c>
      <c r="C65" s="27" t="s">
        <v>57</v>
      </c>
      <c r="D65" s="43"/>
      <c r="E65" s="43"/>
      <c r="F65" s="119" t="s">
        <v>183</v>
      </c>
      <c r="G65" s="28">
        <f>'разбивка по сметам'!H54/1000</f>
        <v>412.63299999999998</v>
      </c>
      <c r="H65" s="43"/>
      <c r="I65" s="43"/>
      <c r="J65" s="64">
        <f>'разбивка по сметам'!$L54/1000</f>
        <v>1827.4383300000002</v>
      </c>
      <c r="K65" s="43"/>
      <c r="L65" s="28">
        <f>'разбивка по сметам'!T54/1000</f>
        <v>1827.4383300000002</v>
      </c>
    </row>
    <row r="66" spans="1:12" ht="38.25" x14ac:dyDescent="0.2">
      <c r="A66" s="108">
        <v>47</v>
      </c>
      <c r="B66" s="43" t="s">
        <v>65</v>
      </c>
      <c r="C66" s="27" t="s">
        <v>58</v>
      </c>
      <c r="D66" s="43"/>
      <c r="E66" s="43"/>
      <c r="F66" s="119" t="s">
        <v>183</v>
      </c>
      <c r="G66" s="28">
        <f>'разбивка по сметам'!H55/1000</f>
        <v>216.01300000000001</v>
      </c>
      <c r="H66" s="43"/>
      <c r="I66" s="43"/>
      <c r="J66" s="64">
        <f>'разбивка по сметам'!$L55/1000</f>
        <v>955.19253000000003</v>
      </c>
      <c r="K66" s="43"/>
      <c r="L66" s="28">
        <f>'разбивка по сметам'!T55/1000</f>
        <v>955.19253000000003</v>
      </c>
    </row>
    <row r="67" spans="1:12" ht="25.5" x14ac:dyDescent="0.2">
      <c r="A67" s="108">
        <v>48</v>
      </c>
      <c r="B67" s="43" t="s">
        <v>66</v>
      </c>
      <c r="C67" s="27" t="s">
        <v>59</v>
      </c>
      <c r="D67" s="43"/>
      <c r="E67" s="43"/>
      <c r="F67" s="119" t="s">
        <v>183</v>
      </c>
      <c r="G67" s="28">
        <f>'разбивка по сметам'!H56/1000</f>
        <v>73.275999999999996</v>
      </c>
      <c r="H67" s="43"/>
      <c r="I67" s="43"/>
      <c r="J67" s="64">
        <f>'разбивка по сметам'!$L56/1000</f>
        <v>324.52476000000001</v>
      </c>
      <c r="K67" s="43"/>
      <c r="L67" s="28">
        <f>'разбивка по сметам'!T56/1000</f>
        <v>324.52476000000001</v>
      </c>
    </row>
    <row r="68" spans="1:12" ht="25.5" x14ac:dyDescent="0.2">
      <c r="A68" s="108">
        <v>49</v>
      </c>
      <c r="B68" s="43" t="s">
        <v>67</v>
      </c>
      <c r="C68" s="27" t="s">
        <v>60</v>
      </c>
      <c r="D68" s="43"/>
      <c r="E68" s="43"/>
      <c r="F68" s="119" t="s">
        <v>183</v>
      </c>
      <c r="G68" s="28">
        <f>'разбивка по сметам'!H57/1000</f>
        <v>54.984999999999999</v>
      </c>
      <c r="H68" s="43"/>
      <c r="I68" s="43"/>
      <c r="J68" s="64">
        <f>'разбивка по сметам'!$L57/1000</f>
        <v>242.48385000000002</v>
      </c>
      <c r="K68" s="43"/>
      <c r="L68" s="28">
        <f>'разбивка по сметам'!T57/1000</f>
        <v>242.48385000000002</v>
      </c>
    </row>
    <row r="69" spans="1:12" ht="12.95" customHeight="1" thickBot="1" x14ac:dyDescent="0.25">
      <c r="A69" s="195" t="s">
        <v>37</v>
      </c>
      <c r="B69" s="196"/>
      <c r="C69" s="197"/>
      <c r="D69" s="13" t="s">
        <v>46</v>
      </c>
      <c r="E69" s="13" t="s">
        <v>46</v>
      </c>
      <c r="F69" s="13"/>
      <c r="G69" s="30">
        <f>SUM(G61:G68)</f>
        <v>2299.2330000000002</v>
      </c>
      <c r="H69" s="29"/>
      <c r="I69" s="13" t="s">
        <v>46</v>
      </c>
      <c r="J69" s="30">
        <f>SUM(J61:J68)</f>
        <v>10182.205530000001</v>
      </c>
      <c r="K69" s="13" t="s">
        <v>46</v>
      </c>
      <c r="L69" s="30">
        <f>SUM(L61:L68)</f>
        <v>10182.205530000001</v>
      </c>
    </row>
    <row r="70" spans="1:12" ht="12.95" customHeight="1" thickBot="1" x14ac:dyDescent="0.25">
      <c r="A70" s="219" t="s">
        <v>188</v>
      </c>
      <c r="B70" s="220"/>
      <c r="C70" s="221"/>
      <c r="D70" s="15" t="s">
        <v>46</v>
      </c>
      <c r="E70" s="15" t="s">
        <v>46</v>
      </c>
      <c r="F70" s="15"/>
      <c r="G70" s="34">
        <f>G69+G58+G17</f>
        <v>235916.91500000001</v>
      </c>
      <c r="H70" s="15"/>
      <c r="I70" s="15" t="s">
        <v>46</v>
      </c>
      <c r="J70" s="34">
        <f>J69+J58+J17</f>
        <v>1829496.1708200003</v>
      </c>
      <c r="K70" s="15"/>
      <c r="L70" s="34">
        <f>L69+L58+L17</f>
        <v>1284631.1694420003</v>
      </c>
    </row>
    <row r="71" spans="1:12" ht="12.95" customHeight="1" x14ac:dyDescent="0.2">
      <c r="A71" s="212" t="s">
        <v>180</v>
      </c>
      <c r="B71" s="213"/>
      <c r="C71" s="213"/>
      <c r="D71" s="213"/>
      <c r="E71" s="213"/>
      <c r="F71" s="213"/>
      <c r="G71" s="213"/>
      <c r="H71" s="213"/>
      <c r="I71" s="213"/>
      <c r="J71" s="213"/>
      <c r="K71" s="213"/>
      <c r="L71" s="213"/>
    </row>
    <row r="72" spans="1:12" ht="25.5" customHeight="1" x14ac:dyDescent="0.2">
      <c r="A72" s="128">
        <v>50</v>
      </c>
      <c r="B72" s="106" t="s">
        <v>174</v>
      </c>
      <c r="C72" s="117" t="s">
        <v>175</v>
      </c>
      <c r="D72" s="106"/>
      <c r="E72" s="106"/>
      <c r="F72" s="119" t="s">
        <v>183</v>
      </c>
      <c r="G72" s="106"/>
      <c r="H72" s="106"/>
      <c r="I72" s="106"/>
      <c r="J72" s="106"/>
      <c r="K72" s="106"/>
      <c r="L72" s="106"/>
    </row>
    <row r="73" spans="1:12" ht="64.5" customHeight="1" x14ac:dyDescent="0.2">
      <c r="A73" s="128">
        <v>51</v>
      </c>
      <c r="B73" s="106" t="s">
        <v>176</v>
      </c>
      <c r="C73" s="117" t="s">
        <v>177</v>
      </c>
      <c r="D73" s="106"/>
      <c r="E73" s="106"/>
      <c r="F73" s="119" t="s">
        <v>183</v>
      </c>
      <c r="G73" s="106"/>
      <c r="H73" s="106"/>
      <c r="I73" s="106"/>
      <c r="J73" s="106"/>
      <c r="K73" s="106"/>
      <c r="L73" s="106"/>
    </row>
    <row r="74" spans="1:12" ht="63" customHeight="1" x14ac:dyDescent="0.2">
      <c r="A74" s="128">
        <v>52</v>
      </c>
      <c r="B74" s="106" t="s">
        <v>178</v>
      </c>
      <c r="C74" s="118" t="s">
        <v>179</v>
      </c>
      <c r="D74" s="106"/>
      <c r="E74" s="106"/>
      <c r="F74" s="119" t="s">
        <v>183</v>
      </c>
      <c r="G74" s="106"/>
      <c r="H74" s="106"/>
      <c r="I74" s="106"/>
      <c r="J74" s="106"/>
      <c r="K74" s="106"/>
      <c r="L74" s="106"/>
    </row>
    <row r="75" spans="1:12" ht="12.95" customHeight="1" thickBot="1" x14ac:dyDescent="0.25">
      <c r="A75" s="195" t="s">
        <v>37</v>
      </c>
      <c r="B75" s="196"/>
      <c r="C75" s="197"/>
      <c r="D75" s="13" t="s">
        <v>46</v>
      </c>
      <c r="E75" s="13" t="s">
        <v>46</v>
      </c>
      <c r="F75" s="13"/>
      <c r="G75" s="30">
        <f>SUM(G72:G74)</f>
        <v>0</v>
      </c>
      <c r="H75" s="29"/>
      <c r="I75" s="13" t="s">
        <v>46</v>
      </c>
      <c r="J75" s="30">
        <f>SUM(J72:J74)</f>
        <v>0</v>
      </c>
      <c r="K75" s="13" t="s">
        <v>46</v>
      </c>
      <c r="L75" s="30">
        <f>SUM(L72:L74)</f>
        <v>0</v>
      </c>
    </row>
    <row r="76" spans="1:12" ht="12.75" customHeight="1" x14ac:dyDescent="0.2">
      <c r="A76" s="293" t="s">
        <v>186</v>
      </c>
      <c r="B76" s="213"/>
      <c r="C76" s="213"/>
      <c r="D76" s="213"/>
      <c r="E76" s="213"/>
      <c r="F76" s="213"/>
      <c r="G76" s="213"/>
      <c r="H76" s="213"/>
      <c r="I76" s="213"/>
      <c r="J76" s="213"/>
      <c r="K76" s="213"/>
      <c r="L76" s="213"/>
    </row>
    <row r="77" spans="1:12" ht="25.5" x14ac:dyDescent="0.2">
      <c r="A77" s="26">
        <v>53</v>
      </c>
      <c r="B77" s="12" t="s">
        <v>50</v>
      </c>
      <c r="C77" s="27" t="s">
        <v>48</v>
      </c>
      <c r="D77" s="12"/>
      <c r="E77" s="31"/>
      <c r="F77" s="31"/>
      <c r="G77" s="64">
        <f>1190712.60835376/1000</f>
        <v>1190.7126083537601</v>
      </c>
      <c r="H77" s="12"/>
      <c r="I77" s="31"/>
      <c r="J77" s="28">
        <f>10870404.3106013/1000</f>
        <v>10870.4043106013</v>
      </c>
      <c r="K77" s="12"/>
      <c r="L77" s="28">
        <f>8041718.21023924/1000</f>
        <v>8041.7182102392399</v>
      </c>
    </row>
    <row r="78" spans="1:12" x14ac:dyDescent="0.2">
      <c r="A78" s="26">
        <v>54</v>
      </c>
      <c r="B78" s="12" t="s">
        <v>50</v>
      </c>
      <c r="C78" s="27" t="s">
        <v>136</v>
      </c>
      <c r="D78" s="12"/>
      <c r="E78" s="31"/>
      <c r="F78" s="31"/>
      <c r="G78" s="64">
        <f>5468808.96170084/1000</f>
        <v>5468.80896170084</v>
      </c>
      <c r="H78" s="12"/>
      <c r="I78" s="31"/>
      <c r="J78" s="28">
        <f>49850383.4853265/1000</f>
        <v>49850.3834853265</v>
      </c>
      <c r="K78" s="12"/>
      <c r="L78" s="28">
        <f>36772813.2947776/1000</f>
        <v>36772.813294777603</v>
      </c>
    </row>
    <row r="79" spans="1:12" ht="12.95" customHeight="1" thickBot="1" x14ac:dyDescent="0.25">
      <c r="A79" s="200" t="s">
        <v>193</v>
      </c>
      <c r="B79" s="201"/>
      <c r="C79" s="202"/>
      <c r="D79" s="13" t="s">
        <v>46</v>
      </c>
      <c r="E79" s="13" t="s">
        <v>46</v>
      </c>
      <c r="F79" s="13"/>
      <c r="G79" s="35"/>
      <c r="H79" s="35"/>
      <c r="I79" s="13" t="s">
        <v>46</v>
      </c>
      <c r="J79" s="30">
        <f>SUM(J77:J78)</f>
        <v>60720.787795927798</v>
      </c>
      <c r="K79" s="13" t="s">
        <v>46</v>
      </c>
      <c r="L79" s="30">
        <f>SUM(L77:L78)</f>
        <v>44814.531505016843</v>
      </c>
    </row>
    <row r="80" spans="1:12" ht="12.95" customHeight="1" thickBot="1" x14ac:dyDescent="0.25">
      <c r="A80" s="203" t="s">
        <v>187</v>
      </c>
      <c r="B80" s="204"/>
      <c r="C80" s="205"/>
      <c r="D80" s="39" t="s">
        <v>46</v>
      </c>
      <c r="E80" s="39" t="s">
        <v>46</v>
      </c>
      <c r="F80" s="39"/>
      <c r="G80" s="39"/>
      <c r="H80" s="39"/>
      <c r="I80" s="39" t="s">
        <v>46</v>
      </c>
      <c r="J80" s="40">
        <f>J70+J79</f>
        <v>1890216.9586159282</v>
      </c>
      <c r="K80" s="39" t="s">
        <v>46</v>
      </c>
      <c r="L80" s="40">
        <f>L70+L79</f>
        <v>1329445.7009470172</v>
      </c>
    </row>
    <row r="81" spans="1:60" ht="13.5" thickBot="1" x14ac:dyDescent="0.25">
      <c r="A81" s="36"/>
      <c r="B81" s="16"/>
      <c r="C81" s="37"/>
      <c r="D81" s="16"/>
      <c r="E81" s="16"/>
      <c r="F81" s="16"/>
      <c r="G81" s="16"/>
      <c r="H81" s="16"/>
      <c r="I81" s="16"/>
      <c r="J81" s="38"/>
      <c r="K81" s="16"/>
      <c r="L81" s="16"/>
    </row>
    <row r="82" spans="1:60" ht="13.5" customHeight="1" thickBot="1" x14ac:dyDescent="0.25">
      <c r="A82" s="226" t="s">
        <v>43</v>
      </c>
      <c r="B82" s="227"/>
      <c r="C82" s="228"/>
      <c r="D82" s="39" t="s">
        <v>46</v>
      </c>
      <c r="E82" s="39" t="s">
        <v>46</v>
      </c>
      <c r="F82" s="39"/>
      <c r="G82" s="39"/>
      <c r="H82" s="39"/>
      <c r="I82" s="39" t="s">
        <v>46</v>
      </c>
      <c r="J82" s="40"/>
      <c r="K82" s="17"/>
      <c r="L82" s="40">
        <f>L80</f>
        <v>1329445.7009470172</v>
      </c>
    </row>
    <row r="83" spans="1:60" x14ac:dyDescent="0.2">
      <c r="A83" s="22"/>
    </row>
    <row r="84" spans="1:60" ht="18.75" x14ac:dyDescent="0.3">
      <c r="A84" s="42" t="s">
        <v>51</v>
      </c>
      <c r="B84" s="19"/>
      <c r="C84" s="19"/>
      <c r="D84" s="19"/>
      <c r="E84" s="19"/>
      <c r="F84" s="19"/>
      <c r="G84" s="19"/>
      <c r="H84" s="19"/>
      <c r="I84" s="19"/>
      <c r="J84" s="41"/>
      <c r="K84" s="41"/>
      <c r="L84" s="18">
        <v>1052800</v>
      </c>
      <c r="M84" s="19"/>
      <c r="N84" s="142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</row>
    <row r="85" spans="1:60" x14ac:dyDescent="0.2">
      <c r="A85" s="42"/>
      <c r="B85" s="19"/>
      <c r="C85" s="19"/>
      <c r="D85" s="19"/>
      <c r="E85" s="19"/>
      <c r="F85" s="19"/>
      <c r="G85" s="19"/>
      <c r="H85" s="19"/>
      <c r="I85" s="19"/>
      <c r="J85" s="41"/>
      <c r="K85" s="41"/>
      <c r="L85" s="18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</row>
    <row r="87" spans="1:60" x14ac:dyDescent="0.2">
      <c r="B87" s="229" t="s">
        <v>18</v>
      </c>
      <c r="C87" s="229"/>
      <c r="D87" s="8"/>
      <c r="E87" s="8"/>
      <c r="F87" s="109"/>
      <c r="G87" s="8"/>
      <c r="H87" s="8"/>
      <c r="I87" s="8"/>
      <c r="J87" s="8"/>
      <c r="K87" s="229" t="s">
        <v>19</v>
      </c>
      <c r="L87" s="229"/>
    </row>
    <row r="88" spans="1:60" x14ac:dyDescent="0.2">
      <c r="B88" s="222"/>
      <c r="C88" s="222"/>
      <c r="D88" s="9"/>
      <c r="E88" s="9"/>
      <c r="F88" s="110"/>
      <c r="G88" s="9"/>
      <c r="H88" s="9"/>
      <c r="I88" s="9"/>
      <c r="J88" s="9"/>
      <c r="K88" s="9"/>
      <c r="L88" s="9"/>
    </row>
    <row r="89" spans="1:60" ht="13.5" thickBot="1" x14ac:dyDescent="0.25">
      <c r="B89" s="6"/>
      <c r="C89" s="6"/>
      <c r="D89" s="6"/>
      <c r="E89" s="6"/>
      <c r="F89" s="79"/>
      <c r="G89" s="9"/>
      <c r="H89" s="9"/>
      <c r="I89" s="9"/>
      <c r="J89" s="9"/>
      <c r="K89" s="6"/>
      <c r="L89" s="6"/>
    </row>
    <row r="90" spans="1:60" x14ac:dyDescent="0.2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</sheetData>
  <mergeCells count="31">
    <mergeCell ref="B87:C87"/>
    <mergeCell ref="K87:L87"/>
    <mergeCell ref="B88:C88"/>
    <mergeCell ref="A82:C82"/>
    <mergeCell ref="A36:L36"/>
    <mergeCell ref="A80:C80"/>
    <mergeCell ref="A79:C79"/>
    <mergeCell ref="A76:L76"/>
    <mergeCell ref="A59:L59"/>
    <mergeCell ref="A70:C70"/>
    <mergeCell ref="A58:C58"/>
    <mergeCell ref="A69:C69"/>
    <mergeCell ref="A60:L60"/>
    <mergeCell ref="A71:L71"/>
    <mergeCell ref="A75:C75"/>
    <mergeCell ref="A19:L19"/>
    <mergeCell ref="E8:E11"/>
    <mergeCell ref="H8:H11"/>
    <mergeCell ref="A18:L18"/>
    <mergeCell ref="A8:A11"/>
    <mergeCell ref="C8:C11"/>
    <mergeCell ref="D8:D11"/>
    <mergeCell ref="K10:L10"/>
    <mergeCell ref="I8:L8"/>
    <mergeCell ref="I9:J10"/>
    <mergeCell ref="K9:L9"/>
    <mergeCell ref="G8:G11"/>
    <mergeCell ref="B8:B11"/>
    <mergeCell ref="A17:C17"/>
    <mergeCell ref="A12:L12"/>
    <mergeCell ref="F8:F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topLeftCell="A20" zoomScale="70" zoomScaleNormal="70" workbookViewId="0">
      <selection activeCell="F37" sqref="F37"/>
    </sheetView>
  </sheetViews>
  <sheetFormatPr defaultRowHeight="15" x14ac:dyDescent="0.25"/>
  <cols>
    <col min="1" max="1" width="9.140625" style="69"/>
    <col min="2" max="2" width="17.42578125" customWidth="1"/>
    <col min="3" max="3" width="53.85546875" customWidth="1"/>
    <col min="4" max="4" width="16" style="112" customWidth="1"/>
    <col min="5" max="11" width="15.7109375" style="57" customWidth="1"/>
    <col min="12" max="12" width="16.7109375" style="57" customWidth="1"/>
    <col min="13" max="20" width="15.7109375" style="57" customWidth="1"/>
  </cols>
  <sheetData>
    <row r="1" spans="1:23" ht="35.25" customHeight="1" x14ac:dyDescent="0.25">
      <c r="C1" t="s">
        <v>118</v>
      </c>
      <c r="E1" s="295" t="s">
        <v>124</v>
      </c>
      <c r="F1" s="295"/>
      <c r="G1" s="295"/>
      <c r="H1" s="295"/>
      <c r="I1" s="294" t="s">
        <v>125</v>
      </c>
      <c r="J1" s="294"/>
      <c r="K1" s="294"/>
      <c r="L1" s="294"/>
      <c r="M1" s="294" t="s">
        <v>126</v>
      </c>
      <c r="N1" s="294"/>
      <c r="O1" s="294"/>
      <c r="P1" s="294"/>
      <c r="Q1" s="294" t="s">
        <v>127</v>
      </c>
      <c r="R1" s="294"/>
      <c r="S1" s="294"/>
      <c r="T1" s="294"/>
    </row>
    <row r="2" spans="1:23" ht="35.25" customHeight="1" x14ac:dyDescent="0.25">
      <c r="E2" s="53" t="s">
        <v>121</v>
      </c>
      <c r="F2" s="53" t="s">
        <v>122</v>
      </c>
      <c r="G2" s="53" t="s">
        <v>123</v>
      </c>
      <c r="H2" s="53" t="s">
        <v>29</v>
      </c>
      <c r="I2" s="53" t="s">
        <v>121</v>
      </c>
      <c r="J2" s="53" t="s">
        <v>122</v>
      </c>
      <c r="K2" s="53" t="s">
        <v>123</v>
      </c>
      <c r="L2" s="53" t="s">
        <v>29</v>
      </c>
      <c r="M2" s="53" t="s">
        <v>121</v>
      </c>
      <c r="N2" s="53" t="s">
        <v>122</v>
      </c>
      <c r="O2" s="53" t="s">
        <v>123</v>
      </c>
      <c r="P2" s="53" t="s">
        <v>29</v>
      </c>
      <c r="Q2" s="53" t="s">
        <v>121</v>
      </c>
      <c r="R2" s="53" t="s">
        <v>122</v>
      </c>
      <c r="S2" s="53" t="s">
        <v>123</v>
      </c>
      <c r="T2" s="53" t="s">
        <v>29</v>
      </c>
    </row>
    <row r="3" spans="1:23" s="1" customFormat="1" ht="12.75" x14ac:dyDescent="0.2">
      <c r="B3" s="46"/>
      <c r="C3" s="54" t="s">
        <v>32</v>
      </c>
      <c r="D3" s="122"/>
      <c r="E3" s="97"/>
      <c r="F3" s="97"/>
      <c r="G3" s="98"/>
      <c r="H3" s="98"/>
      <c r="I3" s="98"/>
      <c r="J3" s="98"/>
      <c r="K3" s="98"/>
      <c r="L3" s="98"/>
      <c r="M3" s="97"/>
      <c r="N3" s="97"/>
      <c r="O3" s="98"/>
      <c r="P3" s="98"/>
      <c r="Q3" s="97"/>
      <c r="R3" s="97"/>
      <c r="S3" s="98"/>
      <c r="T3" s="98"/>
    </row>
    <row r="4" spans="1:23" s="1" customFormat="1" ht="38.25" x14ac:dyDescent="0.2">
      <c r="A4" s="1">
        <v>1</v>
      </c>
      <c r="B4" s="60" t="s">
        <v>68</v>
      </c>
      <c r="C4" s="55" t="s">
        <v>72</v>
      </c>
      <c r="D4" s="119" t="s">
        <v>183</v>
      </c>
      <c r="E4" s="129">
        <f>H4-G4-F4</f>
        <v>493076</v>
      </c>
      <c r="F4" s="129">
        <f>57738+2641063+60060+71429+21951</f>
        <v>2852241</v>
      </c>
      <c r="G4" s="63">
        <v>77589</v>
      </c>
      <c r="H4" s="63">
        <f>3422906</f>
        <v>3422906</v>
      </c>
      <c r="I4" s="63">
        <v>4796435.2</v>
      </c>
      <c r="J4" s="63">
        <v>28189683.060000002</v>
      </c>
      <c r="K4" s="63">
        <v>435274.29000000004</v>
      </c>
      <c r="L4" s="63">
        <v>33421392.550000001</v>
      </c>
      <c r="M4" s="95">
        <v>493076</v>
      </c>
      <c r="N4" s="95">
        <v>2852241</v>
      </c>
      <c r="O4" s="95">
        <v>77589</v>
      </c>
      <c r="P4" s="95">
        <v>3422906</v>
      </c>
      <c r="Q4" s="95">
        <v>4796435.2</v>
      </c>
      <c r="R4" s="95">
        <v>28189683.060000002</v>
      </c>
      <c r="S4" s="95">
        <v>435274.29000000004</v>
      </c>
      <c r="T4" s="95">
        <v>33421392.550000001</v>
      </c>
    </row>
    <row r="5" spans="1:23" s="1" customFormat="1" ht="25.5" x14ac:dyDescent="0.2">
      <c r="A5" s="1">
        <v>2</v>
      </c>
      <c r="B5" s="60" t="s">
        <v>69</v>
      </c>
      <c r="C5" s="55" t="s">
        <v>73</v>
      </c>
      <c r="D5" s="119" t="s">
        <v>183</v>
      </c>
      <c r="E5" s="129">
        <v>371170</v>
      </c>
      <c r="F5" s="129">
        <v>1839114</v>
      </c>
      <c r="G5" s="63">
        <v>86210</v>
      </c>
      <c r="H5" s="63">
        <v>2296494</v>
      </c>
      <c r="I5" s="63">
        <v>3562255.5900000003</v>
      </c>
      <c r="J5" s="63">
        <v>18162798.580000002</v>
      </c>
      <c r="K5" s="63">
        <v>483638.10000000003</v>
      </c>
      <c r="L5" s="63">
        <v>22208692.270000003</v>
      </c>
      <c r="M5" s="95">
        <v>371170</v>
      </c>
      <c r="N5" s="95">
        <v>1839114</v>
      </c>
      <c r="O5" s="95">
        <v>86210</v>
      </c>
      <c r="P5" s="95">
        <v>2296494</v>
      </c>
      <c r="Q5" s="95">
        <v>3562255.5900000003</v>
      </c>
      <c r="R5" s="95">
        <v>18162798.580000002</v>
      </c>
      <c r="S5" s="95">
        <v>483638.10000000003</v>
      </c>
      <c r="T5" s="95">
        <f>Q5+R5+S5</f>
        <v>22208692.270000003</v>
      </c>
    </row>
    <row r="6" spans="1:23" s="1" customFormat="1" ht="38.25" x14ac:dyDescent="0.2">
      <c r="A6" s="1">
        <v>3</v>
      </c>
      <c r="B6" s="60" t="s">
        <v>70</v>
      </c>
      <c r="C6" s="55" t="s">
        <v>74</v>
      </c>
      <c r="D6" s="119" t="s">
        <v>183</v>
      </c>
      <c r="E6" s="129">
        <v>265411</v>
      </c>
      <c r="F6" s="129">
        <v>1194669</v>
      </c>
      <c r="G6" s="63">
        <v>43105</v>
      </c>
      <c r="H6" s="63">
        <f t="shared" ref="H6" si="0">SUM(E6:G6)</f>
        <v>1503185</v>
      </c>
      <c r="I6" s="63">
        <v>2578460.17</v>
      </c>
      <c r="J6" s="63">
        <v>11804298.869999999</v>
      </c>
      <c r="K6" s="63">
        <v>241819.05</v>
      </c>
      <c r="L6" s="63">
        <f t="shared" ref="L6" si="1">SUM(I6:K6)</f>
        <v>14624578.09</v>
      </c>
      <c r="M6" s="63">
        <v>265411</v>
      </c>
      <c r="N6" s="63">
        <v>1194669</v>
      </c>
      <c r="O6" s="63">
        <v>43105</v>
      </c>
      <c r="P6" s="63">
        <f t="shared" ref="P6" si="2">SUM(M6:O6)</f>
        <v>1503185</v>
      </c>
      <c r="Q6" s="63">
        <v>2578460.17</v>
      </c>
      <c r="R6" s="63">
        <v>11804298.869999999</v>
      </c>
      <c r="S6" s="63">
        <v>241819.05</v>
      </c>
      <c r="T6" s="63">
        <f t="shared" ref="T6" si="3">SUM(Q6:S6)</f>
        <v>14624578.09</v>
      </c>
      <c r="U6" s="1">
        <f>I6/E6</f>
        <v>9.7149710072302948</v>
      </c>
      <c r="V6" s="1">
        <f t="shared" ref="V6:W6" si="4">J6/F6</f>
        <v>9.8808112288843173</v>
      </c>
      <c r="W6" s="1">
        <f t="shared" si="4"/>
        <v>5.6099999999999994</v>
      </c>
    </row>
    <row r="7" spans="1:23" s="1" customFormat="1" ht="25.5" x14ac:dyDescent="0.2">
      <c r="A7" s="1">
        <v>4</v>
      </c>
      <c r="B7" s="60" t="s">
        <v>71</v>
      </c>
      <c r="C7" s="55" t="s">
        <v>75</v>
      </c>
      <c r="D7" s="119" t="s">
        <v>183</v>
      </c>
      <c r="E7" s="63">
        <v>115193</v>
      </c>
      <c r="F7" s="63">
        <v>310984</v>
      </c>
      <c r="G7" s="63">
        <v>0</v>
      </c>
      <c r="H7" s="63">
        <v>426177</v>
      </c>
      <c r="I7" s="63">
        <v>1019200.23</v>
      </c>
      <c r="J7" s="63">
        <v>3047862.2700000005</v>
      </c>
      <c r="K7" s="63">
        <f>G7*$W$6</f>
        <v>0</v>
      </c>
      <c r="L7" s="63">
        <f>SUM(I7:K7)</f>
        <v>4067062.5000000005</v>
      </c>
      <c r="M7" s="63">
        <v>115193</v>
      </c>
      <c r="N7" s="63">
        <v>310984</v>
      </c>
      <c r="O7" s="63">
        <v>0</v>
      </c>
      <c r="P7" s="63">
        <v>426177</v>
      </c>
      <c r="Q7" s="63">
        <v>1019200.23</v>
      </c>
      <c r="R7" s="63">
        <v>3047862.2700000005</v>
      </c>
      <c r="S7" s="63">
        <f>O7*$W$6</f>
        <v>0</v>
      </c>
      <c r="T7" s="63">
        <f>SUM(Q7:S7)</f>
        <v>4067062.5000000005</v>
      </c>
    </row>
    <row r="8" spans="1:23" s="1" customFormat="1" ht="12.75" x14ac:dyDescent="0.2">
      <c r="B8" s="5"/>
      <c r="C8" s="56" t="s">
        <v>34</v>
      </c>
      <c r="D8" s="56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spans="1:23" s="1" customFormat="1" ht="13.5" customHeight="1" x14ac:dyDescent="0.2">
      <c r="B9" s="5"/>
      <c r="C9" s="56" t="s">
        <v>119</v>
      </c>
      <c r="D9" s="56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spans="1:23" s="1" customFormat="1" ht="38.25" customHeight="1" x14ac:dyDescent="0.2">
      <c r="A10" s="1">
        <v>5</v>
      </c>
      <c r="B10" s="60" t="s">
        <v>85</v>
      </c>
      <c r="C10" s="55" t="s">
        <v>86</v>
      </c>
      <c r="D10" s="119" t="s">
        <v>183</v>
      </c>
      <c r="E10" s="62">
        <v>63059</v>
      </c>
      <c r="F10" s="62">
        <v>308233</v>
      </c>
      <c r="G10" s="62">
        <v>11272</v>
      </c>
      <c r="H10" s="62">
        <v>382564</v>
      </c>
      <c r="I10" s="62">
        <v>565689.15</v>
      </c>
      <c r="J10" s="62">
        <v>2762129.93</v>
      </c>
      <c r="K10" s="62">
        <v>63235.92</v>
      </c>
      <c r="L10" s="62">
        <v>3391055</v>
      </c>
      <c r="M10" s="62">
        <v>63059</v>
      </c>
      <c r="N10" s="62">
        <v>308233</v>
      </c>
      <c r="O10" s="62">
        <v>11272</v>
      </c>
      <c r="P10" s="62">
        <v>382564</v>
      </c>
      <c r="Q10" s="62">
        <v>565689.15</v>
      </c>
      <c r="R10" s="62">
        <v>2762129.93</v>
      </c>
      <c r="S10" s="62">
        <v>63235.92</v>
      </c>
      <c r="T10" s="62">
        <v>3391055</v>
      </c>
    </row>
    <row r="11" spans="1:23" s="1" customFormat="1" ht="25.5" x14ac:dyDescent="0.2">
      <c r="A11" s="1">
        <v>6</v>
      </c>
      <c r="B11" s="60" t="s">
        <v>87</v>
      </c>
      <c r="C11" s="55" t="s">
        <v>88</v>
      </c>
      <c r="D11" s="119" t="s">
        <v>183</v>
      </c>
      <c r="E11" s="62">
        <v>232375</v>
      </c>
      <c r="F11" s="62">
        <v>1209030</v>
      </c>
      <c r="G11" s="62">
        <v>7375</v>
      </c>
      <c r="H11" s="62">
        <v>1448780</v>
      </c>
      <c r="I11" s="62">
        <v>2154729.06</v>
      </c>
      <c r="J11" s="62">
        <v>11210686.74</v>
      </c>
      <c r="K11" s="62">
        <v>41373.75</v>
      </c>
      <c r="L11" s="62">
        <v>13406789.550000001</v>
      </c>
      <c r="M11" s="62">
        <v>232375</v>
      </c>
      <c r="N11" s="62">
        <v>1209030</v>
      </c>
      <c r="O11" s="62">
        <v>7375</v>
      </c>
      <c r="P11" s="62">
        <v>1448780</v>
      </c>
      <c r="Q11" s="62">
        <v>2154729.06</v>
      </c>
      <c r="R11" s="62">
        <v>11210686.74</v>
      </c>
      <c r="S11" s="62">
        <v>41373.75</v>
      </c>
      <c r="T11" s="62">
        <v>13406789.550000001</v>
      </c>
    </row>
    <row r="12" spans="1:23" s="1" customFormat="1" ht="25.5" x14ac:dyDescent="0.2">
      <c r="A12" s="1">
        <v>7</v>
      </c>
      <c r="B12" s="60" t="s">
        <v>89</v>
      </c>
      <c r="C12" s="55" t="s">
        <v>90</v>
      </c>
      <c r="D12" s="119" t="s">
        <v>183</v>
      </c>
      <c r="E12" s="62">
        <v>399728</v>
      </c>
      <c r="F12" s="62">
        <v>1591813</v>
      </c>
      <c r="G12" s="62">
        <v>22962</v>
      </c>
      <c r="H12" s="62">
        <v>2014503</v>
      </c>
      <c r="I12" s="62">
        <v>3706952.12</v>
      </c>
      <c r="J12" s="62">
        <v>14759301.85</v>
      </c>
      <c r="K12" s="62">
        <v>128816.82</v>
      </c>
      <c r="L12" s="62">
        <v>18595070.789999999</v>
      </c>
      <c r="M12" s="62">
        <v>399728</v>
      </c>
      <c r="N12" s="62">
        <v>1591813</v>
      </c>
      <c r="O12" s="62">
        <v>22962</v>
      </c>
      <c r="P12" s="62">
        <v>2014503</v>
      </c>
      <c r="Q12" s="62">
        <v>3706952.12</v>
      </c>
      <c r="R12" s="62">
        <v>14759301.85</v>
      </c>
      <c r="S12" s="62">
        <v>128816.82</v>
      </c>
      <c r="T12" s="62">
        <v>18595070.789999999</v>
      </c>
    </row>
    <row r="13" spans="1:23" s="1" customFormat="1" ht="25.5" x14ac:dyDescent="0.2">
      <c r="A13" s="1">
        <v>8</v>
      </c>
      <c r="B13" s="60" t="s">
        <v>91</v>
      </c>
      <c r="C13" s="55" t="s">
        <v>92</v>
      </c>
      <c r="D13" s="119" t="s">
        <v>183</v>
      </c>
      <c r="E13" s="62">
        <v>6970</v>
      </c>
      <c r="F13" s="62">
        <v>66702</v>
      </c>
      <c r="G13" s="62">
        <v>3916</v>
      </c>
      <c r="H13" s="62">
        <v>77588</v>
      </c>
      <c r="I13" s="62">
        <v>70199.199999999997</v>
      </c>
      <c r="J13" s="62">
        <v>593330.71</v>
      </c>
      <c r="K13" s="62">
        <v>21968.76</v>
      </c>
      <c r="L13" s="62">
        <v>685498.67</v>
      </c>
      <c r="M13" s="62">
        <v>6970</v>
      </c>
      <c r="N13" s="62">
        <v>66702</v>
      </c>
      <c r="O13" s="62">
        <v>3916</v>
      </c>
      <c r="P13" s="62">
        <v>77588</v>
      </c>
      <c r="Q13" s="62">
        <v>70199.199999999997</v>
      </c>
      <c r="R13" s="62">
        <v>593330.71</v>
      </c>
      <c r="S13" s="62">
        <v>21968.76</v>
      </c>
      <c r="T13" s="62">
        <v>685498.67</v>
      </c>
    </row>
    <row r="14" spans="1:23" s="1" customFormat="1" ht="39" customHeight="1" x14ac:dyDescent="0.2">
      <c r="A14" s="1">
        <v>9</v>
      </c>
      <c r="B14" s="60" t="s">
        <v>93</v>
      </c>
      <c r="C14" s="55" t="s">
        <v>94</v>
      </c>
      <c r="D14" s="119" t="s">
        <v>183</v>
      </c>
      <c r="E14" s="62">
        <v>160338</v>
      </c>
      <c r="F14" s="62">
        <v>1070000</v>
      </c>
      <c r="G14" s="62">
        <v>3916</v>
      </c>
      <c r="H14" s="62">
        <v>1234254</v>
      </c>
      <c r="I14" s="62">
        <v>1484269.17</v>
      </c>
      <c r="J14" s="62">
        <v>9923188.6899999995</v>
      </c>
      <c r="K14" s="62">
        <v>21968.76</v>
      </c>
      <c r="L14" s="62">
        <v>11429426.619999999</v>
      </c>
      <c r="M14" s="62">
        <v>160338</v>
      </c>
      <c r="N14" s="62">
        <v>1070000</v>
      </c>
      <c r="O14" s="62">
        <v>3916</v>
      </c>
      <c r="P14" s="62">
        <v>1234254</v>
      </c>
      <c r="Q14" s="62">
        <v>1484269.17</v>
      </c>
      <c r="R14" s="62">
        <v>9923188.6899999995</v>
      </c>
      <c r="S14" s="62">
        <v>21968.76</v>
      </c>
      <c r="T14" s="62">
        <v>11429426.619999999</v>
      </c>
    </row>
    <row r="15" spans="1:23" s="1" customFormat="1" ht="38.25" customHeight="1" x14ac:dyDescent="0.2">
      <c r="A15" s="1">
        <v>10</v>
      </c>
      <c r="B15" s="60" t="s">
        <v>95</v>
      </c>
      <c r="C15" s="55" t="s">
        <v>96</v>
      </c>
      <c r="D15" s="119" t="s">
        <v>183</v>
      </c>
      <c r="E15" s="62">
        <v>2361</v>
      </c>
      <c r="F15" s="62">
        <v>37099</v>
      </c>
      <c r="G15" s="62">
        <v>7375</v>
      </c>
      <c r="H15" s="62">
        <v>46835</v>
      </c>
      <c r="I15" s="63">
        <v>21886.469999999998</v>
      </c>
      <c r="J15" s="63">
        <v>343907.73</v>
      </c>
      <c r="K15" s="63">
        <v>41373.75</v>
      </c>
      <c r="L15" s="63">
        <v>407167.95</v>
      </c>
      <c r="M15" s="95">
        <v>2361</v>
      </c>
      <c r="N15" s="95">
        <v>37099</v>
      </c>
      <c r="O15" s="95">
        <v>7375</v>
      </c>
      <c r="P15" s="95">
        <v>46835</v>
      </c>
      <c r="Q15" s="95">
        <v>21886.469999999998</v>
      </c>
      <c r="R15" s="95">
        <v>343907.73</v>
      </c>
      <c r="S15" s="95">
        <v>41373.75</v>
      </c>
      <c r="T15" s="95">
        <v>407167.95</v>
      </c>
    </row>
    <row r="16" spans="1:23" s="1" customFormat="1" ht="25.5" x14ac:dyDescent="0.2">
      <c r="A16" s="1">
        <v>11</v>
      </c>
      <c r="B16" s="60" t="s">
        <v>97</v>
      </c>
      <c r="C16" s="55" t="s">
        <v>98</v>
      </c>
      <c r="D16" s="119" t="s">
        <v>183</v>
      </c>
      <c r="E16" s="62">
        <v>2229</v>
      </c>
      <c r="F16" s="62">
        <v>36117</v>
      </c>
      <c r="G16" s="62">
        <v>7375</v>
      </c>
      <c r="H16" s="62">
        <v>45721</v>
      </c>
      <c r="I16" s="63">
        <v>20662.829999999998</v>
      </c>
      <c r="J16" s="63">
        <v>334804.58999999997</v>
      </c>
      <c r="K16" s="63">
        <v>41373.75</v>
      </c>
      <c r="L16" s="63">
        <v>396841.17</v>
      </c>
      <c r="M16" s="62">
        <v>2229</v>
      </c>
      <c r="N16" s="62">
        <v>36117</v>
      </c>
      <c r="O16" s="62">
        <v>7375</v>
      </c>
      <c r="P16" s="62">
        <v>45721</v>
      </c>
      <c r="Q16" s="63">
        <v>20662.829999999998</v>
      </c>
      <c r="R16" s="63">
        <v>334804.58999999997</v>
      </c>
      <c r="S16" s="63">
        <v>41373.75</v>
      </c>
      <c r="T16" s="63">
        <v>396841.17</v>
      </c>
    </row>
    <row r="17" spans="1:22" s="1" customFormat="1" ht="25.5" x14ac:dyDescent="0.2">
      <c r="A17" s="1">
        <v>12</v>
      </c>
      <c r="B17" s="60" t="s">
        <v>99</v>
      </c>
      <c r="C17" s="55" t="s">
        <v>100</v>
      </c>
      <c r="D17" s="119" t="s">
        <v>183</v>
      </c>
      <c r="E17" s="62">
        <v>20606</v>
      </c>
      <c r="F17" s="62">
        <v>83762</v>
      </c>
      <c r="G17" s="62">
        <v>11272</v>
      </c>
      <c r="H17" s="62">
        <v>115640</v>
      </c>
      <c r="I17" s="63">
        <v>184423.69999999998</v>
      </c>
      <c r="J17" s="63">
        <v>749669.89999999991</v>
      </c>
      <c r="K17" s="63">
        <v>63235.920000000006</v>
      </c>
      <c r="L17" s="63">
        <v>997329.51999999979</v>
      </c>
      <c r="M17" s="62">
        <v>20606</v>
      </c>
      <c r="N17" s="62">
        <v>83762</v>
      </c>
      <c r="O17" s="62">
        <v>11272</v>
      </c>
      <c r="P17" s="62">
        <v>115640</v>
      </c>
      <c r="Q17" s="63">
        <v>184423.69999999998</v>
      </c>
      <c r="R17" s="63">
        <v>749669.89999999991</v>
      </c>
      <c r="S17" s="63">
        <v>63235.920000000006</v>
      </c>
      <c r="T17" s="63">
        <v>997329.51999999979</v>
      </c>
    </row>
    <row r="18" spans="1:22" s="1" customFormat="1" ht="25.5" x14ac:dyDescent="0.2">
      <c r="A18" s="1">
        <v>13</v>
      </c>
      <c r="B18" s="60" t="s">
        <v>101</v>
      </c>
      <c r="C18" s="55" t="s">
        <v>102</v>
      </c>
      <c r="D18" s="119" t="s">
        <v>183</v>
      </c>
      <c r="E18" s="62">
        <v>6014</v>
      </c>
      <c r="F18" s="62">
        <v>83426</v>
      </c>
      <c r="G18" s="62">
        <v>7375</v>
      </c>
      <c r="H18" s="62">
        <v>96815</v>
      </c>
      <c r="I18" s="62">
        <v>56258.04</v>
      </c>
      <c r="J18" s="62">
        <v>776170.21</v>
      </c>
      <c r="K18" s="62">
        <v>41373.75</v>
      </c>
      <c r="L18" s="62">
        <v>873802</v>
      </c>
      <c r="M18" s="62">
        <v>6014</v>
      </c>
      <c r="N18" s="62">
        <v>83426</v>
      </c>
      <c r="O18" s="62">
        <v>7375</v>
      </c>
      <c r="P18" s="62">
        <v>96815</v>
      </c>
      <c r="Q18" s="62">
        <v>56258.04</v>
      </c>
      <c r="R18" s="62">
        <v>776170.21</v>
      </c>
      <c r="S18" s="62">
        <v>41373.75</v>
      </c>
      <c r="T18" s="62">
        <v>873802</v>
      </c>
    </row>
    <row r="19" spans="1:22" s="1" customFormat="1" ht="39" customHeight="1" x14ac:dyDescent="0.2">
      <c r="A19" s="1">
        <v>14</v>
      </c>
      <c r="B19" s="60" t="s">
        <v>103</v>
      </c>
      <c r="C19" s="55" t="s">
        <v>104</v>
      </c>
      <c r="D19" s="119" t="s">
        <v>183</v>
      </c>
      <c r="E19" s="62">
        <v>7863</v>
      </c>
      <c r="F19" s="62">
        <v>76167</v>
      </c>
      <c r="G19" s="62">
        <v>9973</v>
      </c>
      <c r="H19" s="62">
        <v>94003</v>
      </c>
      <c r="I19" s="62">
        <v>73888.800000000003</v>
      </c>
      <c r="J19" s="62">
        <v>709247.67</v>
      </c>
      <c r="K19" s="62">
        <v>55948.53</v>
      </c>
      <c r="L19" s="62">
        <v>839085</v>
      </c>
      <c r="M19" s="62">
        <v>7863</v>
      </c>
      <c r="N19" s="62">
        <v>76167</v>
      </c>
      <c r="O19" s="62">
        <v>9973</v>
      </c>
      <c r="P19" s="62">
        <v>94003</v>
      </c>
      <c r="Q19" s="62">
        <v>73888.800000000003</v>
      </c>
      <c r="R19" s="62">
        <v>709247.67</v>
      </c>
      <c r="S19" s="62">
        <v>55948.53</v>
      </c>
      <c r="T19" s="62">
        <v>839085</v>
      </c>
    </row>
    <row r="20" spans="1:22" s="1" customFormat="1" ht="38.25" customHeight="1" x14ac:dyDescent="0.2">
      <c r="A20" s="1">
        <v>15</v>
      </c>
      <c r="B20" s="60" t="s">
        <v>105</v>
      </c>
      <c r="C20" s="55" t="s">
        <v>106</v>
      </c>
      <c r="D20" s="119" t="s">
        <v>183</v>
      </c>
      <c r="E20" s="62">
        <v>511448</v>
      </c>
      <c r="F20" s="62">
        <v>2291738</v>
      </c>
      <c r="G20" s="62">
        <v>25560</v>
      </c>
      <c r="H20" s="62">
        <v>2828746</v>
      </c>
      <c r="I20" s="62">
        <v>4579073.07</v>
      </c>
      <c r="J20" s="62">
        <v>20517320.539999999</v>
      </c>
      <c r="K20" s="62">
        <v>143391.6</v>
      </c>
      <c r="L20" s="62">
        <v>25239785.210000001</v>
      </c>
      <c r="M20" s="62">
        <v>511448</v>
      </c>
      <c r="N20" s="62">
        <v>2291738</v>
      </c>
      <c r="O20" s="62">
        <v>25560</v>
      </c>
      <c r="P20" s="62">
        <v>2828746</v>
      </c>
      <c r="Q20" s="62">
        <v>4579073.07</v>
      </c>
      <c r="R20" s="62">
        <v>20517320.539999999</v>
      </c>
      <c r="S20" s="62">
        <v>143391.6</v>
      </c>
      <c r="T20" s="62">
        <v>25239785.210000001</v>
      </c>
    </row>
    <row r="21" spans="1:22" s="1" customFormat="1" ht="25.5" x14ac:dyDescent="0.2">
      <c r="A21" s="1">
        <v>16</v>
      </c>
      <c r="B21" s="60" t="s">
        <v>107</v>
      </c>
      <c r="C21" s="55" t="s">
        <v>108</v>
      </c>
      <c r="D21" s="119" t="s">
        <v>183</v>
      </c>
      <c r="E21" s="62">
        <v>162231</v>
      </c>
      <c r="F21" s="62">
        <v>1607289</v>
      </c>
      <c r="G21" s="62">
        <v>19065</v>
      </c>
      <c r="H21" s="62">
        <v>1788585</v>
      </c>
      <c r="I21" s="62">
        <v>1506605.88</v>
      </c>
      <c r="J21" s="62">
        <v>14904038.960000001</v>
      </c>
      <c r="K21" s="62">
        <v>106954.65</v>
      </c>
      <c r="L21" s="62">
        <v>16517599.49</v>
      </c>
      <c r="M21" s="62">
        <v>162231</v>
      </c>
      <c r="N21" s="62">
        <v>1607289</v>
      </c>
      <c r="O21" s="62">
        <v>19065</v>
      </c>
      <c r="P21" s="62">
        <v>1788585</v>
      </c>
      <c r="Q21" s="62">
        <v>1506605.88</v>
      </c>
      <c r="R21" s="62">
        <v>14904038.960000001</v>
      </c>
      <c r="S21" s="62">
        <v>106954.65</v>
      </c>
      <c r="T21" s="62">
        <v>16517599.49</v>
      </c>
    </row>
    <row r="22" spans="1:22" s="1" customFormat="1" ht="25.5" x14ac:dyDescent="0.2">
      <c r="A22" s="1">
        <v>17</v>
      </c>
      <c r="B22" s="60" t="s">
        <v>109</v>
      </c>
      <c r="C22" s="55" t="s">
        <v>110</v>
      </c>
      <c r="D22" s="119" t="s">
        <v>183</v>
      </c>
      <c r="E22" s="62">
        <v>2622</v>
      </c>
      <c r="F22" s="62">
        <v>44969</v>
      </c>
      <c r="G22" s="62">
        <v>7375</v>
      </c>
      <c r="H22" s="62">
        <v>54966</v>
      </c>
      <c r="I22" s="62">
        <v>21102.720000000001</v>
      </c>
      <c r="J22" s="62">
        <v>351312.88</v>
      </c>
      <c r="K22" s="62">
        <v>41373.75</v>
      </c>
      <c r="L22" s="62">
        <v>413789.35</v>
      </c>
      <c r="M22" s="62">
        <v>2622</v>
      </c>
      <c r="N22" s="62">
        <v>44969</v>
      </c>
      <c r="O22" s="62">
        <v>7375</v>
      </c>
      <c r="P22" s="62">
        <v>54966</v>
      </c>
      <c r="Q22" s="62">
        <v>21102.720000000001</v>
      </c>
      <c r="R22" s="62">
        <v>351312.88</v>
      </c>
      <c r="S22" s="62">
        <v>41373.75</v>
      </c>
      <c r="T22" s="62">
        <v>413789.35</v>
      </c>
    </row>
    <row r="23" spans="1:22" s="1" customFormat="1" ht="25.5" x14ac:dyDescent="0.2">
      <c r="A23" s="1">
        <v>18</v>
      </c>
      <c r="B23" s="60" t="s">
        <v>111</v>
      </c>
      <c r="C23" s="55" t="s">
        <v>112</v>
      </c>
      <c r="D23" s="119" t="s">
        <v>183</v>
      </c>
      <c r="E23" s="62">
        <v>7117</v>
      </c>
      <c r="F23" s="62">
        <v>75193</v>
      </c>
      <c r="G23" s="62">
        <v>7375</v>
      </c>
      <c r="H23" s="62">
        <v>89685</v>
      </c>
      <c r="I23" s="62">
        <v>66482.850000000006</v>
      </c>
      <c r="J23" s="62">
        <v>699850.3</v>
      </c>
      <c r="K23" s="62">
        <v>41373.75</v>
      </c>
      <c r="L23" s="62">
        <v>807706.9</v>
      </c>
      <c r="M23" s="62">
        <v>7117</v>
      </c>
      <c r="N23" s="62">
        <v>75193</v>
      </c>
      <c r="O23" s="62">
        <v>7375</v>
      </c>
      <c r="P23" s="62">
        <v>89685</v>
      </c>
      <c r="Q23" s="62">
        <v>66482.850000000006</v>
      </c>
      <c r="R23" s="62">
        <v>699850.3</v>
      </c>
      <c r="S23" s="62">
        <v>41373.75</v>
      </c>
      <c r="T23" s="62">
        <v>807706.9</v>
      </c>
    </row>
    <row r="24" spans="1:22" s="1" customFormat="1" ht="39" customHeight="1" x14ac:dyDescent="0.2">
      <c r="A24" s="1">
        <v>19</v>
      </c>
      <c r="B24" s="60" t="s">
        <v>113</v>
      </c>
      <c r="C24" s="55" t="s">
        <v>114</v>
      </c>
      <c r="D24" s="119" t="s">
        <v>183</v>
      </c>
      <c r="E24" s="62">
        <v>120949</v>
      </c>
      <c r="F24" s="62">
        <v>591480</v>
      </c>
      <c r="G24" s="62">
        <v>15169</v>
      </c>
      <c r="H24" s="62">
        <v>727598</v>
      </c>
      <c r="I24" s="62">
        <v>1084154.48</v>
      </c>
      <c r="J24" s="62">
        <v>5298385.54</v>
      </c>
      <c r="K24" s="62">
        <v>85098.09</v>
      </c>
      <c r="L24" s="62">
        <v>6467638.1100000003</v>
      </c>
      <c r="M24" s="62">
        <v>120949</v>
      </c>
      <c r="N24" s="62">
        <v>591480</v>
      </c>
      <c r="O24" s="62">
        <v>15169</v>
      </c>
      <c r="P24" s="62">
        <v>727598</v>
      </c>
      <c r="Q24" s="62">
        <v>1084154.48</v>
      </c>
      <c r="R24" s="62">
        <v>5298385.54</v>
      </c>
      <c r="S24" s="62">
        <v>85098.09</v>
      </c>
      <c r="T24" s="62">
        <v>6467638.1100000003</v>
      </c>
    </row>
    <row r="25" spans="1:22" s="1" customFormat="1" ht="38.25" customHeight="1" x14ac:dyDescent="0.2">
      <c r="A25" s="1">
        <v>20</v>
      </c>
      <c r="B25" s="60" t="s">
        <v>115</v>
      </c>
      <c r="C25" s="55" t="s">
        <v>116</v>
      </c>
      <c r="D25" s="119" t="s">
        <v>183</v>
      </c>
      <c r="E25" s="62">
        <v>13398</v>
      </c>
      <c r="F25" s="62">
        <v>84506</v>
      </c>
      <c r="G25" s="62">
        <v>7375</v>
      </c>
      <c r="H25" s="62">
        <v>105279</v>
      </c>
      <c r="I25" s="62">
        <v>124612.68</v>
      </c>
      <c r="J25" s="62">
        <v>786181.81</v>
      </c>
      <c r="K25" s="62">
        <v>41373.75</v>
      </c>
      <c r="L25" s="62">
        <v>952168.24</v>
      </c>
      <c r="M25" s="62">
        <v>13398</v>
      </c>
      <c r="N25" s="62">
        <v>84506</v>
      </c>
      <c r="O25" s="62">
        <v>7375</v>
      </c>
      <c r="P25" s="62">
        <v>105279</v>
      </c>
      <c r="Q25" s="62">
        <v>124612.68</v>
      </c>
      <c r="R25" s="62">
        <v>786181.81</v>
      </c>
      <c r="S25" s="62">
        <v>41373.75</v>
      </c>
      <c r="T25" s="62">
        <v>952168.24</v>
      </c>
    </row>
    <row r="26" spans="1:22" s="1" customFormat="1" ht="12.75" x14ac:dyDescent="0.2">
      <c r="B26" s="5"/>
      <c r="C26" s="56" t="s">
        <v>76</v>
      </c>
      <c r="D26" s="56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spans="1:22" s="1" customFormat="1" ht="12.75" x14ac:dyDescent="0.2">
      <c r="A27" s="1">
        <v>21</v>
      </c>
      <c r="B27" s="60" t="s">
        <v>128</v>
      </c>
      <c r="C27" s="55" t="s">
        <v>77</v>
      </c>
      <c r="D27" s="92" t="s">
        <v>184</v>
      </c>
      <c r="E27" s="62">
        <v>9876627</v>
      </c>
      <c r="F27" s="62">
        <v>17237921</v>
      </c>
      <c r="G27" s="62">
        <v>3775493</v>
      </c>
      <c r="H27" s="62">
        <v>30890041</v>
      </c>
      <c r="I27" s="62">
        <v>90469903.319999993</v>
      </c>
      <c r="J27" s="62">
        <v>157899356.36000001</v>
      </c>
      <c r="K27" s="62">
        <v>21180515.73</v>
      </c>
      <c r="L27" s="62">
        <v>269549775.41000003</v>
      </c>
      <c r="M27" s="62">
        <v>5954147</v>
      </c>
      <c r="N27" s="62">
        <v>12866220</v>
      </c>
      <c r="O27" s="62">
        <v>1594890</v>
      </c>
      <c r="P27" s="62">
        <v>20415257</v>
      </c>
      <c r="Q27" s="62">
        <v>54539986.520000003</v>
      </c>
      <c r="R27" s="62">
        <v>117854575.2</v>
      </c>
      <c r="S27" s="62">
        <v>8947332.9000000004</v>
      </c>
      <c r="T27" s="62">
        <v>181341894.62</v>
      </c>
      <c r="V27" s="1">
        <f>T27/L27</f>
        <v>0.672758470468651</v>
      </c>
    </row>
    <row r="28" spans="1:22" s="1" customFormat="1" ht="40.5" customHeight="1" x14ac:dyDescent="0.2">
      <c r="A28" s="1">
        <v>22</v>
      </c>
      <c r="B28" s="60" t="s">
        <v>129</v>
      </c>
      <c r="C28" s="55" t="s">
        <v>78</v>
      </c>
      <c r="D28" s="92" t="s">
        <v>184</v>
      </c>
      <c r="E28" s="62">
        <v>9025425</v>
      </c>
      <c r="F28" s="62">
        <v>18146215</v>
      </c>
      <c r="G28" s="62">
        <v>4771543</v>
      </c>
      <c r="H28" s="62">
        <v>31943183</v>
      </c>
      <c r="I28" s="62">
        <v>82672893</v>
      </c>
      <c r="J28" s="62">
        <v>166219329.40000001</v>
      </c>
      <c r="K28" s="62">
        <v>26768356.23</v>
      </c>
      <c r="L28" s="62">
        <v>275660578.63</v>
      </c>
      <c r="M28" s="62">
        <v>5954147</v>
      </c>
      <c r="N28" s="62">
        <v>12866220</v>
      </c>
      <c r="O28" s="62">
        <v>3775493</v>
      </c>
      <c r="P28" s="62">
        <v>22595860</v>
      </c>
      <c r="Q28" s="62">
        <v>54539986.560000002</v>
      </c>
      <c r="R28" s="62">
        <v>117854575.16</v>
      </c>
      <c r="S28" s="62">
        <v>21180515.73</v>
      </c>
      <c r="T28" s="62">
        <v>193575077.44999999</v>
      </c>
      <c r="V28" s="1">
        <f t="shared" ref="V28:V36" si="5">T28/L28</f>
        <v>0.70222256084654866</v>
      </c>
    </row>
    <row r="29" spans="1:22" s="1" customFormat="1" ht="36" customHeight="1" x14ac:dyDescent="0.2">
      <c r="A29" s="1">
        <v>23</v>
      </c>
      <c r="B29" s="60" t="s">
        <v>130</v>
      </c>
      <c r="C29" s="55" t="s">
        <v>79</v>
      </c>
      <c r="D29" s="92" t="s">
        <v>184</v>
      </c>
      <c r="E29" s="62">
        <v>6280170</v>
      </c>
      <c r="F29" s="62">
        <v>11796193</v>
      </c>
      <c r="G29" s="62">
        <v>3481458</v>
      </c>
      <c r="H29" s="62">
        <v>21557821</v>
      </c>
      <c r="I29" s="62">
        <v>57526357.200000003</v>
      </c>
      <c r="J29" s="62">
        <v>108053127.88</v>
      </c>
      <c r="K29" s="62">
        <v>19530979.379999999</v>
      </c>
      <c r="L29" s="62">
        <v>185110464.46000001</v>
      </c>
      <c r="M29" s="62">
        <v>3846416</v>
      </c>
      <c r="N29" s="62">
        <v>8202065</v>
      </c>
      <c r="O29" s="62">
        <v>1358335</v>
      </c>
      <c r="P29" s="62">
        <v>13406816</v>
      </c>
      <c r="Q29" s="62">
        <v>35233170.560000002</v>
      </c>
      <c r="R29" s="62">
        <v>75130915.400000006</v>
      </c>
      <c r="S29" s="62">
        <v>7620259.3499999996</v>
      </c>
      <c r="T29" s="62">
        <v>117984345.31</v>
      </c>
      <c r="V29" s="1">
        <f t="shared" si="5"/>
        <v>0.63737263938147004</v>
      </c>
    </row>
    <row r="30" spans="1:22" s="1" customFormat="1" ht="51" x14ac:dyDescent="0.2">
      <c r="A30" s="1">
        <v>24</v>
      </c>
      <c r="B30" s="60" t="s">
        <v>131</v>
      </c>
      <c r="C30" s="55" t="s">
        <v>80</v>
      </c>
      <c r="D30" s="120" t="s">
        <v>185</v>
      </c>
      <c r="E30" s="62">
        <v>2902929</v>
      </c>
      <c r="F30" s="62">
        <v>8819165</v>
      </c>
      <c r="G30" s="62">
        <v>1635853</v>
      </c>
      <c r="H30" s="62">
        <v>13357947</v>
      </c>
      <c r="I30" s="62">
        <v>25748980.23</v>
      </c>
      <c r="J30" s="62">
        <v>78225993.549999997</v>
      </c>
      <c r="K30" s="62">
        <v>9177135.3300000001</v>
      </c>
      <c r="L30" s="62">
        <v>113152109.11</v>
      </c>
      <c r="M30" s="62">
        <v>1796912</v>
      </c>
      <c r="N30" s="62">
        <v>7144010</v>
      </c>
      <c r="O30" s="62">
        <v>697643</v>
      </c>
      <c r="P30" s="62">
        <v>9638565</v>
      </c>
      <c r="Q30" s="62">
        <v>15938609.439999999</v>
      </c>
      <c r="R30" s="62">
        <v>63367368.700000003</v>
      </c>
      <c r="S30" s="62">
        <v>3913777.23</v>
      </c>
      <c r="T30" s="62">
        <v>83219755.370000005</v>
      </c>
      <c r="V30" s="1">
        <f t="shared" si="5"/>
        <v>0.73546799988587508</v>
      </c>
    </row>
    <row r="31" spans="1:22" s="1" customFormat="1" ht="25.5" x14ac:dyDescent="0.2">
      <c r="A31" s="1">
        <v>25</v>
      </c>
      <c r="B31" s="60" t="s">
        <v>132</v>
      </c>
      <c r="C31" s="55" t="s">
        <v>81</v>
      </c>
      <c r="D31" s="119" t="s">
        <v>46</v>
      </c>
      <c r="E31" s="63">
        <f>H31-G31-F31</f>
        <v>3812402</v>
      </c>
      <c r="F31" s="63">
        <f>2024492+5980930+60</f>
        <v>8005482</v>
      </c>
      <c r="G31" s="63">
        <v>425755</v>
      </c>
      <c r="H31" s="63">
        <v>12243639</v>
      </c>
      <c r="I31" s="63">
        <v>34921602.32</v>
      </c>
      <c r="J31" s="63">
        <v>73330215.11999999</v>
      </c>
      <c r="K31" s="63">
        <v>2388485.5500000003</v>
      </c>
      <c r="L31" s="63">
        <v>110640302.98999998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62">
        <v>0</v>
      </c>
      <c r="S31" s="62">
        <v>0</v>
      </c>
      <c r="T31" s="62">
        <v>0</v>
      </c>
      <c r="V31" s="1">
        <f t="shared" si="5"/>
        <v>0</v>
      </c>
    </row>
    <row r="32" spans="1:22" s="1" customFormat="1" x14ac:dyDescent="0.2">
      <c r="A32" s="1">
        <v>26</v>
      </c>
      <c r="B32" s="60" t="s">
        <v>133</v>
      </c>
      <c r="C32" s="55" t="s">
        <v>82</v>
      </c>
      <c r="D32" s="119" t="s">
        <v>46</v>
      </c>
      <c r="E32" s="63">
        <f>H32-G32-F32</f>
        <v>3331666</v>
      </c>
      <c r="F32" s="63">
        <f>1751667+4023584+35</f>
        <v>5775286</v>
      </c>
      <c r="G32" s="63">
        <v>342228</v>
      </c>
      <c r="H32" s="63">
        <v>9449180</v>
      </c>
      <c r="I32" s="63">
        <v>30518060.560000002</v>
      </c>
      <c r="J32" s="63">
        <v>52901619.760000005</v>
      </c>
      <c r="K32" s="63">
        <v>1919899.08</v>
      </c>
      <c r="L32" s="63">
        <v>85339579.400000006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2">
        <v>0</v>
      </c>
      <c r="T32" s="62">
        <v>0</v>
      </c>
      <c r="V32" s="1">
        <f t="shared" si="5"/>
        <v>0</v>
      </c>
    </row>
    <row r="33" spans="1:22" s="1" customFormat="1" ht="37.5" customHeight="1" x14ac:dyDescent="0.2">
      <c r="A33" s="1">
        <v>27</v>
      </c>
      <c r="B33" s="60" t="s">
        <v>134</v>
      </c>
      <c r="C33" s="55" t="s">
        <v>83</v>
      </c>
      <c r="D33" s="92" t="s">
        <v>184</v>
      </c>
      <c r="E33" s="62">
        <v>3996847</v>
      </c>
      <c r="F33" s="62">
        <v>7617725</v>
      </c>
      <c r="G33" s="62">
        <v>1680624</v>
      </c>
      <c r="H33" s="62">
        <v>13295196</v>
      </c>
      <c r="I33" s="62">
        <v>36611118.520000003</v>
      </c>
      <c r="J33" s="62">
        <v>69778361</v>
      </c>
      <c r="K33" s="62">
        <v>9428300.6400000006</v>
      </c>
      <c r="L33" s="62">
        <v>115817780.16</v>
      </c>
      <c r="M33" s="96">
        <v>3996847</v>
      </c>
      <c r="N33" s="96">
        <v>7617725</v>
      </c>
      <c r="O33" s="96">
        <v>1680624</v>
      </c>
      <c r="P33" s="96">
        <v>13295196</v>
      </c>
      <c r="Q33" s="96">
        <v>36611118.520000003</v>
      </c>
      <c r="R33" s="96">
        <v>69778361</v>
      </c>
      <c r="S33" s="96">
        <v>9428300.6400000006</v>
      </c>
      <c r="T33" s="96">
        <f>Q33+R33+S33</f>
        <v>115817780.16000001</v>
      </c>
      <c r="V33" s="1">
        <f t="shared" si="5"/>
        <v>1.0000000000000002</v>
      </c>
    </row>
    <row r="34" spans="1:22" s="1" customFormat="1" ht="25.5" customHeight="1" x14ac:dyDescent="0.2">
      <c r="A34" s="1">
        <v>28</v>
      </c>
      <c r="B34" s="60" t="s">
        <v>135</v>
      </c>
      <c r="C34" s="55" t="s">
        <v>84</v>
      </c>
      <c r="D34" s="92" t="s">
        <v>184</v>
      </c>
      <c r="E34" s="62">
        <v>1623145</v>
      </c>
      <c r="F34" s="62">
        <v>3326268</v>
      </c>
      <c r="G34" s="62">
        <v>258700</v>
      </c>
      <c r="H34" s="62">
        <v>5208113</v>
      </c>
      <c r="I34" s="62">
        <v>14868008.199999999</v>
      </c>
      <c r="J34" s="62">
        <v>30468614.879999999</v>
      </c>
      <c r="K34" s="62">
        <v>1451307</v>
      </c>
      <c r="L34" s="62">
        <v>46787930.079999998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V34" s="1">
        <f t="shared" si="5"/>
        <v>0</v>
      </c>
    </row>
    <row r="35" spans="1:22" s="1" customFormat="1" ht="25.5" customHeight="1" x14ac:dyDescent="0.2">
      <c r="A35" s="1">
        <v>29</v>
      </c>
      <c r="B35" s="106" t="s">
        <v>151</v>
      </c>
      <c r="C35" s="27" t="s">
        <v>152</v>
      </c>
      <c r="D35" s="119" t="s">
        <v>183</v>
      </c>
      <c r="E35" s="62">
        <f>1000*388.39</f>
        <v>388390</v>
      </c>
      <c r="F35" s="62">
        <f>1000*16.86</f>
        <v>16860</v>
      </c>
      <c r="G35" s="62">
        <v>0</v>
      </c>
      <c r="H35" s="62">
        <v>405250</v>
      </c>
      <c r="I35" s="62">
        <f>1000*3977.12</f>
        <v>3977120</v>
      </c>
      <c r="J35" s="62">
        <f>1000*172614</f>
        <v>172614000</v>
      </c>
      <c r="K35" s="62">
        <v>0</v>
      </c>
      <c r="L35" s="62">
        <v>4149730</v>
      </c>
      <c r="M35" s="62">
        <f>1000*388.39</f>
        <v>388390</v>
      </c>
      <c r="N35" s="62">
        <f>1000*16.86</f>
        <v>16860</v>
      </c>
      <c r="O35" s="62">
        <v>0</v>
      </c>
      <c r="P35" s="62">
        <v>405250</v>
      </c>
      <c r="Q35" s="62">
        <f>1000*3977.12</f>
        <v>3977120</v>
      </c>
      <c r="R35" s="62">
        <f>1000*172614</f>
        <v>172614000</v>
      </c>
      <c r="S35" s="62">
        <v>0</v>
      </c>
      <c r="T35" s="62">
        <v>4149730</v>
      </c>
      <c r="V35" s="1">
        <f t="shared" si="5"/>
        <v>1</v>
      </c>
    </row>
    <row r="36" spans="1:22" s="1" customFormat="1" ht="25.5" customHeight="1" x14ac:dyDescent="0.2">
      <c r="A36" s="1">
        <v>30</v>
      </c>
      <c r="B36" s="106" t="s">
        <v>153</v>
      </c>
      <c r="C36" s="27" t="s">
        <v>154</v>
      </c>
      <c r="D36" s="119" t="s">
        <v>183</v>
      </c>
      <c r="E36" s="62">
        <f>1000*224.31</f>
        <v>224310</v>
      </c>
      <c r="F36" s="62">
        <f>1000*266.65</f>
        <v>266650</v>
      </c>
      <c r="G36" s="62">
        <v>61297450</v>
      </c>
      <c r="H36" s="62">
        <v>61788410</v>
      </c>
      <c r="J36" s="62"/>
      <c r="K36" s="62">
        <v>345104660</v>
      </c>
      <c r="L36" s="62">
        <v>350132030</v>
      </c>
      <c r="M36" s="62"/>
      <c r="N36" s="62"/>
      <c r="O36" s="62">
        <v>61297450</v>
      </c>
      <c r="P36" s="62">
        <v>61788410</v>
      </c>
      <c r="Q36" s="62"/>
      <c r="R36" s="62"/>
      <c r="S36" s="62">
        <v>345104660</v>
      </c>
      <c r="T36" s="62">
        <v>350132030</v>
      </c>
      <c r="V36" s="1">
        <f t="shared" si="5"/>
        <v>1</v>
      </c>
    </row>
    <row r="37" spans="1:22" s="1" customFormat="1" ht="25.5" customHeight="1" x14ac:dyDescent="0.2">
      <c r="A37" s="1">
        <v>31</v>
      </c>
      <c r="B37" s="106" t="s">
        <v>155</v>
      </c>
      <c r="C37" s="27" t="s">
        <v>154</v>
      </c>
      <c r="D37" s="119" t="s">
        <v>183</v>
      </c>
      <c r="F37" s="62"/>
      <c r="G37" s="62">
        <v>3912580</v>
      </c>
      <c r="H37" s="62">
        <v>3950100</v>
      </c>
      <c r="I37" s="62"/>
      <c r="J37" s="62"/>
      <c r="K37" s="62">
        <v>22027840</v>
      </c>
      <c r="L37" s="62">
        <v>22412030</v>
      </c>
      <c r="M37" s="62"/>
      <c r="N37" s="62"/>
      <c r="O37" s="62">
        <v>3912580</v>
      </c>
      <c r="P37" s="62">
        <v>3950100</v>
      </c>
      <c r="Q37" s="62"/>
      <c r="R37" s="62"/>
      <c r="S37" s="62">
        <v>22027840</v>
      </c>
      <c r="T37" s="62">
        <v>22412030</v>
      </c>
    </row>
    <row r="38" spans="1:22" s="1" customFormat="1" ht="25.5" customHeight="1" x14ac:dyDescent="0.2">
      <c r="A38" s="1">
        <v>32</v>
      </c>
      <c r="B38" s="106" t="s">
        <v>156</v>
      </c>
      <c r="C38" s="27" t="s">
        <v>154</v>
      </c>
      <c r="D38" s="119" t="s">
        <v>183</v>
      </c>
      <c r="E38" s="62"/>
      <c r="F38" s="62"/>
      <c r="G38" s="62">
        <v>502720</v>
      </c>
      <c r="H38" s="62">
        <v>707150</v>
      </c>
      <c r="I38" s="62"/>
      <c r="J38" s="62"/>
      <c r="K38" s="62">
        <v>2830290</v>
      </c>
      <c r="L38" s="62">
        <v>4923610</v>
      </c>
      <c r="M38" s="62"/>
      <c r="N38" s="62"/>
      <c r="O38" s="62">
        <v>502720</v>
      </c>
      <c r="P38" s="62">
        <v>707150</v>
      </c>
      <c r="Q38" s="62"/>
      <c r="R38" s="62"/>
      <c r="S38" s="62">
        <v>2830290</v>
      </c>
      <c r="T38" s="62">
        <v>4923610</v>
      </c>
    </row>
    <row r="39" spans="1:22" s="1" customFormat="1" ht="25.5" customHeight="1" x14ac:dyDescent="0.2">
      <c r="A39" s="1">
        <v>33</v>
      </c>
      <c r="B39" s="106" t="s">
        <v>157</v>
      </c>
      <c r="C39" s="27" t="s">
        <v>154</v>
      </c>
      <c r="D39" s="119" t="s">
        <v>183</v>
      </c>
      <c r="E39" s="62"/>
      <c r="F39" s="62"/>
      <c r="G39" s="62">
        <v>320680</v>
      </c>
      <c r="H39" s="62">
        <v>341060</v>
      </c>
      <c r="I39" s="62"/>
      <c r="J39" s="62"/>
      <c r="K39" s="62">
        <v>1805430</v>
      </c>
      <c r="L39" s="62">
        <v>2014160</v>
      </c>
      <c r="M39" s="62"/>
      <c r="N39" s="62"/>
      <c r="O39" s="62">
        <v>320680</v>
      </c>
      <c r="P39" s="62">
        <v>341060</v>
      </c>
      <c r="Q39" s="62"/>
      <c r="R39" s="62"/>
      <c r="S39" s="62">
        <v>1805430</v>
      </c>
      <c r="T39" s="62">
        <v>2014160</v>
      </c>
    </row>
    <row r="40" spans="1:22" s="1" customFormat="1" ht="25.5" customHeight="1" x14ac:dyDescent="0.2">
      <c r="A40" s="1">
        <v>34</v>
      </c>
      <c r="B40" s="106" t="s">
        <v>158</v>
      </c>
      <c r="C40" s="27" t="s">
        <v>159</v>
      </c>
      <c r="D40" s="119" t="s">
        <v>183</v>
      </c>
      <c r="E40" s="62"/>
      <c r="F40" s="62"/>
      <c r="G40" s="62">
        <v>139930</v>
      </c>
      <c r="H40" s="62">
        <v>556730</v>
      </c>
      <c r="I40" s="62"/>
      <c r="J40" s="62"/>
      <c r="K40" s="62">
        <v>787790</v>
      </c>
      <c r="L40" s="62">
        <v>5055900</v>
      </c>
      <c r="M40" s="62"/>
      <c r="N40" s="62"/>
      <c r="O40" s="62">
        <v>139930</v>
      </c>
      <c r="P40" s="62">
        <v>556730</v>
      </c>
      <c r="Q40" s="62"/>
      <c r="R40" s="62"/>
      <c r="S40" s="62">
        <v>787790</v>
      </c>
      <c r="T40" s="62">
        <v>5055900</v>
      </c>
    </row>
    <row r="41" spans="1:22" s="1" customFormat="1" ht="25.5" customHeight="1" x14ac:dyDescent="0.2">
      <c r="A41" s="1">
        <v>35</v>
      </c>
      <c r="B41" s="106" t="s">
        <v>160</v>
      </c>
      <c r="C41" s="27" t="s">
        <v>161</v>
      </c>
      <c r="D41" s="119" t="s">
        <v>183</v>
      </c>
      <c r="E41" s="62"/>
      <c r="F41" s="62"/>
      <c r="G41" s="62">
        <v>870660</v>
      </c>
      <c r="H41" s="62">
        <v>918610</v>
      </c>
      <c r="I41" s="62"/>
      <c r="J41" s="62"/>
      <c r="K41" s="62">
        <v>4901790</v>
      </c>
      <c r="L41" s="62">
        <v>5392840</v>
      </c>
      <c r="M41" s="62"/>
      <c r="N41" s="62"/>
      <c r="O41" s="62">
        <v>870660</v>
      </c>
      <c r="P41" s="62">
        <v>918610</v>
      </c>
      <c r="Q41" s="62"/>
      <c r="R41" s="62"/>
      <c r="S41" s="62">
        <v>4901790</v>
      </c>
      <c r="T41" s="62">
        <v>5392840</v>
      </c>
    </row>
    <row r="42" spans="1:22" s="1" customFormat="1" ht="48.75" customHeight="1" x14ac:dyDescent="0.2">
      <c r="A42" s="1">
        <v>36</v>
      </c>
      <c r="B42" s="106" t="s">
        <v>162</v>
      </c>
      <c r="C42" s="27" t="s">
        <v>163</v>
      </c>
      <c r="D42" s="119" t="s">
        <v>183</v>
      </c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</row>
    <row r="43" spans="1:22" s="1" customFormat="1" ht="57" customHeight="1" x14ac:dyDescent="0.2">
      <c r="A43" s="1">
        <v>37</v>
      </c>
      <c r="B43" s="106" t="s">
        <v>164</v>
      </c>
      <c r="C43" s="27" t="s">
        <v>165</v>
      </c>
      <c r="D43" s="119" t="s">
        <v>183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</row>
    <row r="44" spans="1:22" s="1" customFormat="1" ht="50.25" customHeight="1" x14ac:dyDescent="0.2">
      <c r="A44" s="1">
        <v>38</v>
      </c>
      <c r="B44" s="106" t="s">
        <v>166</v>
      </c>
      <c r="C44" s="27" t="s">
        <v>167</v>
      </c>
      <c r="D44" s="119" t="s">
        <v>183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</row>
    <row r="45" spans="1:22" s="1" customFormat="1" ht="48.75" customHeight="1" x14ac:dyDescent="0.2">
      <c r="A45" s="1">
        <v>39</v>
      </c>
      <c r="B45" s="106" t="s">
        <v>168</v>
      </c>
      <c r="C45" s="27" t="s">
        <v>169</v>
      </c>
      <c r="D45" s="119" t="s">
        <v>183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</row>
    <row r="46" spans="1:22" s="1" customFormat="1" ht="52.5" customHeight="1" x14ac:dyDescent="0.2">
      <c r="A46" s="1">
        <v>40</v>
      </c>
      <c r="B46" s="106" t="s">
        <v>170</v>
      </c>
      <c r="C46" s="27" t="s">
        <v>171</v>
      </c>
      <c r="D46" s="119" t="s">
        <v>183</v>
      </c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</row>
    <row r="47" spans="1:22" s="1" customFormat="1" ht="48.75" customHeight="1" x14ac:dyDescent="0.2">
      <c r="A47" s="1">
        <v>41</v>
      </c>
      <c r="B47" s="106" t="s">
        <v>172</v>
      </c>
      <c r="C47" s="27" t="s">
        <v>173</v>
      </c>
      <c r="D47" s="119" t="s">
        <v>183</v>
      </c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</row>
    <row r="48" spans="1:22" s="1" customFormat="1" ht="12.75" x14ac:dyDescent="0.2">
      <c r="B48" s="5"/>
      <c r="C48" s="56" t="s">
        <v>36</v>
      </c>
      <c r="D48" s="56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spans="1:20" s="1" customFormat="1" ht="12.75" x14ac:dyDescent="0.2">
      <c r="B49" s="5"/>
      <c r="C49" s="56" t="s">
        <v>117</v>
      </c>
      <c r="D49" s="56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spans="1:20" s="1" customFormat="1" ht="25.5" x14ac:dyDescent="0.2">
      <c r="A50" s="1">
        <v>42</v>
      </c>
      <c r="B50" s="60" t="s">
        <v>47</v>
      </c>
      <c r="C50" s="55" t="s">
        <v>53</v>
      </c>
      <c r="D50" s="119" t="s">
        <v>183</v>
      </c>
      <c r="E50" s="62">
        <v>264277</v>
      </c>
      <c r="F50" s="62">
        <v>177324</v>
      </c>
      <c r="G50" s="62">
        <v>6439</v>
      </c>
      <c r="H50" s="62">
        <v>448040</v>
      </c>
      <c r="I50" s="63">
        <v>1165461.57</v>
      </c>
      <c r="J50" s="63">
        <v>781998.84000000008</v>
      </c>
      <c r="K50" s="63">
        <v>36122.79</v>
      </c>
      <c r="L50" s="63">
        <v>1983583.2000000002</v>
      </c>
      <c r="M50" s="62">
        <v>264277</v>
      </c>
      <c r="N50" s="62">
        <v>177324</v>
      </c>
      <c r="O50" s="62">
        <v>6439</v>
      </c>
      <c r="P50" s="62">
        <v>448040</v>
      </c>
      <c r="Q50" s="63">
        <v>1165461.57</v>
      </c>
      <c r="R50" s="63">
        <v>781998.84000000008</v>
      </c>
      <c r="S50" s="63">
        <v>36122.79</v>
      </c>
      <c r="T50" s="63">
        <v>1983583.2000000002</v>
      </c>
    </row>
    <row r="51" spans="1:20" s="1" customFormat="1" ht="26.25" customHeight="1" x14ac:dyDescent="0.2">
      <c r="A51" s="1">
        <v>43</v>
      </c>
      <c r="B51" s="60" t="s">
        <v>61</v>
      </c>
      <c r="C51" s="55" t="s">
        <v>54</v>
      </c>
      <c r="D51" s="119" t="s">
        <v>183</v>
      </c>
      <c r="E51" s="62">
        <v>199542</v>
      </c>
      <c r="F51" s="62">
        <v>300633</v>
      </c>
      <c r="G51" s="62">
        <v>15025</v>
      </c>
      <c r="H51" s="62">
        <v>515200</v>
      </c>
      <c r="I51" s="63">
        <v>879980.22</v>
      </c>
      <c r="J51" s="63">
        <v>1325791.53</v>
      </c>
      <c r="K51" s="63">
        <v>84290.25</v>
      </c>
      <c r="L51" s="63">
        <v>2290062</v>
      </c>
      <c r="M51" s="62">
        <v>199542</v>
      </c>
      <c r="N51" s="62">
        <v>300633</v>
      </c>
      <c r="O51" s="62">
        <v>15025</v>
      </c>
      <c r="P51" s="62">
        <v>515200</v>
      </c>
      <c r="Q51" s="63">
        <v>879980.22</v>
      </c>
      <c r="R51" s="63">
        <v>1325791.53</v>
      </c>
      <c r="S51" s="63">
        <v>84290.25</v>
      </c>
      <c r="T51" s="63">
        <v>2290062</v>
      </c>
    </row>
    <row r="52" spans="1:20" s="1" customFormat="1" ht="25.5" customHeight="1" x14ac:dyDescent="0.2">
      <c r="A52" s="1">
        <v>44</v>
      </c>
      <c r="B52" s="60" t="s">
        <v>62</v>
      </c>
      <c r="C52" s="55" t="s">
        <v>55</v>
      </c>
      <c r="D52" s="119" t="s">
        <v>183</v>
      </c>
      <c r="E52" s="62">
        <v>198722</v>
      </c>
      <c r="F52" s="62">
        <v>140170</v>
      </c>
      <c r="G52" s="62">
        <v>4293</v>
      </c>
      <c r="H52" s="62">
        <v>343185</v>
      </c>
      <c r="I52" s="63">
        <v>876364.02</v>
      </c>
      <c r="J52" s="63">
        <v>618149.70000000007</v>
      </c>
      <c r="K52" s="63">
        <v>24083.73</v>
      </c>
      <c r="L52" s="63">
        <v>1518597.4500000002</v>
      </c>
      <c r="M52" s="62">
        <v>198722</v>
      </c>
      <c r="N52" s="62">
        <v>140170</v>
      </c>
      <c r="O52" s="62">
        <v>4293</v>
      </c>
      <c r="P52" s="62">
        <v>343185</v>
      </c>
      <c r="Q52" s="63">
        <v>876364.02</v>
      </c>
      <c r="R52" s="63">
        <v>618149.70000000007</v>
      </c>
      <c r="S52" s="63">
        <v>24083.73</v>
      </c>
      <c r="T52" s="63">
        <v>1518597.4500000002</v>
      </c>
    </row>
    <row r="53" spans="1:20" s="1" customFormat="1" ht="25.5" x14ac:dyDescent="0.2">
      <c r="A53" s="1">
        <v>45</v>
      </c>
      <c r="B53" s="60" t="s">
        <v>63</v>
      </c>
      <c r="C53" s="55" t="s">
        <v>56</v>
      </c>
      <c r="D53" s="119" t="s">
        <v>183</v>
      </c>
      <c r="E53" s="62">
        <v>165061</v>
      </c>
      <c r="F53" s="62">
        <v>70840</v>
      </c>
      <c r="G53" s="62">
        <v>0</v>
      </c>
      <c r="H53" s="62">
        <v>235901</v>
      </c>
      <c r="I53" s="63">
        <v>727919.01</v>
      </c>
      <c r="J53" s="63">
        <v>312404.40000000002</v>
      </c>
      <c r="K53" s="63">
        <v>0</v>
      </c>
      <c r="L53" s="63">
        <v>1040323.41</v>
      </c>
      <c r="M53" s="62">
        <v>165061</v>
      </c>
      <c r="N53" s="62">
        <v>70840</v>
      </c>
      <c r="O53" s="62">
        <v>0</v>
      </c>
      <c r="P53" s="62">
        <v>235901</v>
      </c>
      <c r="Q53" s="63">
        <v>727919.01</v>
      </c>
      <c r="R53" s="63">
        <v>312404.40000000002</v>
      </c>
      <c r="S53" s="63">
        <v>0</v>
      </c>
      <c r="T53" s="63">
        <v>1040323.41</v>
      </c>
    </row>
    <row r="54" spans="1:20" s="1" customFormat="1" ht="25.5" x14ac:dyDescent="0.2">
      <c r="A54" s="1">
        <v>46</v>
      </c>
      <c r="B54" s="60" t="s">
        <v>64</v>
      </c>
      <c r="C54" s="55" t="s">
        <v>57</v>
      </c>
      <c r="D54" s="119" t="s">
        <v>183</v>
      </c>
      <c r="E54" s="63">
        <v>247998</v>
      </c>
      <c r="F54" s="63">
        <v>158196</v>
      </c>
      <c r="G54" s="63">
        <v>6439</v>
      </c>
      <c r="H54" s="63">
        <f t="shared" ref="H54:H55" si="6">SUM(E54:G54)</f>
        <v>412633</v>
      </c>
      <c r="I54" s="63">
        <v>1093671.18</v>
      </c>
      <c r="J54" s="63">
        <v>697644.36</v>
      </c>
      <c r="K54" s="63">
        <v>36122.79</v>
      </c>
      <c r="L54" s="63">
        <f t="shared" ref="L54:L55" si="7">SUM(I54:K54)</f>
        <v>1827438.33</v>
      </c>
      <c r="M54" s="63">
        <v>247998</v>
      </c>
      <c r="N54" s="63">
        <v>158196</v>
      </c>
      <c r="O54" s="63">
        <v>6439</v>
      </c>
      <c r="P54" s="63">
        <f t="shared" ref="P54:P55" si="8">SUM(M54:O54)</f>
        <v>412633</v>
      </c>
      <c r="Q54" s="63">
        <v>1093671.18</v>
      </c>
      <c r="R54" s="63">
        <v>697644.36</v>
      </c>
      <c r="S54" s="63">
        <v>36122.79</v>
      </c>
      <c r="T54" s="63">
        <f t="shared" ref="T54:T55" si="9">SUM(Q54:S54)</f>
        <v>1827438.33</v>
      </c>
    </row>
    <row r="55" spans="1:20" s="1" customFormat="1" ht="25.5" x14ac:dyDescent="0.2">
      <c r="A55" s="1">
        <v>47</v>
      </c>
      <c r="B55" s="60" t="s">
        <v>65</v>
      </c>
      <c r="C55" s="55" t="s">
        <v>58</v>
      </c>
      <c r="D55" s="119" t="s">
        <v>183</v>
      </c>
      <c r="E55" s="63">
        <v>135828</v>
      </c>
      <c r="F55" s="63">
        <v>78039</v>
      </c>
      <c r="G55" s="63">
        <v>2146</v>
      </c>
      <c r="H55" s="63">
        <f t="shared" si="6"/>
        <v>216013</v>
      </c>
      <c r="I55" s="63">
        <v>599001.48</v>
      </c>
      <c r="J55" s="63">
        <v>344151.99</v>
      </c>
      <c r="K55" s="63">
        <v>12039.06</v>
      </c>
      <c r="L55" s="63">
        <f t="shared" si="7"/>
        <v>955192.53</v>
      </c>
      <c r="M55" s="63">
        <v>135828</v>
      </c>
      <c r="N55" s="63">
        <v>78039</v>
      </c>
      <c r="O55" s="63">
        <v>2146</v>
      </c>
      <c r="P55" s="63">
        <f t="shared" si="8"/>
        <v>216013</v>
      </c>
      <c r="Q55" s="63">
        <v>599001.48</v>
      </c>
      <c r="R55" s="63">
        <v>344151.99</v>
      </c>
      <c r="S55" s="63">
        <v>12039.06</v>
      </c>
      <c r="T55" s="63">
        <f t="shared" si="9"/>
        <v>955192.53</v>
      </c>
    </row>
    <row r="56" spans="1:20" s="1" customFormat="1" ht="26.25" customHeight="1" x14ac:dyDescent="0.2">
      <c r="A56" s="1">
        <v>48</v>
      </c>
      <c r="B56" s="60" t="s">
        <v>66</v>
      </c>
      <c r="C56" s="55" t="s">
        <v>59</v>
      </c>
      <c r="D56" s="119" t="s">
        <v>183</v>
      </c>
      <c r="E56" s="62">
        <v>44335</v>
      </c>
      <c r="F56" s="62">
        <v>27793</v>
      </c>
      <c r="G56" s="62">
        <v>1148</v>
      </c>
      <c r="H56" s="62">
        <v>73276</v>
      </c>
      <c r="I56" s="63">
        <v>195517.35</v>
      </c>
      <c r="J56" s="63">
        <v>122567.13</v>
      </c>
      <c r="K56" s="63">
        <v>6440.2800000000007</v>
      </c>
      <c r="L56" s="63">
        <v>324524.76</v>
      </c>
      <c r="M56" s="62">
        <v>44335</v>
      </c>
      <c r="N56" s="62">
        <v>27793</v>
      </c>
      <c r="O56" s="62">
        <v>1148</v>
      </c>
      <c r="P56" s="62">
        <v>73276</v>
      </c>
      <c r="Q56" s="63">
        <v>195517.35</v>
      </c>
      <c r="R56" s="63">
        <v>122567.13</v>
      </c>
      <c r="S56" s="63">
        <v>6440.2800000000007</v>
      </c>
      <c r="T56" s="63">
        <v>324524.76</v>
      </c>
    </row>
    <row r="57" spans="1:20" s="1" customFormat="1" ht="25.5" customHeight="1" x14ac:dyDescent="0.2">
      <c r="A57" s="1">
        <v>49</v>
      </c>
      <c r="B57" s="123" t="s">
        <v>67</v>
      </c>
      <c r="C57" s="124" t="s">
        <v>60</v>
      </c>
      <c r="D57" s="125" t="s">
        <v>183</v>
      </c>
      <c r="E57" s="126">
        <v>37118</v>
      </c>
      <c r="F57" s="126">
        <v>17867</v>
      </c>
      <c r="G57" s="126">
        <v>0</v>
      </c>
      <c r="H57" s="126">
        <v>54985</v>
      </c>
      <c r="I57" s="127">
        <v>163690.38</v>
      </c>
      <c r="J57" s="127">
        <v>78793.47</v>
      </c>
      <c r="K57" s="127">
        <v>0</v>
      </c>
      <c r="L57" s="127">
        <v>242483.85</v>
      </c>
      <c r="M57" s="126">
        <v>37118</v>
      </c>
      <c r="N57" s="126">
        <v>17867</v>
      </c>
      <c r="O57" s="126">
        <v>0</v>
      </c>
      <c r="P57" s="126">
        <v>54985</v>
      </c>
      <c r="Q57" s="127">
        <v>163690.38</v>
      </c>
      <c r="R57" s="127">
        <v>78793.47</v>
      </c>
      <c r="S57" s="127">
        <v>0</v>
      </c>
      <c r="T57" s="127">
        <v>242483.85</v>
      </c>
    </row>
    <row r="58" spans="1:20" s="1" customFormat="1" ht="25.5" customHeight="1" x14ac:dyDescent="0.2">
      <c r="A58" s="92"/>
      <c r="B58" s="106"/>
      <c r="C58" s="51" t="s">
        <v>180</v>
      </c>
      <c r="D58" s="27"/>
      <c r="E58" s="62"/>
      <c r="F58" s="62"/>
      <c r="G58" s="62"/>
      <c r="H58" s="62"/>
      <c r="I58" s="63"/>
      <c r="J58" s="63"/>
      <c r="K58" s="63"/>
      <c r="L58" s="63"/>
      <c r="M58" s="62"/>
      <c r="N58" s="62"/>
      <c r="O58" s="62"/>
      <c r="P58" s="62"/>
      <c r="Q58" s="63"/>
      <c r="R58" s="63"/>
      <c r="S58" s="63"/>
      <c r="T58" s="63"/>
    </row>
    <row r="59" spans="1:20" s="1" customFormat="1" ht="25.5" customHeight="1" x14ac:dyDescent="0.2">
      <c r="A59" s="114">
        <v>50</v>
      </c>
      <c r="B59" s="106" t="s">
        <v>174</v>
      </c>
      <c r="C59" s="117" t="s">
        <v>175</v>
      </c>
      <c r="D59" s="119" t="s">
        <v>183</v>
      </c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</row>
    <row r="60" spans="1:20" s="1" customFormat="1" ht="25.5" customHeight="1" x14ac:dyDescent="0.2">
      <c r="A60" s="114">
        <v>51</v>
      </c>
      <c r="B60" s="106" t="s">
        <v>176</v>
      </c>
      <c r="C60" s="117" t="s">
        <v>177</v>
      </c>
      <c r="D60" s="119" t="s">
        <v>183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</row>
    <row r="61" spans="1:20" s="1" customFormat="1" ht="25.5" customHeight="1" x14ac:dyDescent="0.2">
      <c r="A61" s="114">
        <v>52</v>
      </c>
      <c r="B61" s="106" t="s">
        <v>178</v>
      </c>
      <c r="C61" s="118" t="s">
        <v>179</v>
      </c>
      <c r="D61" s="119" t="s">
        <v>183</v>
      </c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</row>
    <row r="63" spans="1:20" x14ac:dyDescent="0.25">
      <c r="A63" s="116"/>
      <c r="G63" s="58">
        <f>SUM(G4:G62)</f>
        <v>83832798</v>
      </c>
      <c r="K63" s="58">
        <f>SUM(K4:K62)</f>
        <v>471642844.58000004</v>
      </c>
      <c r="M63" s="57">
        <f>SUM(M4:M62)</f>
        <v>26193898</v>
      </c>
      <c r="Q63" s="57">
        <f>SUM(Q4:Q62)</f>
        <v>234218938.22</v>
      </c>
    </row>
    <row r="66" spans="8:12" x14ac:dyDescent="0.25">
      <c r="H66" s="58"/>
    </row>
    <row r="67" spans="8:12" x14ac:dyDescent="0.25">
      <c r="H67" s="58">
        <f>SUM(H4:H66)</f>
        <v>227711987</v>
      </c>
      <c r="L67" s="58">
        <f>SUM(L4:L66)</f>
        <v>1782063504.7500002</v>
      </c>
    </row>
    <row r="72" spans="8:12" x14ac:dyDescent="0.25">
      <c r="I72" s="58"/>
    </row>
  </sheetData>
  <mergeCells count="4">
    <mergeCell ref="M1:P1"/>
    <mergeCell ref="Q1:T1"/>
    <mergeCell ref="I1:L1"/>
    <mergeCell ref="E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Лист1</vt:lpstr>
      <vt:lpstr>График ГПР_Прил_2</vt:lpstr>
      <vt:lpstr>Приложение 1</vt:lpstr>
      <vt:lpstr>НМЦ_Прил_1</vt:lpstr>
      <vt:lpstr>разбивка по сметам</vt:lpstr>
      <vt:lpstr>'Приложение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Зайнуллин Марат Илгамович</cp:lastModifiedBy>
  <dcterms:created xsi:type="dcterms:W3CDTF">2022-10-31T14:31:02Z</dcterms:created>
  <dcterms:modified xsi:type="dcterms:W3CDTF">2023-03-22T13:07:41Z</dcterms:modified>
</cp:coreProperties>
</file>