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ОТиКС\4. Договора подряда\19. Установка реклоузеров\"/>
    </mc:Choice>
  </mc:AlternateContent>
  <xr:revisionPtr revIDLastSave="0" documentId="13_ncr:1_{9A7D52CB-0672-471F-AD40-A1AA2EBD515D}" xr6:coauthVersionLast="47" xr6:coauthVersionMax="47" xr10:uidLastSave="{00000000-0000-0000-0000-000000000000}"/>
  <bookViews>
    <workbookView xWindow="-120" yWindow="-120" windowWidth="29040" windowHeight="15840" xr2:uid="{74C3BD6B-F261-4DBD-B7DB-797D8322ABEC}"/>
  </bookViews>
  <sheets>
    <sheet name="Смета для ТЕР ЧР" sheetId="6" r:id="rId1"/>
    <sheet name="RV_DATA" sheetId="8" state="hidden" r:id="rId2"/>
    <sheet name="Расчет стоимости ресурсов" sheetId="7" r:id="rId3"/>
    <sheet name="Акт КС-2 для ТЕР ЧР" sheetId="9" r:id="rId4"/>
    <sheet name="Макет форма-3" sheetId="10" r:id="rId5"/>
    <sheet name="Source" sheetId="1" r:id="rId6"/>
    <sheet name="SourceObSm" sheetId="2" r:id="rId7"/>
    <sheet name="SmtRes" sheetId="3" r:id="rId8"/>
    <sheet name="EtalonRes" sheetId="4" r:id="rId9"/>
    <sheet name="SrcKA" sheetId="5" r:id="rId10"/>
  </sheets>
  <externalReferences>
    <externalReference r:id="rId11"/>
  </externalReferences>
  <definedNames>
    <definedName name="_xlnm.Print_Titles" localSheetId="3">'Акт КС-2 для ТЕР ЧР'!$34:$34</definedName>
    <definedName name="_xlnm.Print_Titles" localSheetId="2">'Расчет стоимости ресурсов'!$4:$7</definedName>
    <definedName name="_xlnm.Print_Titles" localSheetId="0">'Смета для ТЕР ЧР'!$33:$33</definedName>
    <definedName name="_xlnm.Print_Area" localSheetId="3">'Акт КС-2 для ТЕР ЧР'!$A$1:$M$377</definedName>
    <definedName name="_xlnm.Print_Area" localSheetId="2">'Расчет стоимости ресурсов'!$A$1:$F$49</definedName>
    <definedName name="_xlnm.Print_Area" localSheetId="0">'Смета для ТЕР ЧР'!$A$1:$L$371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6" l="1"/>
  <c r="B9" i="6"/>
  <c r="B12" i="6"/>
  <c r="A1" i="10"/>
  <c r="I375" i="9"/>
  <c r="I371" i="9"/>
  <c r="D375" i="9"/>
  <c r="D371" i="9"/>
  <c r="D367" i="9"/>
  <c r="D366" i="9"/>
  <c r="D365" i="9"/>
  <c r="D364" i="9"/>
  <c r="D363" i="9"/>
  <c r="D362" i="9"/>
  <c r="D361" i="9"/>
  <c r="D360" i="9"/>
  <c r="D359" i="9"/>
  <c r="D354" i="9"/>
  <c r="D353" i="9"/>
  <c r="D352" i="9"/>
  <c r="D351" i="9"/>
  <c r="D350" i="9"/>
  <c r="D349" i="9"/>
  <c r="D348" i="9"/>
  <c r="D347" i="9"/>
  <c r="D346" i="9"/>
  <c r="D341" i="9"/>
  <c r="D340" i="9"/>
  <c r="D339" i="9"/>
  <c r="D338" i="9"/>
  <c r="D337" i="9"/>
  <c r="D336" i="9"/>
  <c r="D335" i="9"/>
  <c r="D334" i="9"/>
  <c r="D333" i="9"/>
  <c r="Z329" i="9"/>
  <c r="Y329" i="9"/>
  <c r="W329" i="9"/>
  <c r="K328" i="9"/>
  <c r="H328" i="9"/>
  <c r="G328" i="9"/>
  <c r="G327" i="9"/>
  <c r="F327" i="9"/>
  <c r="E327" i="9"/>
  <c r="J327" i="9"/>
  <c r="D327" i="9"/>
  <c r="C327" i="9"/>
  <c r="B327" i="9"/>
  <c r="Z326" i="9"/>
  <c r="Y326" i="9"/>
  <c r="X326" i="9"/>
  <c r="H325" i="9"/>
  <c r="F325" i="9"/>
  <c r="K324" i="9"/>
  <c r="F324" i="9"/>
  <c r="K323" i="9"/>
  <c r="F323" i="9"/>
  <c r="K322" i="9"/>
  <c r="H322" i="9"/>
  <c r="G322" i="9"/>
  <c r="K321" i="9"/>
  <c r="H321" i="9"/>
  <c r="G321" i="9"/>
  <c r="K320" i="9"/>
  <c r="H320" i="9"/>
  <c r="G320" i="9"/>
  <c r="K319" i="9"/>
  <c r="H319" i="9"/>
  <c r="G319" i="9"/>
  <c r="G317" i="9"/>
  <c r="E317" i="9"/>
  <c r="J317" i="9"/>
  <c r="D317" i="9"/>
  <c r="C317" i="9"/>
  <c r="B317" i="9"/>
  <c r="AE316" i="9"/>
  <c r="A316" i="9"/>
  <c r="D313" i="9"/>
  <c r="D312" i="9"/>
  <c r="D311" i="9"/>
  <c r="D310" i="9"/>
  <c r="D309" i="9"/>
  <c r="D308" i="9"/>
  <c r="D307" i="9"/>
  <c r="D306" i="9"/>
  <c r="D305" i="9"/>
  <c r="Z301" i="9"/>
  <c r="Y301" i="9"/>
  <c r="W301" i="9"/>
  <c r="H300" i="9"/>
  <c r="F300" i="9"/>
  <c r="K299" i="9"/>
  <c r="F299" i="9"/>
  <c r="K298" i="9"/>
  <c r="F298" i="9"/>
  <c r="K297" i="9"/>
  <c r="H297" i="9"/>
  <c r="G297" i="9"/>
  <c r="K296" i="9"/>
  <c r="H296" i="9"/>
  <c r="G296" i="9"/>
  <c r="G294" i="9"/>
  <c r="E294" i="9"/>
  <c r="J294" i="9"/>
  <c r="D294" i="9"/>
  <c r="C294" i="9"/>
  <c r="B294" i="9"/>
  <c r="Z293" i="9"/>
  <c r="Y293" i="9"/>
  <c r="X293" i="9"/>
  <c r="K292" i="9"/>
  <c r="H292" i="9"/>
  <c r="G292" i="9"/>
  <c r="G291" i="9"/>
  <c r="F291" i="9"/>
  <c r="E291" i="9"/>
  <c r="J291" i="9"/>
  <c r="D291" i="9"/>
  <c r="C291" i="9"/>
  <c r="B291" i="9"/>
  <c r="Z290" i="9"/>
  <c r="Y290" i="9"/>
  <c r="X290" i="9"/>
  <c r="K289" i="9"/>
  <c r="Y289" i="9"/>
  <c r="G289" i="9"/>
  <c r="E289" i="9"/>
  <c r="C289" i="9"/>
  <c r="B289" i="9"/>
  <c r="H288" i="9"/>
  <c r="F288" i="9"/>
  <c r="K287" i="9"/>
  <c r="F287" i="9"/>
  <c r="K286" i="9"/>
  <c r="F286" i="9"/>
  <c r="K285" i="9"/>
  <c r="H285" i="9"/>
  <c r="G285" i="9"/>
  <c r="K284" i="9"/>
  <c r="H284" i="9"/>
  <c r="G284" i="9"/>
  <c r="K283" i="9"/>
  <c r="H283" i="9"/>
  <c r="G283" i="9"/>
  <c r="K282" i="9"/>
  <c r="H282" i="9"/>
  <c r="G282" i="9"/>
  <c r="G281" i="9"/>
  <c r="F281" i="9"/>
  <c r="E281" i="9"/>
  <c r="J281" i="9"/>
  <c r="D281" i="9"/>
  <c r="C281" i="9"/>
  <c r="B281" i="9"/>
  <c r="Z280" i="9"/>
  <c r="Y280" i="9"/>
  <c r="X280" i="9"/>
  <c r="K279" i="9"/>
  <c r="H279" i="9"/>
  <c r="G279" i="9"/>
  <c r="G277" i="9"/>
  <c r="E277" i="9"/>
  <c r="J277" i="9"/>
  <c r="D277" i="9"/>
  <c r="C277" i="9"/>
  <c r="B277" i="9"/>
  <c r="Z276" i="9"/>
  <c r="Y276" i="9"/>
  <c r="X276" i="9"/>
  <c r="K275" i="9"/>
  <c r="H275" i="9"/>
  <c r="G275" i="9"/>
  <c r="G274" i="9"/>
  <c r="F274" i="9"/>
  <c r="E274" i="9"/>
  <c r="J274" i="9"/>
  <c r="D274" i="9"/>
  <c r="C274" i="9"/>
  <c r="B274" i="9"/>
  <c r="Z273" i="9"/>
  <c r="Y273" i="9"/>
  <c r="W273" i="9"/>
  <c r="K272" i="9"/>
  <c r="H272" i="9"/>
  <c r="G272" i="9"/>
  <c r="G270" i="9"/>
  <c r="E270" i="9"/>
  <c r="J270" i="9"/>
  <c r="D270" i="9"/>
  <c r="C270" i="9"/>
  <c r="B270" i="9"/>
  <c r="Z269" i="9"/>
  <c r="Y269" i="9"/>
  <c r="X269" i="9"/>
  <c r="K268" i="9"/>
  <c r="H268" i="9"/>
  <c r="G268" i="9"/>
  <c r="G267" i="9"/>
  <c r="F267" i="9"/>
  <c r="E267" i="9"/>
  <c r="J267" i="9"/>
  <c r="C267" i="9"/>
  <c r="B267" i="9"/>
  <c r="Z266" i="9"/>
  <c r="Y266" i="9"/>
  <c r="X266" i="9"/>
  <c r="K265" i="9"/>
  <c r="H265" i="9"/>
  <c r="G265" i="9"/>
  <c r="G264" i="9"/>
  <c r="F264" i="9"/>
  <c r="E264" i="9"/>
  <c r="J264" i="9"/>
  <c r="C264" i="9"/>
  <c r="B264" i="9"/>
  <c r="Z263" i="9"/>
  <c r="Y263" i="9"/>
  <c r="X263" i="9"/>
  <c r="K262" i="9"/>
  <c r="H262" i="9"/>
  <c r="G262" i="9"/>
  <c r="G261" i="9"/>
  <c r="F261" i="9"/>
  <c r="E261" i="9"/>
  <c r="J261" i="9"/>
  <c r="D261" i="9"/>
  <c r="C261" i="9"/>
  <c r="B261" i="9"/>
  <c r="Z260" i="9"/>
  <c r="Y260" i="9"/>
  <c r="X260" i="9"/>
  <c r="K259" i="9"/>
  <c r="H259" i="9"/>
  <c r="G259" i="9"/>
  <c r="G258" i="9"/>
  <c r="F258" i="9"/>
  <c r="E258" i="9"/>
  <c r="J258" i="9"/>
  <c r="D258" i="9"/>
  <c r="C258" i="9"/>
  <c r="B258" i="9"/>
  <c r="Z257" i="9"/>
  <c r="Y257" i="9"/>
  <c r="X257" i="9"/>
  <c r="K256" i="9"/>
  <c r="H256" i="9"/>
  <c r="G256" i="9"/>
  <c r="G255" i="9"/>
  <c r="F255" i="9"/>
  <c r="E255" i="9"/>
  <c r="J255" i="9"/>
  <c r="D255" i="9"/>
  <c r="C255" i="9"/>
  <c r="B255" i="9"/>
  <c r="Z254" i="9"/>
  <c r="Y254" i="9"/>
  <c r="X254" i="9"/>
  <c r="K253" i="9"/>
  <c r="H253" i="9"/>
  <c r="G253" i="9"/>
  <c r="G252" i="9"/>
  <c r="F252" i="9"/>
  <c r="E252" i="9"/>
  <c r="J252" i="9"/>
  <c r="D252" i="9"/>
  <c r="C252" i="9"/>
  <c r="B252" i="9"/>
  <c r="Z251" i="9"/>
  <c r="Y251" i="9"/>
  <c r="X251" i="9"/>
  <c r="H250" i="9"/>
  <c r="F250" i="9"/>
  <c r="K249" i="9"/>
  <c r="F249" i="9"/>
  <c r="K248" i="9"/>
  <c r="F248" i="9"/>
  <c r="K247" i="9"/>
  <c r="H247" i="9"/>
  <c r="G247" i="9"/>
  <c r="K246" i="9"/>
  <c r="H246" i="9"/>
  <c r="G246" i="9"/>
  <c r="K245" i="9"/>
  <c r="H245" i="9"/>
  <c r="G245" i="9"/>
  <c r="K244" i="9"/>
  <c r="H244" i="9"/>
  <c r="G244" i="9"/>
  <c r="G243" i="9"/>
  <c r="F243" i="9"/>
  <c r="E243" i="9"/>
  <c r="J243" i="9"/>
  <c r="D243" i="9"/>
  <c r="C243" i="9"/>
  <c r="B243" i="9"/>
  <c r="Z242" i="9"/>
  <c r="Y242" i="9"/>
  <c r="W242" i="9"/>
  <c r="H241" i="9"/>
  <c r="F241" i="9"/>
  <c r="K240" i="9"/>
  <c r="F240" i="9"/>
  <c r="K239" i="9"/>
  <c r="F239" i="9"/>
  <c r="K238" i="9"/>
  <c r="H238" i="9"/>
  <c r="G238" i="9"/>
  <c r="K237" i="9"/>
  <c r="H237" i="9"/>
  <c r="G237" i="9"/>
  <c r="K236" i="9"/>
  <c r="H236" i="9"/>
  <c r="G236" i="9"/>
  <c r="K235" i="9"/>
  <c r="H235" i="9"/>
  <c r="G235" i="9"/>
  <c r="G233" i="9"/>
  <c r="E233" i="9"/>
  <c r="J233" i="9"/>
  <c r="D233" i="9"/>
  <c r="C233" i="9"/>
  <c r="B233" i="9"/>
  <c r="AE232" i="9"/>
  <c r="A232" i="9"/>
  <c r="D229" i="9"/>
  <c r="D228" i="9"/>
  <c r="D227" i="9"/>
  <c r="D226" i="9"/>
  <c r="D225" i="9"/>
  <c r="D224" i="9"/>
  <c r="D223" i="9"/>
  <c r="D222" i="9"/>
  <c r="D221" i="9"/>
  <c r="Y217" i="9"/>
  <c r="X217" i="9"/>
  <c r="W217" i="9"/>
  <c r="H216" i="9"/>
  <c r="F216" i="9"/>
  <c r="K215" i="9"/>
  <c r="F215" i="9"/>
  <c r="K214" i="9"/>
  <c r="F214" i="9"/>
  <c r="K213" i="9"/>
  <c r="H213" i="9"/>
  <c r="G213" i="9"/>
  <c r="G211" i="9"/>
  <c r="E211" i="9"/>
  <c r="J211" i="9"/>
  <c r="D211" i="9"/>
  <c r="C211" i="9"/>
  <c r="B211" i="9"/>
  <c r="Y210" i="9"/>
  <c r="X210" i="9"/>
  <c r="W210" i="9"/>
  <c r="H209" i="9"/>
  <c r="F209" i="9"/>
  <c r="K208" i="9"/>
  <c r="F208" i="9"/>
  <c r="K207" i="9"/>
  <c r="F207" i="9"/>
  <c r="K206" i="9"/>
  <c r="H206" i="9"/>
  <c r="G206" i="9"/>
  <c r="G205" i="9"/>
  <c r="F205" i="9"/>
  <c r="E205" i="9"/>
  <c r="J205" i="9"/>
  <c r="D205" i="9"/>
  <c r="C205" i="9"/>
  <c r="B205" i="9"/>
  <c r="Z204" i="9"/>
  <c r="Y204" i="9"/>
  <c r="X204" i="9"/>
  <c r="K203" i="9"/>
  <c r="H203" i="9"/>
  <c r="G203" i="9"/>
  <c r="G201" i="9"/>
  <c r="E201" i="9"/>
  <c r="J201" i="9"/>
  <c r="D201" i="9"/>
  <c r="C201" i="9"/>
  <c r="B201" i="9"/>
  <c r="Z200" i="9"/>
  <c r="Y200" i="9"/>
  <c r="X200" i="9"/>
  <c r="K199" i="9"/>
  <c r="Y199" i="9"/>
  <c r="G199" i="9"/>
  <c r="E199" i="9"/>
  <c r="C199" i="9"/>
  <c r="B199" i="9"/>
  <c r="H198" i="9"/>
  <c r="F198" i="9"/>
  <c r="K197" i="9"/>
  <c r="F197" i="9"/>
  <c r="K196" i="9"/>
  <c r="F196" i="9"/>
  <c r="K195" i="9"/>
  <c r="H195" i="9"/>
  <c r="G195" i="9"/>
  <c r="K194" i="9"/>
  <c r="H194" i="9"/>
  <c r="G194" i="9"/>
  <c r="K193" i="9"/>
  <c r="H193" i="9"/>
  <c r="G193" i="9"/>
  <c r="K192" i="9"/>
  <c r="H192" i="9"/>
  <c r="G192" i="9"/>
  <c r="G191" i="9"/>
  <c r="F191" i="9"/>
  <c r="E191" i="9"/>
  <c r="J191" i="9"/>
  <c r="D191" i="9"/>
  <c r="C191" i="9"/>
  <c r="B191" i="9"/>
  <c r="Z190" i="9"/>
  <c r="Y190" i="9"/>
  <c r="X190" i="9"/>
  <c r="K189" i="9"/>
  <c r="H189" i="9"/>
  <c r="G189" i="9"/>
  <c r="G188" i="9"/>
  <c r="F188" i="9"/>
  <c r="E188" i="9"/>
  <c r="J188" i="9"/>
  <c r="D188" i="9"/>
  <c r="C188" i="9"/>
  <c r="B188" i="9"/>
  <c r="Z187" i="9"/>
  <c r="Y187" i="9"/>
  <c r="W187" i="9"/>
  <c r="H186" i="9"/>
  <c r="F186" i="9"/>
  <c r="K185" i="9"/>
  <c r="F185" i="9"/>
  <c r="K184" i="9"/>
  <c r="F184" i="9"/>
  <c r="K183" i="9"/>
  <c r="H183" i="9"/>
  <c r="G183" i="9"/>
  <c r="K182" i="9"/>
  <c r="H182" i="9"/>
  <c r="G182" i="9"/>
  <c r="K181" i="9"/>
  <c r="H181" i="9"/>
  <c r="G181" i="9"/>
  <c r="K180" i="9"/>
  <c r="H180" i="9"/>
  <c r="G180" i="9"/>
  <c r="G178" i="9"/>
  <c r="E178" i="9"/>
  <c r="J178" i="9"/>
  <c r="D178" i="9"/>
  <c r="C178" i="9"/>
  <c r="B178" i="9"/>
  <c r="Z177" i="9"/>
  <c r="Y177" i="9"/>
  <c r="X177" i="9"/>
  <c r="H176" i="9"/>
  <c r="F176" i="9"/>
  <c r="K175" i="9"/>
  <c r="F175" i="9"/>
  <c r="K174" i="9"/>
  <c r="F174" i="9"/>
  <c r="K173" i="9"/>
  <c r="H173" i="9"/>
  <c r="G173" i="9"/>
  <c r="G171" i="9"/>
  <c r="E171" i="9"/>
  <c r="J171" i="9"/>
  <c r="D171" i="9"/>
  <c r="C171" i="9"/>
  <c r="B171" i="9"/>
  <c r="Z170" i="9"/>
  <c r="Y170" i="9"/>
  <c r="X170" i="9"/>
  <c r="H169" i="9"/>
  <c r="F169" i="9"/>
  <c r="K168" i="9"/>
  <c r="F168" i="9"/>
  <c r="K167" i="9"/>
  <c r="F167" i="9"/>
  <c r="K166" i="9"/>
  <c r="H166" i="9"/>
  <c r="G166" i="9"/>
  <c r="G164" i="9"/>
  <c r="E164" i="9"/>
  <c r="J164" i="9"/>
  <c r="D164" i="9"/>
  <c r="C164" i="9"/>
  <c r="B164" i="9"/>
  <c r="AF163" i="9"/>
  <c r="D163" i="9"/>
  <c r="Z162" i="9"/>
  <c r="X162" i="9"/>
  <c r="W162" i="9"/>
  <c r="G161" i="9"/>
  <c r="F161" i="9"/>
  <c r="E161" i="9"/>
  <c r="J161" i="9"/>
  <c r="D161" i="9"/>
  <c r="C161" i="9"/>
  <c r="B161" i="9"/>
  <c r="Z160" i="9"/>
  <c r="Y160" i="9"/>
  <c r="X160" i="9"/>
  <c r="H159" i="9"/>
  <c r="F159" i="9"/>
  <c r="K158" i="9"/>
  <c r="F158" i="9"/>
  <c r="K157" i="9"/>
  <c r="F157" i="9"/>
  <c r="K156" i="9"/>
  <c r="H156" i="9"/>
  <c r="G156" i="9"/>
  <c r="K155" i="9"/>
  <c r="H155" i="9"/>
  <c r="G155" i="9"/>
  <c r="K154" i="9"/>
  <c r="H154" i="9"/>
  <c r="G154" i="9"/>
  <c r="G153" i="9"/>
  <c r="F153" i="9"/>
  <c r="E153" i="9"/>
  <c r="J153" i="9"/>
  <c r="D153" i="9"/>
  <c r="C153" i="9"/>
  <c r="B153" i="9"/>
  <c r="Z152" i="9"/>
  <c r="Y152" i="9"/>
  <c r="X152" i="9"/>
  <c r="K151" i="9"/>
  <c r="H151" i="9"/>
  <c r="G151" i="9"/>
  <c r="G149" i="9"/>
  <c r="E149" i="9"/>
  <c r="J149" i="9"/>
  <c r="D149" i="9"/>
  <c r="C149" i="9"/>
  <c r="B149" i="9"/>
  <c r="Z148" i="9"/>
  <c r="Y148" i="9"/>
  <c r="X148" i="9"/>
  <c r="K147" i="9"/>
  <c r="Y147" i="9"/>
  <c r="G147" i="9"/>
  <c r="E147" i="9"/>
  <c r="C147" i="9"/>
  <c r="B147" i="9"/>
  <c r="H146" i="9"/>
  <c r="F146" i="9"/>
  <c r="K145" i="9"/>
  <c r="F145" i="9"/>
  <c r="K144" i="9"/>
  <c r="F144" i="9"/>
  <c r="K143" i="9"/>
  <c r="H143" i="9"/>
  <c r="G143" i="9"/>
  <c r="K142" i="9"/>
  <c r="H142" i="9"/>
  <c r="G142" i="9"/>
  <c r="K141" i="9"/>
  <c r="H141" i="9"/>
  <c r="G141" i="9"/>
  <c r="K140" i="9"/>
  <c r="H140" i="9"/>
  <c r="G140" i="9"/>
  <c r="G139" i="9"/>
  <c r="F139" i="9"/>
  <c r="E139" i="9"/>
  <c r="J139" i="9"/>
  <c r="D139" i="9"/>
  <c r="C139" i="9"/>
  <c r="B139" i="9"/>
  <c r="Z138" i="9"/>
  <c r="Y138" i="9"/>
  <c r="X138" i="9"/>
  <c r="K137" i="9"/>
  <c r="H137" i="9"/>
  <c r="G137" i="9"/>
  <c r="G136" i="9"/>
  <c r="F136" i="9"/>
  <c r="E136" i="9"/>
  <c r="J136" i="9"/>
  <c r="D136" i="9"/>
  <c r="C136" i="9"/>
  <c r="B136" i="9"/>
  <c r="Z135" i="9"/>
  <c r="Y135" i="9"/>
  <c r="X135" i="9"/>
  <c r="H134" i="9"/>
  <c r="F134" i="9"/>
  <c r="K133" i="9"/>
  <c r="F133" i="9"/>
  <c r="K132" i="9"/>
  <c r="F132" i="9"/>
  <c r="K131" i="9"/>
  <c r="H131" i="9"/>
  <c r="G131" i="9"/>
  <c r="K130" i="9"/>
  <c r="H130" i="9"/>
  <c r="G130" i="9"/>
  <c r="K129" i="9"/>
  <c r="H129" i="9"/>
  <c r="G129" i="9"/>
  <c r="K128" i="9"/>
  <c r="H128" i="9"/>
  <c r="G128" i="9"/>
  <c r="G127" i="9"/>
  <c r="F127" i="9"/>
  <c r="E127" i="9"/>
  <c r="J127" i="9"/>
  <c r="D127" i="9"/>
  <c r="C127" i="9"/>
  <c r="B127" i="9"/>
  <c r="Z126" i="9"/>
  <c r="Y126" i="9"/>
  <c r="X126" i="9"/>
  <c r="K125" i="9"/>
  <c r="H125" i="9"/>
  <c r="G125" i="9"/>
  <c r="G124" i="9"/>
  <c r="F124" i="9"/>
  <c r="E124" i="9"/>
  <c r="J124" i="9"/>
  <c r="C124" i="9"/>
  <c r="B124" i="9"/>
  <c r="Z123" i="9"/>
  <c r="Y123" i="9"/>
  <c r="W123" i="9"/>
  <c r="K122" i="9"/>
  <c r="H122" i="9"/>
  <c r="G122" i="9"/>
  <c r="G121" i="9"/>
  <c r="F121" i="9"/>
  <c r="E121" i="9"/>
  <c r="J121" i="9"/>
  <c r="D121" i="9"/>
  <c r="C121" i="9"/>
  <c r="B121" i="9"/>
  <c r="Z120" i="9"/>
  <c r="Y120" i="9"/>
  <c r="X120" i="9"/>
  <c r="K119" i="9"/>
  <c r="H119" i="9"/>
  <c r="G119" i="9"/>
  <c r="G118" i="9"/>
  <c r="F118" i="9"/>
  <c r="E118" i="9"/>
  <c r="J118" i="9"/>
  <c r="D118" i="9"/>
  <c r="C118" i="9"/>
  <c r="B118" i="9"/>
  <c r="Z117" i="9"/>
  <c r="Y117" i="9"/>
  <c r="W117" i="9"/>
  <c r="K116" i="9"/>
  <c r="H116" i="9"/>
  <c r="G116" i="9"/>
  <c r="G115" i="9"/>
  <c r="F115" i="9"/>
  <c r="E115" i="9"/>
  <c r="J115" i="9"/>
  <c r="D115" i="9"/>
  <c r="C115" i="9"/>
  <c r="B115" i="9"/>
  <c r="Z114" i="9"/>
  <c r="Y114" i="9"/>
  <c r="X114" i="9"/>
  <c r="K113" i="9"/>
  <c r="H113" i="9"/>
  <c r="G113" i="9"/>
  <c r="G112" i="9"/>
  <c r="F112" i="9"/>
  <c r="E112" i="9"/>
  <c r="J112" i="9"/>
  <c r="D112" i="9"/>
  <c r="C112" i="9"/>
  <c r="B112" i="9"/>
  <c r="Z111" i="9"/>
  <c r="Y111" i="9"/>
  <c r="W111" i="9"/>
  <c r="K110" i="9"/>
  <c r="H110" i="9"/>
  <c r="G110" i="9"/>
  <c r="G109" i="9"/>
  <c r="F109" i="9"/>
  <c r="E109" i="9"/>
  <c r="J109" i="9"/>
  <c r="D109" i="9"/>
  <c r="C109" i="9"/>
  <c r="B109" i="9"/>
  <c r="Z108" i="9"/>
  <c r="Y108" i="9"/>
  <c r="X108" i="9"/>
  <c r="K107" i="9"/>
  <c r="H107" i="9"/>
  <c r="G107" i="9"/>
  <c r="G106" i="9"/>
  <c r="F106" i="9"/>
  <c r="E106" i="9"/>
  <c r="J106" i="9"/>
  <c r="D106" i="9"/>
  <c r="C106" i="9"/>
  <c r="B106" i="9"/>
  <c r="Z105" i="9"/>
  <c r="Y105" i="9"/>
  <c r="X105" i="9"/>
  <c r="K104" i="9"/>
  <c r="H104" i="9"/>
  <c r="G104" i="9"/>
  <c r="G103" i="9"/>
  <c r="F103" i="9"/>
  <c r="E103" i="9"/>
  <c r="J103" i="9"/>
  <c r="D103" i="9"/>
  <c r="C103" i="9"/>
  <c r="B103" i="9"/>
  <c r="Z102" i="9"/>
  <c r="Y102" i="9"/>
  <c r="X102" i="9"/>
  <c r="K101" i="9"/>
  <c r="H101" i="9"/>
  <c r="G101" i="9"/>
  <c r="G100" i="9"/>
  <c r="F100" i="9"/>
  <c r="E100" i="9"/>
  <c r="J100" i="9"/>
  <c r="D100" i="9"/>
  <c r="C100" i="9"/>
  <c r="B100" i="9"/>
  <c r="Z99" i="9"/>
  <c r="Y99" i="9"/>
  <c r="X99" i="9"/>
  <c r="K98" i="9"/>
  <c r="H98" i="9"/>
  <c r="G98" i="9"/>
  <c r="G97" i="9"/>
  <c r="F97" i="9"/>
  <c r="E97" i="9"/>
  <c r="J97" i="9"/>
  <c r="D97" i="9"/>
  <c r="C97" i="9"/>
  <c r="B97" i="9"/>
  <c r="Z96" i="9"/>
  <c r="Y96" i="9"/>
  <c r="X96" i="9"/>
  <c r="K95" i="9"/>
  <c r="H95" i="9"/>
  <c r="G95" i="9"/>
  <c r="G94" i="9"/>
  <c r="F94" i="9"/>
  <c r="E94" i="9"/>
  <c r="J94" i="9"/>
  <c r="D94" i="9"/>
  <c r="C94" i="9"/>
  <c r="B94" i="9"/>
  <c r="Z93" i="9"/>
  <c r="Y93" i="9"/>
  <c r="X93" i="9"/>
  <c r="K92" i="9"/>
  <c r="Y92" i="9"/>
  <c r="G92" i="9"/>
  <c r="E92" i="9"/>
  <c r="D92" i="9"/>
  <c r="C92" i="9"/>
  <c r="B92" i="9"/>
  <c r="H91" i="9"/>
  <c r="F91" i="9"/>
  <c r="K90" i="9"/>
  <c r="F90" i="9"/>
  <c r="K89" i="9"/>
  <c r="F89" i="9"/>
  <c r="K88" i="9"/>
  <c r="H88" i="9"/>
  <c r="G88" i="9"/>
  <c r="K87" i="9"/>
  <c r="H87" i="9"/>
  <c r="G87" i="9"/>
  <c r="K86" i="9"/>
  <c r="H86" i="9"/>
  <c r="G86" i="9"/>
  <c r="K85" i="9"/>
  <c r="H85" i="9"/>
  <c r="G85" i="9"/>
  <c r="G84" i="9"/>
  <c r="F84" i="9"/>
  <c r="E84" i="9"/>
  <c r="J84" i="9"/>
  <c r="D84" i="9"/>
  <c r="C84" i="9"/>
  <c r="B84" i="9"/>
  <c r="Z83" i="9"/>
  <c r="Y83" i="9"/>
  <c r="W83" i="9"/>
  <c r="H82" i="9"/>
  <c r="F82" i="9"/>
  <c r="K81" i="9"/>
  <c r="F81" i="9"/>
  <c r="K80" i="9"/>
  <c r="F80" i="9"/>
  <c r="K79" i="9"/>
  <c r="H79" i="9"/>
  <c r="G79" i="9"/>
  <c r="K78" i="9"/>
  <c r="H78" i="9"/>
  <c r="G78" i="9"/>
  <c r="K77" i="9"/>
  <c r="H77" i="9"/>
  <c r="G77" i="9"/>
  <c r="K76" i="9"/>
  <c r="H76" i="9"/>
  <c r="G76" i="9"/>
  <c r="G75" i="9"/>
  <c r="E75" i="9"/>
  <c r="J75" i="9"/>
  <c r="D75" i="9"/>
  <c r="C75" i="9"/>
  <c r="B75" i="9"/>
  <c r="Z74" i="9"/>
  <c r="Y74" i="9"/>
  <c r="X74" i="9"/>
  <c r="H73" i="9"/>
  <c r="F73" i="9"/>
  <c r="K72" i="9"/>
  <c r="F72" i="9"/>
  <c r="K71" i="9"/>
  <c r="F71" i="9"/>
  <c r="K70" i="9"/>
  <c r="H70" i="9"/>
  <c r="G70" i="9"/>
  <c r="K69" i="9"/>
  <c r="H69" i="9"/>
  <c r="G69" i="9"/>
  <c r="K68" i="9"/>
  <c r="H68" i="9"/>
  <c r="G68" i="9"/>
  <c r="G67" i="9"/>
  <c r="F67" i="9"/>
  <c r="E67" i="9"/>
  <c r="J67" i="9"/>
  <c r="D67" i="9"/>
  <c r="C67" i="9"/>
  <c r="B67" i="9"/>
  <c r="AE66" i="9"/>
  <c r="A66" i="9"/>
  <c r="D63" i="9"/>
  <c r="D62" i="9"/>
  <c r="D61" i="9"/>
  <c r="D60" i="9"/>
  <c r="D59" i="9"/>
  <c r="D58" i="9"/>
  <c r="D57" i="9"/>
  <c r="D56" i="9"/>
  <c r="D55" i="9"/>
  <c r="Z51" i="9"/>
  <c r="Y51" i="9"/>
  <c r="W51" i="9"/>
  <c r="H50" i="9"/>
  <c r="F50" i="9"/>
  <c r="K49" i="9"/>
  <c r="F49" i="9"/>
  <c r="K48" i="9"/>
  <c r="F48" i="9"/>
  <c r="K47" i="9"/>
  <c r="H47" i="9"/>
  <c r="G47" i="9"/>
  <c r="G45" i="9"/>
  <c r="E45" i="9"/>
  <c r="J45" i="9"/>
  <c r="D45" i="9"/>
  <c r="C45" i="9"/>
  <c r="B45" i="9"/>
  <c r="Z44" i="9"/>
  <c r="Y44" i="9"/>
  <c r="X44" i="9"/>
  <c r="H43" i="9"/>
  <c r="F43" i="9"/>
  <c r="K42" i="9"/>
  <c r="F42" i="9"/>
  <c r="K41" i="9"/>
  <c r="F41" i="9"/>
  <c r="K40" i="9"/>
  <c r="H40" i="9"/>
  <c r="G40" i="9"/>
  <c r="K39" i="9"/>
  <c r="H39" i="9"/>
  <c r="G39" i="9"/>
  <c r="K38" i="9"/>
  <c r="H38" i="9"/>
  <c r="G38" i="9"/>
  <c r="G37" i="9"/>
  <c r="F37" i="9"/>
  <c r="E37" i="9"/>
  <c r="J37" i="9"/>
  <c r="D37" i="9"/>
  <c r="C37" i="9"/>
  <c r="B37" i="9"/>
  <c r="AE36" i="9"/>
  <c r="A36" i="9"/>
  <c r="G26" i="9"/>
  <c r="K22" i="9"/>
  <c r="K21" i="9"/>
  <c r="K20" i="9"/>
  <c r="K19" i="9"/>
  <c r="K16" i="9"/>
  <c r="AD17" i="9"/>
  <c r="C17" i="9"/>
  <c r="K14" i="9"/>
  <c r="AD13" i="9"/>
  <c r="K12" i="9"/>
  <c r="C13" i="9"/>
  <c r="AD11" i="9"/>
  <c r="K10" i="9"/>
  <c r="C11" i="9"/>
  <c r="AD9" i="9"/>
  <c r="K8" i="9"/>
  <c r="C9" i="9"/>
  <c r="A1" i="9"/>
  <c r="Z79" i="8"/>
  <c r="I79" i="8"/>
  <c r="D42" i="7" s="1"/>
  <c r="H79" i="8"/>
  <c r="G79" i="8"/>
  <c r="F79" i="8"/>
  <c r="E79" i="8"/>
  <c r="D79" i="8"/>
  <c r="A79" i="8"/>
  <c r="Z78" i="8"/>
  <c r="Q78" i="8"/>
  <c r="S78" i="8"/>
  <c r="P78" i="8"/>
  <c r="N78" i="8"/>
  <c r="K78" i="8"/>
  <c r="J78" i="8"/>
  <c r="H78" i="8"/>
  <c r="G78" i="8"/>
  <c r="F78" i="8"/>
  <c r="E78" i="8"/>
  <c r="Z77" i="8"/>
  <c r="S77" i="8"/>
  <c r="P77" i="8"/>
  <c r="N77" i="8"/>
  <c r="E16" i="7" s="1"/>
  <c r="K77" i="8"/>
  <c r="J77" i="8"/>
  <c r="H77" i="8"/>
  <c r="G77" i="8"/>
  <c r="F77" i="8"/>
  <c r="E77" i="8"/>
  <c r="Z76" i="8"/>
  <c r="S76" i="8"/>
  <c r="P76" i="8"/>
  <c r="N76" i="8"/>
  <c r="K76" i="8"/>
  <c r="J76" i="8"/>
  <c r="H76" i="8"/>
  <c r="G76" i="8"/>
  <c r="F76" i="8"/>
  <c r="E76" i="8"/>
  <c r="Z75" i="8"/>
  <c r="S75" i="8"/>
  <c r="P75" i="8"/>
  <c r="N75" i="8"/>
  <c r="K75" i="8"/>
  <c r="J75" i="8"/>
  <c r="H75" i="8"/>
  <c r="G75" i="8"/>
  <c r="F75" i="8"/>
  <c r="E75" i="8"/>
  <c r="Z74" i="8"/>
  <c r="S74" i="8"/>
  <c r="P74" i="8"/>
  <c r="N74" i="8"/>
  <c r="E37" i="7" s="1"/>
  <c r="K74" i="8"/>
  <c r="J74" i="8"/>
  <c r="H74" i="8"/>
  <c r="G74" i="8"/>
  <c r="F74" i="8"/>
  <c r="E74" i="8"/>
  <c r="Z73" i="8"/>
  <c r="S73" i="8"/>
  <c r="P73" i="8"/>
  <c r="N73" i="8"/>
  <c r="E38" i="7" s="1"/>
  <c r="K73" i="8"/>
  <c r="J73" i="8"/>
  <c r="H73" i="8"/>
  <c r="G73" i="8"/>
  <c r="F73" i="8"/>
  <c r="E73" i="8"/>
  <c r="G72" i="8"/>
  <c r="A72" i="8"/>
  <c r="Z71" i="8"/>
  <c r="S71" i="8"/>
  <c r="P71" i="8"/>
  <c r="N71" i="8"/>
  <c r="K71" i="8"/>
  <c r="J71" i="8"/>
  <c r="H71" i="8"/>
  <c r="G71" i="8"/>
  <c r="F71" i="8"/>
  <c r="E71" i="8"/>
  <c r="Z70" i="8"/>
  <c r="I70" i="8"/>
  <c r="H70" i="8"/>
  <c r="G70" i="8"/>
  <c r="F70" i="8"/>
  <c r="E70" i="8"/>
  <c r="D70" i="8"/>
  <c r="A70" i="8"/>
  <c r="Z69" i="8"/>
  <c r="S69" i="8"/>
  <c r="P69" i="8"/>
  <c r="N69" i="8"/>
  <c r="K69" i="8"/>
  <c r="J69" i="8"/>
  <c r="H69" i="8"/>
  <c r="G69" i="8"/>
  <c r="F69" i="8"/>
  <c r="E69" i="8"/>
  <c r="Z68" i="8"/>
  <c r="H68" i="8"/>
  <c r="G68" i="8"/>
  <c r="F68" i="8"/>
  <c r="E68" i="8"/>
  <c r="D68" i="8"/>
  <c r="A68" i="8"/>
  <c r="Z67" i="8"/>
  <c r="I67" i="8"/>
  <c r="D26" i="7" s="1"/>
  <c r="H67" i="8"/>
  <c r="G67" i="8"/>
  <c r="F67" i="8"/>
  <c r="E67" i="8"/>
  <c r="D67" i="8"/>
  <c r="A67" i="8"/>
  <c r="Z66" i="8"/>
  <c r="H66" i="8"/>
  <c r="G66" i="8"/>
  <c r="F66" i="8"/>
  <c r="E66" i="8"/>
  <c r="D66" i="8"/>
  <c r="A66" i="8"/>
  <c r="Z65" i="8"/>
  <c r="I65" i="8"/>
  <c r="D47" i="7" s="1"/>
  <c r="H65" i="8"/>
  <c r="G65" i="8"/>
  <c r="F65" i="8"/>
  <c r="E65" i="8"/>
  <c r="D65" i="8"/>
  <c r="A65" i="8"/>
  <c r="Z64" i="8"/>
  <c r="I64" i="8"/>
  <c r="D46" i="7" s="1"/>
  <c r="H64" i="8"/>
  <c r="G64" i="8"/>
  <c r="F64" i="8"/>
  <c r="E64" i="8"/>
  <c r="D64" i="8"/>
  <c r="A64" i="8"/>
  <c r="Z63" i="8"/>
  <c r="I63" i="8"/>
  <c r="H63" i="8"/>
  <c r="G63" i="8"/>
  <c r="F63" i="8"/>
  <c r="E63" i="8"/>
  <c r="D63" i="8"/>
  <c r="A63" i="8"/>
  <c r="Z62" i="8"/>
  <c r="I62" i="8"/>
  <c r="H62" i="8"/>
  <c r="G62" i="8"/>
  <c r="F62" i="8"/>
  <c r="E62" i="8"/>
  <c r="D62" i="8"/>
  <c r="A62" i="8"/>
  <c r="Z61" i="8"/>
  <c r="I61" i="8"/>
  <c r="H61" i="8"/>
  <c r="G61" i="8"/>
  <c r="F61" i="8"/>
  <c r="E61" i="8"/>
  <c r="D61" i="8"/>
  <c r="A61" i="8"/>
  <c r="Z60" i="8"/>
  <c r="I60" i="8"/>
  <c r="D32" i="7" s="1"/>
  <c r="H60" i="8"/>
  <c r="G60" i="8"/>
  <c r="F60" i="8"/>
  <c r="E60" i="8"/>
  <c r="D60" i="8"/>
  <c r="A60" i="8"/>
  <c r="Z59" i="8"/>
  <c r="S59" i="8"/>
  <c r="P59" i="8"/>
  <c r="N59" i="8"/>
  <c r="K59" i="8"/>
  <c r="J59" i="8"/>
  <c r="H59" i="8"/>
  <c r="G59" i="8"/>
  <c r="F59" i="8"/>
  <c r="E59" i="8"/>
  <c r="Z58" i="8"/>
  <c r="S58" i="8"/>
  <c r="P58" i="8"/>
  <c r="N58" i="8"/>
  <c r="K58" i="8"/>
  <c r="J58" i="8"/>
  <c r="H58" i="8"/>
  <c r="G58" i="8"/>
  <c r="F58" i="8"/>
  <c r="E58" i="8"/>
  <c r="Z57" i="8"/>
  <c r="S57" i="8"/>
  <c r="P57" i="8"/>
  <c r="N57" i="8"/>
  <c r="K57" i="8"/>
  <c r="J57" i="8"/>
  <c r="H57" i="8"/>
  <c r="G57" i="8"/>
  <c r="F57" i="8"/>
  <c r="E57" i="8"/>
  <c r="Z56" i="8"/>
  <c r="S56" i="8"/>
  <c r="P56" i="8"/>
  <c r="N56" i="8"/>
  <c r="K56" i="8"/>
  <c r="J56" i="8"/>
  <c r="H56" i="8"/>
  <c r="G56" i="8"/>
  <c r="F56" i="8"/>
  <c r="E56" i="8"/>
  <c r="Z55" i="8"/>
  <c r="S55" i="8"/>
  <c r="P55" i="8"/>
  <c r="N55" i="8"/>
  <c r="K55" i="8"/>
  <c r="J55" i="8"/>
  <c r="H55" i="8"/>
  <c r="G55" i="8"/>
  <c r="F55" i="8"/>
  <c r="E55" i="8"/>
  <c r="Z54" i="8"/>
  <c r="S54" i="8"/>
  <c r="P54" i="8"/>
  <c r="N54" i="8"/>
  <c r="K54" i="8"/>
  <c r="J54" i="8"/>
  <c r="H54" i="8"/>
  <c r="G54" i="8"/>
  <c r="F54" i="8"/>
  <c r="E54" i="8"/>
  <c r="Z53" i="8"/>
  <c r="S53" i="8"/>
  <c r="P53" i="8"/>
  <c r="N53" i="8"/>
  <c r="K53" i="8"/>
  <c r="J53" i="8"/>
  <c r="H53" i="8"/>
  <c r="G53" i="8"/>
  <c r="F53" i="8"/>
  <c r="E53" i="8"/>
  <c r="Z52" i="8"/>
  <c r="S52" i="8"/>
  <c r="P52" i="8"/>
  <c r="N52" i="8"/>
  <c r="K52" i="8"/>
  <c r="J52" i="8"/>
  <c r="H52" i="8"/>
  <c r="G52" i="8"/>
  <c r="F52" i="8"/>
  <c r="E52" i="8"/>
  <c r="Z51" i="8"/>
  <c r="S51" i="8"/>
  <c r="P51" i="8"/>
  <c r="N51" i="8"/>
  <c r="K51" i="8"/>
  <c r="J51" i="8"/>
  <c r="H51" i="8"/>
  <c r="G51" i="8"/>
  <c r="F51" i="8"/>
  <c r="E51" i="8"/>
  <c r="Z50" i="8"/>
  <c r="S50" i="8"/>
  <c r="P50" i="8"/>
  <c r="N50" i="8"/>
  <c r="K50" i="8"/>
  <c r="J50" i="8"/>
  <c r="H50" i="8"/>
  <c r="G50" i="8"/>
  <c r="F50" i="8"/>
  <c r="E50" i="8"/>
  <c r="Z49" i="8"/>
  <c r="S49" i="8"/>
  <c r="P49" i="8"/>
  <c r="N49" i="8"/>
  <c r="K49" i="8"/>
  <c r="J49" i="8"/>
  <c r="H49" i="8"/>
  <c r="G49" i="8"/>
  <c r="F49" i="8"/>
  <c r="E49" i="8"/>
  <c r="Z48" i="8"/>
  <c r="S48" i="8"/>
  <c r="P48" i="8"/>
  <c r="N48" i="8"/>
  <c r="K48" i="8"/>
  <c r="J48" i="8"/>
  <c r="H48" i="8"/>
  <c r="G48" i="8"/>
  <c r="F48" i="8"/>
  <c r="E48" i="8"/>
  <c r="G47" i="8"/>
  <c r="A47" i="8"/>
  <c r="Z46" i="8"/>
  <c r="H46" i="8"/>
  <c r="G46" i="8"/>
  <c r="F46" i="8"/>
  <c r="E46" i="8"/>
  <c r="D46" i="8"/>
  <c r="A46" i="8"/>
  <c r="Z45" i="8"/>
  <c r="S45" i="8"/>
  <c r="P45" i="8"/>
  <c r="N45" i="8"/>
  <c r="K45" i="8"/>
  <c r="J45" i="8"/>
  <c r="H45" i="8"/>
  <c r="G45" i="8"/>
  <c r="F45" i="8"/>
  <c r="E45" i="8"/>
  <c r="Z44" i="8"/>
  <c r="I44" i="8"/>
  <c r="D21" i="7" s="1"/>
  <c r="H44" i="8"/>
  <c r="G44" i="8"/>
  <c r="F44" i="8"/>
  <c r="E44" i="8"/>
  <c r="D44" i="8"/>
  <c r="A44" i="8"/>
  <c r="Z43" i="8"/>
  <c r="S43" i="8"/>
  <c r="P43" i="8"/>
  <c r="N43" i="8"/>
  <c r="K43" i="8"/>
  <c r="J43" i="8"/>
  <c r="H43" i="8"/>
  <c r="G43" i="8"/>
  <c r="F43" i="8"/>
  <c r="E43" i="8"/>
  <c r="Z42" i="8"/>
  <c r="S42" i="8"/>
  <c r="P42" i="8"/>
  <c r="N42" i="8"/>
  <c r="E28" i="7" s="1"/>
  <c r="K42" i="8"/>
  <c r="J42" i="8"/>
  <c r="H42" i="8"/>
  <c r="G42" i="8"/>
  <c r="F42" i="8"/>
  <c r="E42" i="8"/>
  <c r="Z41" i="8"/>
  <c r="S41" i="8"/>
  <c r="P41" i="8"/>
  <c r="N41" i="8"/>
  <c r="K41" i="8"/>
  <c r="J41" i="8"/>
  <c r="H41" i="8"/>
  <c r="G41" i="8"/>
  <c r="F41" i="8"/>
  <c r="E41" i="8"/>
  <c r="Z40" i="8"/>
  <c r="H40" i="8"/>
  <c r="G40" i="8"/>
  <c r="F40" i="8"/>
  <c r="E40" i="8"/>
  <c r="D40" i="8"/>
  <c r="A40" i="8"/>
  <c r="Z39" i="8"/>
  <c r="S39" i="8"/>
  <c r="P39" i="8"/>
  <c r="N39" i="8"/>
  <c r="E13" i="7" s="1"/>
  <c r="K39" i="8"/>
  <c r="J39" i="8"/>
  <c r="H39" i="8"/>
  <c r="G39" i="8"/>
  <c r="F39" i="8"/>
  <c r="E39" i="8"/>
  <c r="Z38" i="8"/>
  <c r="I38" i="8"/>
  <c r="H38" i="8"/>
  <c r="G38" i="8"/>
  <c r="F38" i="8"/>
  <c r="E38" i="8"/>
  <c r="D38" i="8"/>
  <c r="A38" i="8"/>
  <c r="Z37" i="8"/>
  <c r="S37" i="8"/>
  <c r="P37" i="8"/>
  <c r="N37" i="8"/>
  <c r="K37" i="8"/>
  <c r="J37" i="8"/>
  <c r="H37" i="8"/>
  <c r="G37" i="8"/>
  <c r="F37" i="8"/>
  <c r="E37" i="8"/>
  <c r="Z36" i="8"/>
  <c r="S36" i="8"/>
  <c r="P36" i="8"/>
  <c r="N36" i="8"/>
  <c r="E11" i="7" s="1"/>
  <c r="K36" i="8"/>
  <c r="J36" i="8"/>
  <c r="H36" i="8"/>
  <c r="G36" i="8"/>
  <c r="F36" i="8"/>
  <c r="E36" i="8"/>
  <c r="Z35" i="8"/>
  <c r="S35" i="8"/>
  <c r="P35" i="8"/>
  <c r="N35" i="8"/>
  <c r="K35" i="8"/>
  <c r="J35" i="8"/>
  <c r="H35" i="8"/>
  <c r="G35" i="8"/>
  <c r="F35" i="8"/>
  <c r="E35" i="8"/>
  <c r="Z34" i="8"/>
  <c r="S34" i="8"/>
  <c r="P34" i="8"/>
  <c r="N34" i="8"/>
  <c r="K34" i="8"/>
  <c r="J34" i="8"/>
  <c r="H34" i="8"/>
  <c r="G34" i="8"/>
  <c r="F34" i="8"/>
  <c r="E34" i="8"/>
  <c r="Z33" i="8"/>
  <c r="S33" i="8"/>
  <c r="P33" i="8"/>
  <c r="N33" i="8"/>
  <c r="K33" i="8"/>
  <c r="J33" i="8"/>
  <c r="H33" i="8"/>
  <c r="G33" i="8"/>
  <c r="F33" i="8"/>
  <c r="E33" i="8"/>
  <c r="Z32" i="8"/>
  <c r="I32" i="8"/>
  <c r="D45" i="7" s="1"/>
  <c r="H32" i="8"/>
  <c r="G32" i="8"/>
  <c r="F32" i="8"/>
  <c r="E32" i="8"/>
  <c r="D32" i="8"/>
  <c r="A32" i="8"/>
  <c r="Z31" i="8"/>
  <c r="I31" i="8"/>
  <c r="D43" i="7" s="1"/>
  <c r="H31" i="8"/>
  <c r="G31" i="8"/>
  <c r="F31" i="8"/>
  <c r="E31" i="8"/>
  <c r="D31" i="8"/>
  <c r="A31" i="8"/>
  <c r="Z30" i="8"/>
  <c r="I30" i="8"/>
  <c r="D25" i="7" s="1"/>
  <c r="H30" i="8"/>
  <c r="G30" i="8"/>
  <c r="F30" i="8"/>
  <c r="E30" i="8"/>
  <c r="D30" i="8"/>
  <c r="A30" i="8"/>
  <c r="Z29" i="8"/>
  <c r="I29" i="8"/>
  <c r="D41" i="7" s="1"/>
  <c r="H29" i="8"/>
  <c r="G29" i="8"/>
  <c r="F29" i="8"/>
  <c r="E29" i="8"/>
  <c r="D29" i="8"/>
  <c r="A29" i="8"/>
  <c r="Z28" i="8"/>
  <c r="I28" i="8"/>
  <c r="D23" i="7" s="1"/>
  <c r="H28" i="8"/>
  <c r="G28" i="8"/>
  <c r="F28" i="8"/>
  <c r="E28" i="8"/>
  <c r="D28" i="8"/>
  <c r="A28" i="8"/>
  <c r="Z27" i="8"/>
  <c r="I27" i="8"/>
  <c r="D40" i="7" s="1"/>
  <c r="H27" i="8"/>
  <c r="G27" i="8"/>
  <c r="F27" i="8"/>
  <c r="E27" i="8"/>
  <c r="D27" i="8"/>
  <c r="A27" i="8"/>
  <c r="Z26" i="8"/>
  <c r="I26" i="8"/>
  <c r="D24" i="7" s="1"/>
  <c r="H26" i="8"/>
  <c r="G26" i="8"/>
  <c r="F26" i="8"/>
  <c r="E26" i="8"/>
  <c r="D26" i="8"/>
  <c r="A26" i="8"/>
  <c r="Z25" i="8"/>
  <c r="I25" i="8"/>
  <c r="D33" i="7" s="1"/>
  <c r="H25" i="8"/>
  <c r="G25" i="8"/>
  <c r="F25" i="8"/>
  <c r="E25" i="8"/>
  <c r="D25" i="8"/>
  <c r="A25" i="8"/>
  <c r="Z24" i="8"/>
  <c r="S24" i="8"/>
  <c r="I24" i="8"/>
  <c r="H24" i="8"/>
  <c r="G24" i="8"/>
  <c r="F24" i="8"/>
  <c r="E24" i="8"/>
  <c r="D24" i="8"/>
  <c r="A24" i="8"/>
  <c r="Z23" i="8"/>
  <c r="I23" i="8"/>
  <c r="D31" i="7" s="1"/>
  <c r="H23" i="8"/>
  <c r="G23" i="8"/>
  <c r="F23" i="8"/>
  <c r="E23" i="8"/>
  <c r="D23" i="8"/>
  <c r="A23" i="8"/>
  <c r="Z22" i="8"/>
  <c r="I22" i="8"/>
  <c r="D34" i="7" s="1"/>
  <c r="H22" i="8"/>
  <c r="G22" i="8"/>
  <c r="F22" i="8"/>
  <c r="E22" i="8"/>
  <c r="D22" i="8"/>
  <c r="A22" i="8"/>
  <c r="Z21" i="8"/>
  <c r="Q21" i="8"/>
  <c r="S21" i="8"/>
  <c r="P21" i="8"/>
  <c r="N21" i="8"/>
  <c r="E9" i="7" s="1"/>
  <c r="K21" i="8"/>
  <c r="J21" i="8"/>
  <c r="H21" i="8"/>
  <c r="G21" i="8"/>
  <c r="F21" i="8"/>
  <c r="E21" i="8"/>
  <c r="Z20" i="8"/>
  <c r="S20" i="8"/>
  <c r="P20" i="8"/>
  <c r="N20" i="8"/>
  <c r="E10" i="7" s="1"/>
  <c r="K20" i="8"/>
  <c r="J20" i="8"/>
  <c r="H20" i="8"/>
  <c r="G20" i="8"/>
  <c r="F20" i="8"/>
  <c r="E20" i="8"/>
  <c r="Z19" i="8"/>
  <c r="S19" i="8"/>
  <c r="P19" i="8"/>
  <c r="N19" i="8"/>
  <c r="E17" i="7" s="1"/>
  <c r="K19" i="8"/>
  <c r="J19" i="8"/>
  <c r="H19" i="8"/>
  <c r="G19" i="8"/>
  <c r="F19" i="8"/>
  <c r="E19" i="8"/>
  <c r="Z18" i="8"/>
  <c r="S18" i="8"/>
  <c r="P18" i="8"/>
  <c r="N18" i="8"/>
  <c r="E20" i="7" s="1"/>
  <c r="K18" i="8"/>
  <c r="J18" i="8"/>
  <c r="H18" i="8"/>
  <c r="G18" i="8"/>
  <c r="F18" i="8"/>
  <c r="E18" i="8"/>
  <c r="Z17" i="8"/>
  <c r="S17" i="8"/>
  <c r="P17" i="8"/>
  <c r="N17" i="8"/>
  <c r="E27" i="7" s="1"/>
  <c r="K17" i="8"/>
  <c r="J17" i="8"/>
  <c r="H17" i="8"/>
  <c r="G17" i="8"/>
  <c r="F17" i="8"/>
  <c r="E17" i="8"/>
  <c r="Z16" i="8"/>
  <c r="S16" i="8"/>
  <c r="P16" i="8"/>
  <c r="N16" i="8"/>
  <c r="E39" i="7" s="1"/>
  <c r="K16" i="8"/>
  <c r="J16" i="8"/>
  <c r="H16" i="8"/>
  <c r="G16" i="8"/>
  <c r="F16" i="8"/>
  <c r="E16" i="8"/>
  <c r="Z15" i="8"/>
  <c r="S15" i="8"/>
  <c r="P15" i="8"/>
  <c r="N15" i="8"/>
  <c r="E12" i="7" s="1"/>
  <c r="K15" i="8"/>
  <c r="J15" i="8"/>
  <c r="H15" i="8"/>
  <c r="G15" i="8"/>
  <c r="F15" i="8"/>
  <c r="E15" i="8"/>
  <c r="Z14" i="8"/>
  <c r="S14" i="8"/>
  <c r="P14" i="8"/>
  <c r="N14" i="8"/>
  <c r="E15" i="7" s="1"/>
  <c r="K14" i="8"/>
  <c r="J14" i="8"/>
  <c r="H14" i="8"/>
  <c r="G14" i="8"/>
  <c r="F14" i="8"/>
  <c r="E14" i="8"/>
  <c r="Z13" i="8"/>
  <c r="S13" i="8"/>
  <c r="P13" i="8"/>
  <c r="N13" i="8"/>
  <c r="E18" i="7" s="1"/>
  <c r="K13" i="8"/>
  <c r="J13" i="8"/>
  <c r="H13" i="8"/>
  <c r="G13" i="8"/>
  <c r="F13" i="8"/>
  <c r="E13" i="8"/>
  <c r="Z12" i="8"/>
  <c r="S12" i="8"/>
  <c r="P12" i="8"/>
  <c r="N12" i="8"/>
  <c r="E19" i="7" s="1"/>
  <c r="K12" i="8"/>
  <c r="J12" i="8"/>
  <c r="H12" i="8"/>
  <c r="G12" i="8"/>
  <c r="F12" i="8"/>
  <c r="E12" i="8"/>
  <c r="Z11" i="8"/>
  <c r="S11" i="8"/>
  <c r="P11" i="8"/>
  <c r="N11" i="8"/>
  <c r="E29" i="7" s="1"/>
  <c r="K11" i="8"/>
  <c r="J11" i="8"/>
  <c r="H11" i="8"/>
  <c r="G11" i="8"/>
  <c r="F11" i="8"/>
  <c r="E11" i="8"/>
  <c r="Z10" i="8"/>
  <c r="Q10" i="8"/>
  <c r="S10" i="8"/>
  <c r="P10" i="8"/>
  <c r="N10" i="8"/>
  <c r="E35" i="7" s="1"/>
  <c r="K10" i="8"/>
  <c r="J10" i="8"/>
  <c r="H10" i="8"/>
  <c r="G10" i="8"/>
  <c r="F10" i="8"/>
  <c r="E10" i="8"/>
  <c r="Z9" i="8"/>
  <c r="S9" i="8"/>
  <c r="P9" i="8"/>
  <c r="L9" i="8"/>
  <c r="N9" i="8"/>
  <c r="E44" i="7" s="1"/>
  <c r="K9" i="8"/>
  <c r="J9" i="8"/>
  <c r="H9" i="8"/>
  <c r="G9" i="8"/>
  <c r="F9" i="8"/>
  <c r="E9" i="8"/>
  <c r="G8" i="8"/>
  <c r="A8" i="8"/>
  <c r="G7" i="8"/>
  <c r="A7" i="8"/>
  <c r="G6" i="8"/>
  <c r="A6" i="8"/>
  <c r="H374" i="6"/>
  <c r="H370" i="6"/>
  <c r="C374" i="6"/>
  <c r="C370" i="6"/>
  <c r="C366" i="6"/>
  <c r="C365" i="6"/>
  <c r="C364" i="6"/>
  <c r="C363" i="6"/>
  <c r="C362" i="6"/>
  <c r="C361" i="6"/>
  <c r="C360" i="6"/>
  <c r="C359" i="6"/>
  <c r="C358" i="6"/>
  <c r="C353" i="6"/>
  <c r="C352" i="6"/>
  <c r="C351" i="6"/>
  <c r="C350" i="6"/>
  <c r="C349" i="6"/>
  <c r="C348" i="6"/>
  <c r="C347" i="6"/>
  <c r="C346" i="6"/>
  <c r="C345" i="6"/>
  <c r="C340" i="6"/>
  <c r="C339" i="6"/>
  <c r="C338" i="6"/>
  <c r="C337" i="6"/>
  <c r="C336" i="6"/>
  <c r="C335" i="6"/>
  <c r="C334" i="6"/>
  <c r="C333" i="6"/>
  <c r="C332" i="6"/>
  <c r="Z328" i="6"/>
  <c r="Y328" i="6"/>
  <c r="W328" i="6"/>
  <c r="J327" i="6"/>
  <c r="G327" i="6"/>
  <c r="F327" i="6"/>
  <c r="F326" i="6"/>
  <c r="E326" i="6"/>
  <c r="D326" i="6"/>
  <c r="I326" i="6"/>
  <c r="C326" i="6"/>
  <c r="B326" i="6"/>
  <c r="A326" i="6"/>
  <c r="Z325" i="6"/>
  <c r="Y325" i="6"/>
  <c r="X325" i="6"/>
  <c r="G324" i="6"/>
  <c r="E324" i="6"/>
  <c r="J323" i="6"/>
  <c r="E323" i="6"/>
  <c r="J322" i="6"/>
  <c r="E322" i="6"/>
  <c r="J321" i="6"/>
  <c r="G321" i="6"/>
  <c r="F321" i="6"/>
  <c r="J320" i="6"/>
  <c r="G320" i="6"/>
  <c r="F320" i="6"/>
  <c r="J319" i="6"/>
  <c r="G319" i="6"/>
  <c r="F319" i="6"/>
  <c r="J318" i="6"/>
  <c r="G318" i="6"/>
  <c r="F318" i="6"/>
  <c r="F316" i="6"/>
  <c r="D316" i="6"/>
  <c r="I316" i="6"/>
  <c r="C316" i="6"/>
  <c r="B316" i="6"/>
  <c r="A316" i="6"/>
  <c r="AE315" i="6"/>
  <c r="A315" i="6"/>
  <c r="C312" i="6"/>
  <c r="C311" i="6"/>
  <c r="C310" i="6"/>
  <c r="C309" i="6"/>
  <c r="C308" i="6"/>
  <c r="C307" i="6"/>
  <c r="C306" i="6"/>
  <c r="C305" i="6"/>
  <c r="C304" i="6"/>
  <c r="Z300" i="6"/>
  <c r="Y300" i="6"/>
  <c r="W300" i="6"/>
  <c r="G299" i="6"/>
  <c r="E299" i="6"/>
  <c r="J298" i="6"/>
  <c r="E298" i="6"/>
  <c r="J297" i="6"/>
  <c r="E297" i="6"/>
  <c r="J296" i="6"/>
  <c r="G296" i="6"/>
  <c r="F296" i="6"/>
  <c r="J295" i="6"/>
  <c r="G295" i="6"/>
  <c r="F295" i="6"/>
  <c r="F293" i="6"/>
  <c r="D293" i="6"/>
  <c r="I293" i="6"/>
  <c r="C293" i="6"/>
  <c r="B293" i="6"/>
  <c r="A293" i="6"/>
  <c r="Z292" i="6"/>
  <c r="Y292" i="6"/>
  <c r="X292" i="6"/>
  <c r="J291" i="6"/>
  <c r="G291" i="6"/>
  <c r="F291" i="6"/>
  <c r="F290" i="6"/>
  <c r="E290" i="6"/>
  <c r="D290" i="6"/>
  <c r="I290" i="6"/>
  <c r="C290" i="6"/>
  <c r="B290" i="6"/>
  <c r="A290" i="6"/>
  <c r="Z289" i="6"/>
  <c r="Y289" i="6"/>
  <c r="X289" i="6"/>
  <c r="J288" i="6"/>
  <c r="Y288" i="6"/>
  <c r="F288" i="6"/>
  <c r="D288" i="6"/>
  <c r="B288" i="6"/>
  <c r="A288" i="6"/>
  <c r="G287" i="6"/>
  <c r="E287" i="6"/>
  <c r="J286" i="6"/>
  <c r="E286" i="6"/>
  <c r="J285" i="6"/>
  <c r="E285" i="6"/>
  <c r="J284" i="6"/>
  <c r="G284" i="6"/>
  <c r="F284" i="6"/>
  <c r="J283" i="6"/>
  <c r="G283" i="6"/>
  <c r="F283" i="6"/>
  <c r="J282" i="6"/>
  <c r="G282" i="6"/>
  <c r="F282" i="6"/>
  <c r="J281" i="6"/>
  <c r="G281" i="6"/>
  <c r="F281" i="6"/>
  <c r="F280" i="6"/>
  <c r="E280" i="6"/>
  <c r="D280" i="6"/>
  <c r="I280" i="6"/>
  <c r="C280" i="6"/>
  <c r="B280" i="6"/>
  <c r="A280" i="6"/>
  <c r="Z279" i="6"/>
  <c r="Y279" i="6"/>
  <c r="X279" i="6"/>
  <c r="J278" i="6"/>
  <c r="G278" i="6"/>
  <c r="F278" i="6"/>
  <c r="F276" i="6"/>
  <c r="D276" i="6"/>
  <c r="I276" i="6"/>
  <c r="C276" i="6"/>
  <c r="B276" i="6"/>
  <c r="A276" i="6"/>
  <c r="Z275" i="6"/>
  <c r="Y275" i="6"/>
  <c r="X275" i="6"/>
  <c r="J274" i="6"/>
  <c r="G274" i="6"/>
  <c r="F274" i="6"/>
  <c r="F273" i="6"/>
  <c r="E273" i="6"/>
  <c r="D273" i="6"/>
  <c r="I273" i="6"/>
  <c r="C273" i="6"/>
  <c r="B273" i="6"/>
  <c r="A273" i="6"/>
  <c r="Z272" i="6"/>
  <c r="Y272" i="6"/>
  <c r="W272" i="6"/>
  <c r="J271" i="6"/>
  <c r="G271" i="6"/>
  <c r="F271" i="6"/>
  <c r="F269" i="6"/>
  <c r="D269" i="6"/>
  <c r="I269" i="6"/>
  <c r="C269" i="6"/>
  <c r="B269" i="6"/>
  <c r="A269" i="6"/>
  <c r="Z268" i="6"/>
  <c r="Y268" i="6"/>
  <c r="X268" i="6"/>
  <c r="J267" i="6"/>
  <c r="G267" i="6"/>
  <c r="F267" i="6"/>
  <c r="F266" i="6"/>
  <c r="E266" i="6"/>
  <c r="D266" i="6"/>
  <c r="I266" i="6"/>
  <c r="B266" i="6"/>
  <c r="A266" i="6"/>
  <c r="Z265" i="6"/>
  <c r="Y265" i="6"/>
  <c r="X265" i="6"/>
  <c r="K264" i="6"/>
  <c r="J264" i="6"/>
  <c r="G264" i="6"/>
  <c r="F264" i="6"/>
  <c r="F263" i="6"/>
  <c r="E263" i="6"/>
  <c r="D263" i="6"/>
  <c r="I263" i="6"/>
  <c r="B263" i="6"/>
  <c r="A263" i="6"/>
  <c r="Z262" i="6"/>
  <c r="Y262" i="6"/>
  <c r="X262" i="6"/>
  <c r="J261" i="6"/>
  <c r="G261" i="6"/>
  <c r="F261" i="6"/>
  <c r="F260" i="6"/>
  <c r="E260" i="6"/>
  <c r="D260" i="6"/>
  <c r="I260" i="6"/>
  <c r="C260" i="6"/>
  <c r="B260" i="6"/>
  <c r="A260" i="6"/>
  <c r="Z259" i="6"/>
  <c r="Y259" i="6"/>
  <c r="X259" i="6"/>
  <c r="J258" i="6"/>
  <c r="G258" i="6"/>
  <c r="F258" i="6"/>
  <c r="F257" i="6"/>
  <c r="E257" i="6"/>
  <c r="D257" i="6"/>
  <c r="I257" i="6"/>
  <c r="C257" i="6"/>
  <c r="B257" i="6"/>
  <c r="A257" i="6"/>
  <c r="Z256" i="6"/>
  <c r="Y256" i="6"/>
  <c r="X256" i="6"/>
  <c r="J255" i="6"/>
  <c r="G255" i="6"/>
  <c r="F255" i="6"/>
  <c r="F254" i="6"/>
  <c r="E254" i="6"/>
  <c r="D254" i="6"/>
  <c r="I254" i="6"/>
  <c r="C254" i="6"/>
  <c r="B254" i="6"/>
  <c r="A254" i="6"/>
  <c r="Z253" i="6"/>
  <c r="Y253" i="6"/>
  <c r="X253" i="6"/>
  <c r="J252" i="6"/>
  <c r="G252" i="6"/>
  <c r="F252" i="6"/>
  <c r="F251" i="6"/>
  <c r="E251" i="6"/>
  <c r="D251" i="6"/>
  <c r="I251" i="6"/>
  <c r="C251" i="6"/>
  <c r="B251" i="6"/>
  <c r="A251" i="6"/>
  <c r="Z250" i="6"/>
  <c r="Y250" i="6"/>
  <c r="X250" i="6"/>
  <c r="G249" i="6"/>
  <c r="E249" i="6"/>
  <c r="J248" i="6"/>
  <c r="E248" i="6"/>
  <c r="J247" i="6"/>
  <c r="E247" i="6"/>
  <c r="J246" i="6"/>
  <c r="G246" i="6"/>
  <c r="F246" i="6"/>
  <c r="J245" i="6"/>
  <c r="G245" i="6"/>
  <c r="F245" i="6"/>
  <c r="J244" i="6"/>
  <c r="G244" i="6"/>
  <c r="F244" i="6"/>
  <c r="J243" i="6"/>
  <c r="G243" i="6"/>
  <c r="F243" i="6"/>
  <c r="F242" i="6"/>
  <c r="E242" i="6"/>
  <c r="D242" i="6"/>
  <c r="I242" i="6"/>
  <c r="C242" i="6"/>
  <c r="B242" i="6"/>
  <c r="A242" i="6"/>
  <c r="Z241" i="6"/>
  <c r="Y241" i="6"/>
  <c r="W241" i="6"/>
  <c r="G240" i="6"/>
  <c r="E240" i="6"/>
  <c r="J239" i="6"/>
  <c r="E239" i="6"/>
  <c r="J238" i="6"/>
  <c r="E238" i="6"/>
  <c r="J237" i="6"/>
  <c r="G237" i="6"/>
  <c r="F237" i="6"/>
  <c r="J236" i="6"/>
  <c r="G236" i="6"/>
  <c r="F236" i="6"/>
  <c r="J235" i="6"/>
  <c r="G235" i="6"/>
  <c r="F235" i="6"/>
  <c r="J234" i="6"/>
  <c r="G234" i="6"/>
  <c r="F234" i="6"/>
  <c r="F232" i="6"/>
  <c r="D232" i="6"/>
  <c r="I232" i="6"/>
  <c r="C232" i="6"/>
  <c r="B232" i="6"/>
  <c r="A232" i="6"/>
  <c r="AE231" i="6"/>
  <c r="A231" i="6"/>
  <c r="C228" i="6"/>
  <c r="C227" i="6"/>
  <c r="C226" i="6"/>
  <c r="C225" i="6"/>
  <c r="C224" i="6"/>
  <c r="C223" i="6"/>
  <c r="C222" i="6"/>
  <c r="C221" i="6"/>
  <c r="C220" i="6"/>
  <c r="Y216" i="6"/>
  <c r="X216" i="6"/>
  <c r="W216" i="6"/>
  <c r="G215" i="6"/>
  <c r="E215" i="6"/>
  <c r="J214" i="6"/>
  <c r="E214" i="6"/>
  <c r="J213" i="6"/>
  <c r="E213" i="6"/>
  <c r="J212" i="6"/>
  <c r="G212" i="6"/>
  <c r="F212" i="6"/>
  <c r="F210" i="6"/>
  <c r="D210" i="6"/>
  <c r="I210" i="6"/>
  <c r="C210" i="6"/>
  <c r="B210" i="6"/>
  <c r="A210" i="6"/>
  <c r="Y209" i="6"/>
  <c r="X209" i="6"/>
  <c r="W209" i="6"/>
  <c r="G208" i="6"/>
  <c r="E208" i="6"/>
  <c r="J207" i="6"/>
  <c r="E207" i="6"/>
  <c r="J206" i="6"/>
  <c r="E206" i="6"/>
  <c r="J205" i="6"/>
  <c r="G205" i="6"/>
  <c r="F205" i="6"/>
  <c r="F204" i="6"/>
  <c r="E204" i="6"/>
  <c r="D204" i="6"/>
  <c r="I204" i="6"/>
  <c r="C204" i="6"/>
  <c r="B204" i="6"/>
  <c r="A204" i="6"/>
  <c r="Z203" i="6"/>
  <c r="Y203" i="6"/>
  <c r="X203" i="6"/>
  <c r="J202" i="6"/>
  <c r="G202" i="6"/>
  <c r="F202" i="6"/>
  <c r="C201" i="6"/>
  <c r="F200" i="6"/>
  <c r="D200" i="6"/>
  <c r="I200" i="6"/>
  <c r="C200" i="6"/>
  <c r="B200" i="6"/>
  <c r="A200" i="6"/>
  <c r="Z199" i="6"/>
  <c r="Y199" i="6"/>
  <c r="X199" i="6"/>
  <c r="J198" i="6"/>
  <c r="Y198" i="6"/>
  <c r="F198" i="6"/>
  <c r="D198" i="6"/>
  <c r="B198" i="6"/>
  <c r="A198" i="6"/>
  <c r="G197" i="6"/>
  <c r="E197" i="6"/>
  <c r="J196" i="6"/>
  <c r="E196" i="6"/>
  <c r="J195" i="6"/>
  <c r="E195" i="6"/>
  <c r="J194" i="6"/>
  <c r="G194" i="6"/>
  <c r="F194" i="6"/>
  <c r="J193" i="6"/>
  <c r="G193" i="6"/>
  <c r="F193" i="6"/>
  <c r="J192" i="6"/>
  <c r="G192" i="6"/>
  <c r="F192" i="6"/>
  <c r="J191" i="6"/>
  <c r="G191" i="6"/>
  <c r="F191" i="6"/>
  <c r="F190" i="6"/>
  <c r="E190" i="6"/>
  <c r="D190" i="6"/>
  <c r="I190" i="6"/>
  <c r="C190" i="6"/>
  <c r="B190" i="6"/>
  <c r="A190" i="6"/>
  <c r="Z189" i="6"/>
  <c r="Y189" i="6"/>
  <c r="X189" i="6"/>
  <c r="J188" i="6"/>
  <c r="G188" i="6"/>
  <c r="F188" i="6"/>
  <c r="F187" i="6"/>
  <c r="E187" i="6"/>
  <c r="D187" i="6"/>
  <c r="I187" i="6"/>
  <c r="C187" i="6"/>
  <c r="B187" i="6"/>
  <c r="A187" i="6"/>
  <c r="Z186" i="6"/>
  <c r="Y186" i="6"/>
  <c r="W186" i="6"/>
  <c r="G185" i="6"/>
  <c r="E185" i="6"/>
  <c r="J184" i="6"/>
  <c r="E184" i="6"/>
  <c r="J183" i="6"/>
  <c r="E183" i="6"/>
  <c r="J182" i="6"/>
  <c r="G182" i="6"/>
  <c r="F182" i="6"/>
  <c r="J181" i="6"/>
  <c r="G181" i="6"/>
  <c r="F181" i="6"/>
  <c r="J180" i="6"/>
  <c r="G180" i="6"/>
  <c r="F180" i="6"/>
  <c r="J179" i="6"/>
  <c r="G179" i="6"/>
  <c r="F179" i="6"/>
  <c r="F177" i="6"/>
  <c r="D177" i="6"/>
  <c r="I177" i="6"/>
  <c r="C177" i="6"/>
  <c r="B177" i="6"/>
  <c r="A177" i="6"/>
  <c r="Z176" i="6"/>
  <c r="Y176" i="6"/>
  <c r="X176" i="6"/>
  <c r="G175" i="6"/>
  <c r="E175" i="6"/>
  <c r="J174" i="6"/>
  <c r="E174" i="6"/>
  <c r="J173" i="6"/>
  <c r="E173" i="6"/>
  <c r="J172" i="6"/>
  <c r="G172" i="6"/>
  <c r="F172" i="6"/>
  <c r="F170" i="6"/>
  <c r="D170" i="6"/>
  <c r="I170" i="6"/>
  <c r="C170" i="6"/>
  <c r="B170" i="6"/>
  <c r="A170" i="6"/>
  <c r="Z169" i="6"/>
  <c r="Y169" i="6"/>
  <c r="X169" i="6"/>
  <c r="G168" i="6"/>
  <c r="E168" i="6"/>
  <c r="J167" i="6"/>
  <c r="E167" i="6"/>
  <c r="J166" i="6"/>
  <c r="E166" i="6"/>
  <c r="J165" i="6"/>
  <c r="G165" i="6"/>
  <c r="F165" i="6"/>
  <c r="F163" i="6"/>
  <c r="D163" i="6"/>
  <c r="I163" i="6"/>
  <c r="C163" i="6"/>
  <c r="B163" i="6"/>
  <c r="A163" i="6"/>
  <c r="AF162" i="6"/>
  <c r="C162" i="6"/>
  <c r="Z161" i="6"/>
  <c r="X161" i="6"/>
  <c r="W161" i="6"/>
  <c r="F160" i="6"/>
  <c r="E160" i="6"/>
  <c r="D160" i="6"/>
  <c r="I160" i="6"/>
  <c r="C160" i="6"/>
  <c r="B160" i="6"/>
  <c r="A160" i="6"/>
  <c r="Z159" i="6"/>
  <c r="Y159" i="6"/>
  <c r="X159" i="6"/>
  <c r="G158" i="6"/>
  <c r="E158" i="6"/>
  <c r="J157" i="6"/>
  <c r="E157" i="6"/>
  <c r="J156" i="6"/>
  <c r="E156" i="6"/>
  <c r="J155" i="6"/>
  <c r="H155" i="6"/>
  <c r="R155" i="6" s="1"/>
  <c r="G155" i="6"/>
  <c r="F155" i="6"/>
  <c r="J154" i="6"/>
  <c r="G154" i="6"/>
  <c r="F154" i="6"/>
  <c r="J153" i="6"/>
  <c r="H153" i="6"/>
  <c r="R153" i="6" s="1"/>
  <c r="G153" i="6"/>
  <c r="F153" i="6"/>
  <c r="F152" i="6"/>
  <c r="E152" i="6"/>
  <c r="D152" i="6"/>
  <c r="I152" i="6"/>
  <c r="C152" i="6"/>
  <c r="B152" i="6"/>
  <c r="A152" i="6"/>
  <c r="Z151" i="6"/>
  <c r="Y151" i="6"/>
  <c r="X151" i="6"/>
  <c r="J150" i="6"/>
  <c r="G150" i="6"/>
  <c r="F150" i="6"/>
  <c r="F148" i="6"/>
  <c r="D148" i="6"/>
  <c r="I148" i="6"/>
  <c r="C148" i="6"/>
  <c r="B148" i="6"/>
  <c r="A148" i="6"/>
  <c r="Z147" i="6"/>
  <c r="Y147" i="6"/>
  <c r="X147" i="6"/>
  <c r="J146" i="6"/>
  <c r="Y146" i="6"/>
  <c r="F146" i="6"/>
  <c r="D146" i="6"/>
  <c r="B146" i="6"/>
  <c r="A146" i="6"/>
  <c r="G145" i="6"/>
  <c r="E145" i="6"/>
  <c r="J144" i="6"/>
  <c r="E144" i="6"/>
  <c r="J143" i="6"/>
  <c r="E143" i="6"/>
  <c r="J142" i="6"/>
  <c r="G142" i="6"/>
  <c r="F142" i="6"/>
  <c r="J141" i="6"/>
  <c r="G141" i="6"/>
  <c r="F141" i="6"/>
  <c r="J140" i="6"/>
  <c r="G140" i="6"/>
  <c r="F140" i="6"/>
  <c r="J139" i="6"/>
  <c r="G139" i="6"/>
  <c r="F139" i="6"/>
  <c r="F138" i="6"/>
  <c r="E138" i="6"/>
  <c r="D138" i="6"/>
  <c r="I138" i="6"/>
  <c r="C138" i="6"/>
  <c r="B138" i="6"/>
  <c r="A138" i="6"/>
  <c r="Z137" i="6"/>
  <c r="Y137" i="6"/>
  <c r="X137" i="6"/>
  <c r="J136" i="6"/>
  <c r="G136" i="6"/>
  <c r="F136" i="6"/>
  <c r="F135" i="6"/>
  <c r="E135" i="6"/>
  <c r="D135" i="6"/>
  <c r="I135" i="6"/>
  <c r="C135" i="6"/>
  <c r="B135" i="6"/>
  <c r="A135" i="6"/>
  <c r="Z134" i="6"/>
  <c r="Y134" i="6"/>
  <c r="X134" i="6"/>
  <c r="G133" i="6"/>
  <c r="E133" i="6"/>
  <c r="J132" i="6"/>
  <c r="E132" i="6"/>
  <c r="J131" i="6"/>
  <c r="E131" i="6"/>
  <c r="J130" i="6"/>
  <c r="G130" i="6"/>
  <c r="F130" i="6"/>
  <c r="J129" i="6"/>
  <c r="G129" i="6"/>
  <c r="F129" i="6"/>
  <c r="J128" i="6"/>
  <c r="G128" i="6"/>
  <c r="F128" i="6"/>
  <c r="J127" i="6"/>
  <c r="G127" i="6"/>
  <c r="F127" i="6"/>
  <c r="F126" i="6"/>
  <c r="E126" i="6"/>
  <c r="D126" i="6"/>
  <c r="I126" i="6"/>
  <c r="C126" i="6"/>
  <c r="B126" i="6"/>
  <c r="A126" i="6"/>
  <c r="Z125" i="6"/>
  <c r="Y125" i="6"/>
  <c r="X125" i="6"/>
  <c r="J124" i="6"/>
  <c r="G124" i="6"/>
  <c r="F124" i="6"/>
  <c r="F123" i="6"/>
  <c r="E123" i="6"/>
  <c r="D123" i="6"/>
  <c r="I123" i="6"/>
  <c r="B123" i="6"/>
  <c r="A123" i="6"/>
  <c r="Z122" i="6"/>
  <c r="Y122" i="6"/>
  <c r="W122" i="6"/>
  <c r="J121" i="6"/>
  <c r="G121" i="6"/>
  <c r="F121" i="6"/>
  <c r="F120" i="6"/>
  <c r="E120" i="6"/>
  <c r="D120" i="6"/>
  <c r="I120" i="6"/>
  <c r="C120" i="6"/>
  <c r="B120" i="6"/>
  <c r="A120" i="6"/>
  <c r="Z119" i="6"/>
  <c r="Y119" i="6"/>
  <c r="X119" i="6"/>
  <c r="J118" i="6"/>
  <c r="G118" i="6"/>
  <c r="F118" i="6"/>
  <c r="F117" i="6"/>
  <c r="E117" i="6"/>
  <c r="D117" i="6"/>
  <c r="I117" i="6"/>
  <c r="C117" i="6"/>
  <c r="B117" i="6"/>
  <c r="A117" i="6"/>
  <c r="Z116" i="6"/>
  <c r="Y116" i="6"/>
  <c r="W116" i="6"/>
  <c r="J115" i="6"/>
  <c r="G115" i="6"/>
  <c r="F115" i="6"/>
  <c r="F114" i="6"/>
  <c r="E114" i="6"/>
  <c r="D114" i="6"/>
  <c r="I114" i="6"/>
  <c r="C114" i="6"/>
  <c r="B114" i="6"/>
  <c r="A114" i="6"/>
  <c r="Z113" i="6"/>
  <c r="Y113" i="6"/>
  <c r="X113" i="6"/>
  <c r="J112" i="6"/>
  <c r="G112" i="6"/>
  <c r="F112" i="6"/>
  <c r="F111" i="6"/>
  <c r="E111" i="6"/>
  <c r="D111" i="6"/>
  <c r="I111" i="6"/>
  <c r="C111" i="6"/>
  <c r="B111" i="6"/>
  <c r="A111" i="6"/>
  <c r="Z110" i="6"/>
  <c r="Y110" i="6"/>
  <c r="W110" i="6"/>
  <c r="J109" i="6"/>
  <c r="G109" i="6"/>
  <c r="F109" i="6"/>
  <c r="F108" i="6"/>
  <c r="E108" i="6"/>
  <c r="D108" i="6"/>
  <c r="I108" i="6"/>
  <c r="C108" i="6"/>
  <c r="B108" i="6"/>
  <c r="A108" i="6"/>
  <c r="Z107" i="6"/>
  <c r="Y107" i="6"/>
  <c r="X107" i="6"/>
  <c r="J106" i="6"/>
  <c r="G106" i="6"/>
  <c r="F106" i="6"/>
  <c r="F105" i="6"/>
  <c r="E105" i="6"/>
  <c r="D105" i="6"/>
  <c r="I105" i="6"/>
  <c r="C105" i="6"/>
  <c r="B105" i="6"/>
  <c r="A105" i="6"/>
  <c r="Z104" i="6"/>
  <c r="Y104" i="6"/>
  <c r="X104" i="6"/>
  <c r="J103" i="6"/>
  <c r="G103" i="6"/>
  <c r="F103" i="6"/>
  <c r="F102" i="6"/>
  <c r="E102" i="6"/>
  <c r="D102" i="6"/>
  <c r="I102" i="6"/>
  <c r="C102" i="6"/>
  <c r="B102" i="6"/>
  <c r="A102" i="6"/>
  <c r="Z101" i="6"/>
  <c r="Y101" i="6"/>
  <c r="X101" i="6"/>
  <c r="J100" i="6"/>
  <c r="G100" i="6"/>
  <c r="F100" i="6"/>
  <c r="F99" i="6"/>
  <c r="E99" i="6"/>
  <c r="D99" i="6"/>
  <c r="I99" i="6"/>
  <c r="C99" i="6"/>
  <c r="B99" i="6"/>
  <c r="A99" i="6"/>
  <c r="Z98" i="6"/>
  <c r="Y98" i="6"/>
  <c r="X98" i="6"/>
  <c r="J97" i="6"/>
  <c r="G97" i="6"/>
  <c r="F97" i="6"/>
  <c r="F96" i="6"/>
  <c r="E96" i="6"/>
  <c r="D96" i="6"/>
  <c r="I96" i="6"/>
  <c r="C96" i="6"/>
  <c r="B96" i="6"/>
  <c r="A96" i="6"/>
  <c r="Z95" i="6"/>
  <c r="Y95" i="6"/>
  <c r="X95" i="6"/>
  <c r="L95" i="6"/>
  <c r="Q95" i="6" s="1"/>
  <c r="J94" i="6"/>
  <c r="G94" i="6"/>
  <c r="F94" i="6"/>
  <c r="U93" i="6"/>
  <c r="F93" i="6"/>
  <c r="E93" i="6"/>
  <c r="D93" i="6"/>
  <c r="I93" i="6"/>
  <c r="C93" i="6"/>
  <c r="B93" i="6"/>
  <c r="A93" i="6"/>
  <c r="Z92" i="6"/>
  <c r="Y92" i="6"/>
  <c r="X92" i="6"/>
  <c r="J91" i="6"/>
  <c r="Y91" i="6"/>
  <c r="F91" i="6"/>
  <c r="D91" i="6"/>
  <c r="C91" i="6"/>
  <c r="B91" i="6"/>
  <c r="A91" i="6"/>
  <c r="G90" i="6"/>
  <c r="E90" i="6"/>
  <c r="J89" i="6"/>
  <c r="E89" i="6"/>
  <c r="J88" i="6"/>
  <c r="E88" i="6"/>
  <c r="J87" i="6"/>
  <c r="G87" i="6"/>
  <c r="F87" i="6"/>
  <c r="J86" i="6"/>
  <c r="G86" i="6"/>
  <c r="F86" i="6"/>
  <c r="J85" i="6"/>
  <c r="G85" i="6"/>
  <c r="F85" i="6"/>
  <c r="J84" i="6"/>
  <c r="G84" i="6"/>
  <c r="F84" i="6"/>
  <c r="F83" i="6"/>
  <c r="E83" i="6"/>
  <c r="D83" i="6"/>
  <c r="I83" i="6"/>
  <c r="C83" i="6"/>
  <c r="B83" i="6"/>
  <c r="A83" i="6"/>
  <c r="Z82" i="6"/>
  <c r="Y82" i="6"/>
  <c r="W82" i="6"/>
  <c r="G81" i="6"/>
  <c r="E81" i="6"/>
  <c r="J80" i="6"/>
  <c r="E80" i="6"/>
  <c r="J79" i="6"/>
  <c r="E79" i="6"/>
  <c r="J78" i="6"/>
  <c r="G78" i="6"/>
  <c r="F78" i="6"/>
  <c r="J77" i="6"/>
  <c r="G77" i="6"/>
  <c r="F77" i="6"/>
  <c r="J76" i="6"/>
  <c r="G76" i="6"/>
  <c r="F76" i="6"/>
  <c r="J75" i="6"/>
  <c r="G75" i="6"/>
  <c r="F75" i="6"/>
  <c r="F74" i="6"/>
  <c r="D74" i="6"/>
  <c r="I74" i="6"/>
  <c r="C74" i="6"/>
  <c r="B74" i="6"/>
  <c r="A74" i="6"/>
  <c r="Z73" i="6"/>
  <c r="Y73" i="6"/>
  <c r="X73" i="6"/>
  <c r="G72" i="6"/>
  <c r="E72" i="6"/>
  <c r="J71" i="6"/>
  <c r="E71" i="6"/>
  <c r="J70" i="6"/>
  <c r="E70" i="6"/>
  <c r="J69" i="6"/>
  <c r="G69" i="6"/>
  <c r="F69" i="6"/>
  <c r="J68" i="6"/>
  <c r="G68" i="6"/>
  <c r="F68" i="6"/>
  <c r="J67" i="6"/>
  <c r="G67" i="6"/>
  <c r="F67" i="6"/>
  <c r="F66" i="6"/>
  <c r="E66" i="6"/>
  <c r="D66" i="6"/>
  <c r="I66" i="6"/>
  <c r="C66" i="6"/>
  <c r="B66" i="6"/>
  <c r="A66" i="6"/>
  <c r="AE65" i="6"/>
  <c r="A65" i="6"/>
  <c r="C62" i="6"/>
  <c r="C61" i="6"/>
  <c r="C60" i="6"/>
  <c r="C59" i="6"/>
  <c r="C58" i="6"/>
  <c r="C57" i="6"/>
  <c r="C56" i="6"/>
  <c r="C55" i="6"/>
  <c r="C54" i="6"/>
  <c r="Z50" i="6"/>
  <c r="Y50" i="6"/>
  <c r="W50" i="6"/>
  <c r="G49" i="6"/>
  <c r="E49" i="6"/>
  <c r="J48" i="6"/>
  <c r="E48" i="6"/>
  <c r="J47" i="6"/>
  <c r="E47" i="6"/>
  <c r="J46" i="6"/>
  <c r="G46" i="6"/>
  <c r="F46" i="6"/>
  <c r="F44" i="6"/>
  <c r="D44" i="6"/>
  <c r="I44" i="6"/>
  <c r="C44" i="6"/>
  <c r="B44" i="6"/>
  <c r="A44" i="6"/>
  <c r="Z43" i="6"/>
  <c r="Y43" i="6"/>
  <c r="X43" i="6"/>
  <c r="G42" i="6"/>
  <c r="E42" i="6"/>
  <c r="J41" i="6"/>
  <c r="E41" i="6"/>
  <c r="J40" i="6"/>
  <c r="E40" i="6"/>
  <c r="J39" i="6"/>
  <c r="G39" i="6"/>
  <c r="F39" i="6"/>
  <c r="J38" i="6"/>
  <c r="G38" i="6"/>
  <c r="F38" i="6"/>
  <c r="J37" i="6"/>
  <c r="G37" i="6"/>
  <c r="F37" i="6"/>
  <c r="S36" i="6"/>
  <c r="H40" i="6" s="1"/>
  <c r="F36" i="6"/>
  <c r="E36" i="6"/>
  <c r="D36" i="6"/>
  <c r="I36" i="6"/>
  <c r="C36" i="6"/>
  <c r="B36" i="6"/>
  <c r="A36" i="6"/>
  <c r="AE35" i="6"/>
  <c r="A35" i="6"/>
  <c r="AE19" i="6"/>
  <c r="A19" i="6"/>
  <c r="AD16" i="6"/>
  <c r="AD14" i="6"/>
  <c r="B14" i="6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" i="3"/>
  <c r="Y1" i="3"/>
  <c r="CU1" i="3"/>
  <c r="CY1" i="3"/>
  <c r="CZ1" i="3"/>
  <c r="DA1" i="3"/>
  <c r="DB1" i="3"/>
  <c r="DC1" i="3"/>
  <c r="A2" i="3"/>
  <c r="Y2" i="3"/>
  <c r="CX2" i="3" s="1"/>
  <c r="CY2" i="3"/>
  <c r="CZ2" i="3"/>
  <c r="DA2" i="3"/>
  <c r="DB2" i="3"/>
  <c r="DC2" i="3"/>
  <c r="A3" i="3"/>
  <c r="Y3" i="3"/>
  <c r="CY3" i="3"/>
  <c r="CZ3" i="3"/>
  <c r="DB3" i="3" s="1"/>
  <c r="DA3" i="3"/>
  <c r="DC3" i="3"/>
  <c r="A4" i="3"/>
  <c r="Y4" i="3"/>
  <c r="CW4" i="3"/>
  <c r="CX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U7" i="3"/>
  <c r="CV7" i="3"/>
  <c r="CX7" i="3"/>
  <c r="CY7" i="3"/>
  <c r="CZ7" i="3"/>
  <c r="DB7" i="3" s="1"/>
  <c r="DA7" i="3"/>
  <c r="DC7" i="3"/>
  <c r="A8" i="3"/>
  <c r="Y8" i="3"/>
  <c r="CX8" i="3"/>
  <c r="DG8" i="3" s="1"/>
  <c r="CY8" i="3"/>
  <c r="CZ8" i="3"/>
  <c r="DB8" i="3" s="1"/>
  <c r="DA8" i="3"/>
  <c r="DC8" i="3"/>
  <c r="DF8" i="3"/>
  <c r="DH8" i="3"/>
  <c r="DI8" i="3"/>
  <c r="DJ8" i="3" s="1"/>
  <c r="A9" i="3"/>
  <c r="Y9" i="3"/>
  <c r="CW9" i="3"/>
  <c r="CX9" i="3"/>
  <c r="CY9" i="3"/>
  <c r="CZ9" i="3"/>
  <c r="DA9" i="3"/>
  <c r="DB9" i="3"/>
  <c r="DC9" i="3"/>
  <c r="A10" i="3"/>
  <c r="Y10" i="3"/>
  <c r="CX10" i="3" s="1"/>
  <c r="CW10" i="3"/>
  <c r="CY10" i="3"/>
  <c r="CZ10" i="3"/>
  <c r="DB10" i="3" s="1"/>
  <c r="DA10" i="3"/>
  <c r="DC10" i="3"/>
  <c r="DG10" i="3"/>
  <c r="DJ10" i="3" s="1"/>
  <c r="A11" i="3"/>
  <c r="Y11" i="3"/>
  <c r="CW11" i="3"/>
  <c r="CX11" i="3"/>
  <c r="DF11" i="3" s="1"/>
  <c r="CY11" i="3"/>
  <c r="CZ11" i="3"/>
  <c r="DA11" i="3"/>
  <c r="DB11" i="3"/>
  <c r="DC11" i="3"/>
  <c r="DG11" i="3"/>
  <c r="DJ11" i="3" s="1"/>
  <c r="DH11" i="3"/>
  <c r="DI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B17" i="3" s="1"/>
  <c r="L15" i="8" s="1"/>
  <c r="DA17" i="3"/>
  <c r="DC17" i="3"/>
  <c r="Q15" i="8" s="1"/>
  <c r="A18" i="3"/>
  <c r="Y18" i="3"/>
  <c r="CY18" i="3"/>
  <c r="CZ18" i="3"/>
  <c r="DB18" i="3" s="1"/>
  <c r="L14" i="8" s="1"/>
  <c r="DA18" i="3"/>
  <c r="DC18" i="3"/>
  <c r="Q14" i="8" s="1"/>
  <c r="A19" i="3"/>
  <c r="Y19" i="3"/>
  <c r="CY19" i="3"/>
  <c r="CZ19" i="3"/>
  <c r="DA19" i="3"/>
  <c r="DB19" i="3"/>
  <c r="L13" i="8" s="1"/>
  <c r="DC19" i="3"/>
  <c r="Q13" i="8" s="1"/>
  <c r="A20" i="3"/>
  <c r="Y20" i="3"/>
  <c r="CY20" i="3"/>
  <c r="CZ20" i="3"/>
  <c r="DA20" i="3"/>
  <c r="DB20" i="3"/>
  <c r="L12" i="8" s="1"/>
  <c r="DC20" i="3"/>
  <c r="Q12" i="8" s="1"/>
  <c r="A21" i="3"/>
  <c r="Y21" i="3"/>
  <c r="CY21" i="3"/>
  <c r="CZ21" i="3"/>
  <c r="DA21" i="3"/>
  <c r="DB21" i="3"/>
  <c r="L11" i="8" s="1"/>
  <c r="DC21" i="3"/>
  <c r="Q11" i="8" s="1"/>
  <c r="A22" i="3"/>
  <c r="Y22" i="3"/>
  <c r="CY22" i="3"/>
  <c r="CZ22" i="3"/>
  <c r="DB22" i="3" s="1"/>
  <c r="L10" i="8" s="1"/>
  <c r="DA22" i="3"/>
  <c r="DC22" i="3"/>
  <c r="A23" i="3"/>
  <c r="Y23" i="3"/>
  <c r="I9" i="8" s="1"/>
  <c r="CY23" i="3"/>
  <c r="CZ23" i="3"/>
  <c r="DA23" i="3"/>
  <c r="DB23" i="3"/>
  <c r="DC23" i="3"/>
  <c r="Q9" i="8" s="1"/>
  <c r="A24" i="3"/>
  <c r="Y24" i="3"/>
  <c r="CU24" i="3"/>
  <c r="CY24" i="3"/>
  <c r="CZ24" i="3"/>
  <c r="DA24" i="3"/>
  <c r="DB24" i="3"/>
  <c r="DC24" i="3"/>
  <c r="A25" i="3"/>
  <c r="Y25" i="3"/>
  <c r="CX25" i="3"/>
  <c r="CY25" i="3"/>
  <c r="CZ25" i="3"/>
  <c r="DA25" i="3"/>
  <c r="DB25" i="3"/>
  <c r="DC25" i="3"/>
  <c r="A26" i="3"/>
  <c r="Y26" i="3"/>
  <c r="CY26" i="3"/>
  <c r="CZ26" i="3"/>
  <c r="DB26" i="3" s="1"/>
  <c r="DA26" i="3"/>
  <c r="DC26" i="3"/>
  <c r="A27" i="3"/>
  <c r="Y27" i="3"/>
  <c r="CW27" i="3"/>
  <c r="CX27" i="3"/>
  <c r="CY27" i="3"/>
  <c r="CZ27" i="3"/>
  <c r="DA27" i="3"/>
  <c r="DB27" i="3"/>
  <c r="DC27" i="3"/>
  <c r="A28" i="3"/>
  <c r="Y28" i="3"/>
  <c r="I21" i="8" s="1"/>
  <c r="D9" i="7" s="1"/>
  <c r="CX28" i="3"/>
  <c r="CY28" i="3"/>
  <c r="CZ28" i="3"/>
  <c r="DB28" i="3" s="1"/>
  <c r="L21" i="8" s="1"/>
  <c r="DA28" i="3"/>
  <c r="DC28" i="3"/>
  <c r="A29" i="3"/>
  <c r="Y29" i="3"/>
  <c r="I20" i="8" s="1"/>
  <c r="CX29" i="3"/>
  <c r="DG29" i="3" s="1"/>
  <c r="CY29" i="3"/>
  <c r="CZ29" i="3"/>
  <c r="DB29" i="3" s="1"/>
  <c r="L20" i="8" s="1"/>
  <c r="DA29" i="3"/>
  <c r="DC29" i="3"/>
  <c r="Q20" i="8" s="1"/>
  <c r="DF29" i="3"/>
  <c r="DH29" i="3"/>
  <c r="DI29" i="3"/>
  <c r="DJ29" i="3"/>
  <c r="A30" i="3"/>
  <c r="Y30" i="3"/>
  <c r="CX30" i="3"/>
  <c r="DG30" i="3" s="1"/>
  <c r="CY30" i="3"/>
  <c r="CZ30" i="3"/>
  <c r="DA30" i="3"/>
  <c r="DB30" i="3"/>
  <c r="DC30" i="3"/>
  <c r="DF30" i="3"/>
  <c r="DJ30" i="3" s="1"/>
  <c r="DH30" i="3"/>
  <c r="DI30" i="3"/>
  <c r="A31" i="3"/>
  <c r="Y31" i="3"/>
  <c r="I19" i="8" s="1"/>
  <c r="CX31" i="3"/>
  <c r="CY31" i="3"/>
  <c r="CZ31" i="3"/>
  <c r="DA31" i="3"/>
  <c r="DB31" i="3"/>
  <c r="L19" i="8" s="1"/>
  <c r="DC31" i="3"/>
  <c r="Q19" i="8" s="1"/>
  <c r="A32" i="3"/>
  <c r="Y32" i="3"/>
  <c r="CY32" i="3"/>
  <c r="CZ32" i="3"/>
  <c r="DA32" i="3"/>
  <c r="DB32" i="3"/>
  <c r="L18" i="8" s="1"/>
  <c r="DC32" i="3"/>
  <c r="Q18" i="8" s="1"/>
  <c r="A33" i="3"/>
  <c r="Y33" i="3"/>
  <c r="CX33" i="3" s="1"/>
  <c r="CY33" i="3"/>
  <c r="CZ33" i="3"/>
  <c r="DB33" i="3" s="1"/>
  <c r="DA33" i="3"/>
  <c r="DC33" i="3"/>
  <c r="DF33" i="3"/>
  <c r="DJ33" i="3" s="1"/>
  <c r="DG33" i="3"/>
  <c r="A34" i="3"/>
  <c r="Y34" i="3"/>
  <c r="CX34" i="3"/>
  <c r="CY34" i="3"/>
  <c r="CZ34" i="3"/>
  <c r="DB34" i="3" s="1"/>
  <c r="DA34" i="3"/>
  <c r="DC34" i="3"/>
  <c r="A35" i="3"/>
  <c r="Y35" i="3"/>
  <c r="CX35" i="3"/>
  <c r="CY35" i="3"/>
  <c r="CZ35" i="3"/>
  <c r="DA35" i="3"/>
  <c r="DB35" i="3"/>
  <c r="DC35" i="3"/>
  <c r="A36" i="3"/>
  <c r="Y36" i="3"/>
  <c r="CX36" i="3" s="1"/>
  <c r="CY36" i="3"/>
  <c r="CZ36" i="3"/>
  <c r="DA36" i="3"/>
  <c r="DB36" i="3"/>
  <c r="DC36" i="3"/>
  <c r="DF36" i="3"/>
  <c r="DJ36" i="3" s="1"/>
  <c r="A37" i="3"/>
  <c r="Y37" i="3"/>
  <c r="I17" i="8" s="1"/>
  <c r="CX37" i="3"/>
  <c r="CY37" i="3"/>
  <c r="CZ37" i="3"/>
  <c r="DB37" i="3" s="1"/>
  <c r="L17" i="8" s="1"/>
  <c r="DA37" i="3"/>
  <c r="DC37" i="3"/>
  <c r="Q17" i="8" s="1"/>
  <c r="A38" i="3"/>
  <c r="Y38" i="3"/>
  <c r="CX38" i="3"/>
  <c r="DG38" i="3" s="1"/>
  <c r="CY38" i="3"/>
  <c r="CZ38" i="3"/>
  <c r="DA38" i="3"/>
  <c r="DB38" i="3"/>
  <c r="DC38" i="3"/>
  <c r="DF38" i="3"/>
  <c r="DJ38" i="3" s="1"/>
  <c r="DH38" i="3"/>
  <c r="DI38" i="3"/>
  <c r="A39" i="3"/>
  <c r="Y39" i="3"/>
  <c r="CX39" i="3" s="1"/>
  <c r="CY39" i="3"/>
  <c r="CZ39" i="3"/>
  <c r="DA39" i="3"/>
  <c r="DB39" i="3"/>
  <c r="DC39" i="3"/>
  <c r="A40" i="3"/>
  <c r="Y40" i="3"/>
  <c r="CX40" i="3" s="1"/>
  <c r="CY40" i="3"/>
  <c r="CZ40" i="3"/>
  <c r="DB40" i="3" s="1"/>
  <c r="DA40" i="3"/>
  <c r="DC40" i="3"/>
  <c r="DG40" i="3"/>
  <c r="DI40" i="3"/>
  <c r="A41" i="3"/>
  <c r="Y41" i="3"/>
  <c r="CX41" i="3" s="1"/>
  <c r="CY41" i="3"/>
  <c r="CZ41" i="3"/>
  <c r="DA41" i="3"/>
  <c r="DB41" i="3"/>
  <c r="DC41" i="3"/>
  <c r="DG41" i="3"/>
  <c r="A42" i="3"/>
  <c r="Y42" i="3"/>
  <c r="I16" i="8" s="1"/>
  <c r="D39" i="7" s="1"/>
  <c r="CY42" i="3"/>
  <c r="CZ42" i="3"/>
  <c r="DB42" i="3" s="1"/>
  <c r="L16" i="8" s="1"/>
  <c r="DA42" i="3"/>
  <c r="DC42" i="3"/>
  <c r="Q16" i="8" s="1"/>
  <c r="A43" i="3"/>
  <c r="Y43" i="3"/>
  <c r="CU43" i="3"/>
  <c r="CV43" i="3"/>
  <c r="CX43" i="3"/>
  <c r="CY43" i="3"/>
  <c r="CZ43" i="3"/>
  <c r="DB43" i="3" s="1"/>
  <c r="DA43" i="3"/>
  <c r="DC43" i="3"/>
  <c r="A44" i="3"/>
  <c r="Y44" i="3"/>
  <c r="CX44" i="3"/>
  <c r="DG44" i="3" s="1"/>
  <c r="CY44" i="3"/>
  <c r="CZ44" i="3"/>
  <c r="DA44" i="3"/>
  <c r="DB44" i="3"/>
  <c r="DC44" i="3"/>
  <c r="DF44" i="3"/>
  <c r="DH44" i="3"/>
  <c r="DI44" i="3"/>
  <c r="DJ44" i="3" s="1"/>
  <c r="A45" i="3"/>
  <c r="Y45" i="3"/>
  <c r="CW45" i="3" s="1"/>
  <c r="CY45" i="3"/>
  <c r="CZ45" i="3"/>
  <c r="DA45" i="3"/>
  <c r="DB45" i="3"/>
  <c r="DC45" i="3"/>
  <c r="A46" i="3"/>
  <c r="Y46" i="3"/>
  <c r="CW46" i="3"/>
  <c r="CX46" i="3"/>
  <c r="DF46" i="3" s="1"/>
  <c r="CY46" i="3"/>
  <c r="CZ46" i="3"/>
  <c r="DB46" i="3" s="1"/>
  <c r="DA46" i="3"/>
  <c r="DC46" i="3"/>
  <c r="DG46" i="3"/>
  <c r="DJ46" i="3" s="1"/>
  <c r="DH46" i="3"/>
  <c r="DI46" i="3"/>
  <c r="A47" i="3"/>
  <c r="Y47" i="3"/>
  <c r="I37" i="8" s="1"/>
  <c r="CX47" i="3"/>
  <c r="CY47" i="3"/>
  <c r="CZ47" i="3"/>
  <c r="DB47" i="3" s="1"/>
  <c r="L37" i="8" s="1"/>
  <c r="DA47" i="3"/>
  <c r="DC47" i="3"/>
  <c r="Q37" i="8" s="1"/>
  <c r="DH47" i="3"/>
  <c r="A48" i="3"/>
  <c r="Y48" i="3"/>
  <c r="I36" i="8" s="1"/>
  <c r="CX48" i="3"/>
  <c r="CY48" i="3"/>
  <c r="CZ48" i="3"/>
  <c r="DA48" i="3"/>
  <c r="DB48" i="3"/>
  <c r="L36" i="8" s="1"/>
  <c r="DC48" i="3"/>
  <c r="Q36" i="8" s="1"/>
  <c r="DG48" i="3"/>
  <c r="DH48" i="3"/>
  <c r="A49" i="3"/>
  <c r="Y49" i="3"/>
  <c r="CX49" i="3"/>
  <c r="DG49" i="3" s="1"/>
  <c r="CY49" i="3"/>
  <c r="CZ49" i="3"/>
  <c r="DB49" i="3" s="1"/>
  <c r="DA49" i="3"/>
  <c r="DC49" i="3"/>
  <c r="DF49" i="3"/>
  <c r="DJ49" i="3" s="1"/>
  <c r="DH49" i="3"/>
  <c r="DI49" i="3"/>
  <c r="A50" i="3"/>
  <c r="Y50" i="3"/>
  <c r="I35" i="8" s="1"/>
  <c r="CX50" i="3"/>
  <c r="CY50" i="3"/>
  <c r="CZ50" i="3"/>
  <c r="DB50" i="3" s="1"/>
  <c r="L35" i="8" s="1"/>
  <c r="DA50" i="3"/>
  <c r="DC50" i="3"/>
  <c r="Q35" i="8" s="1"/>
  <c r="DF50" i="3"/>
  <c r="DG50" i="3"/>
  <c r="DH50" i="3"/>
  <c r="DI50" i="3"/>
  <c r="DJ50" i="3"/>
  <c r="A51" i="3"/>
  <c r="Y51" i="3"/>
  <c r="I34" i="8" s="1"/>
  <c r="CY51" i="3"/>
  <c r="CZ51" i="3"/>
  <c r="DA51" i="3"/>
  <c r="DB51" i="3"/>
  <c r="L34" i="8" s="1"/>
  <c r="DC51" i="3"/>
  <c r="Q34" i="8" s="1"/>
  <c r="A52" i="3"/>
  <c r="Y52" i="3"/>
  <c r="CX52" i="3"/>
  <c r="DG52" i="3" s="1"/>
  <c r="CY52" i="3"/>
  <c r="CZ52" i="3"/>
  <c r="DB52" i="3" s="1"/>
  <c r="DA52" i="3"/>
  <c r="DC52" i="3"/>
  <c r="DI52" i="3"/>
  <c r="A53" i="3"/>
  <c r="Y53" i="3"/>
  <c r="CX53" i="3" s="1"/>
  <c r="CY53" i="3"/>
  <c r="CZ53" i="3"/>
  <c r="DB53" i="3" s="1"/>
  <c r="DA53" i="3"/>
  <c r="DC53" i="3"/>
  <c r="DF53" i="3"/>
  <c r="DJ53" i="3" s="1"/>
  <c r="A54" i="3"/>
  <c r="Y54" i="3"/>
  <c r="I33" i="8" s="1"/>
  <c r="CX54" i="3"/>
  <c r="CY54" i="3"/>
  <c r="CZ54" i="3"/>
  <c r="DB54" i="3" s="1"/>
  <c r="L33" i="8" s="1"/>
  <c r="DA54" i="3"/>
  <c r="DC54" i="3"/>
  <c r="Q33" i="8" s="1"/>
  <c r="DI54" i="3"/>
  <c r="A55" i="3"/>
  <c r="Y55" i="3"/>
  <c r="CX55" i="3"/>
  <c r="CY55" i="3"/>
  <c r="CZ55" i="3"/>
  <c r="DA55" i="3"/>
  <c r="DB55" i="3"/>
  <c r="DC55" i="3"/>
  <c r="DH55" i="3"/>
  <c r="DI55" i="3"/>
  <c r="A56" i="3"/>
  <c r="Y56" i="3"/>
  <c r="CX56" i="3"/>
  <c r="DF56" i="3" s="1"/>
  <c r="DJ56" i="3" s="1"/>
  <c r="CY56" i="3"/>
  <c r="CZ56" i="3"/>
  <c r="DA56" i="3"/>
  <c r="DB56" i="3"/>
  <c r="DC56" i="3"/>
  <c r="DH56" i="3"/>
  <c r="DI56" i="3"/>
  <c r="A57" i="3"/>
  <c r="Y57" i="3"/>
  <c r="CU57" i="3"/>
  <c r="CY57" i="3"/>
  <c r="CZ57" i="3"/>
  <c r="DB57" i="3" s="1"/>
  <c r="DA57" i="3"/>
  <c r="DC57" i="3"/>
  <c r="A58" i="3"/>
  <c r="Y58" i="3"/>
  <c r="CX58" i="3"/>
  <c r="CY58" i="3"/>
  <c r="CZ58" i="3"/>
  <c r="DA58" i="3"/>
  <c r="DB58" i="3"/>
  <c r="DC58" i="3"/>
  <c r="A59" i="3"/>
  <c r="Y59" i="3"/>
  <c r="CX59" i="3" s="1"/>
  <c r="DI59" i="3" s="1"/>
  <c r="CW59" i="3"/>
  <c r="CY59" i="3"/>
  <c r="CZ59" i="3"/>
  <c r="DB59" i="3" s="1"/>
  <c r="DA59" i="3"/>
  <c r="DC59" i="3"/>
  <c r="A60" i="3"/>
  <c r="Y60" i="3"/>
  <c r="CW60" i="3" s="1"/>
  <c r="CX60" i="3"/>
  <c r="DF60" i="3" s="1"/>
  <c r="CY60" i="3"/>
  <c r="CZ60" i="3"/>
  <c r="DA60" i="3"/>
  <c r="DB60" i="3"/>
  <c r="DC60" i="3"/>
  <c r="DH60" i="3"/>
  <c r="DI60" i="3"/>
  <c r="A61" i="3"/>
  <c r="Y61" i="3"/>
  <c r="CY61" i="3"/>
  <c r="CZ61" i="3"/>
  <c r="DB61" i="3" s="1"/>
  <c r="DA61" i="3"/>
  <c r="DC61" i="3"/>
  <c r="A62" i="3"/>
  <c r="Y62" i="3"/>
  <c r="I39" i="8" s="1"/>
  <c r="CX62" i="3"/>
  <c r="DG62" i="3" s="1"/>
  <c r="CY62" i="3"/>
  <c r="CZ62" i="3"/>
  <c r="DB62" i="3" s="1"/>
  <c r="L39" i="8" s="1"/>
  <c r="DA62" i="3"/>
  <c r="DC62" i="3"/>
  <c r="Q39" i="8" s="1"/>
  <c r="DF62" i="3"/>
  <c r="DJ62" i="3" s="1"/>
  <c r="DH62" i="3"/>
  <c r="DI62" i="3"/>
  <c r="A63" i="3"/>
  <c r="Y63" i="3"/>
  <c r="CX63" i="3"/>
  <c r="DF63" i="3" s="1"/>
  <c r="DJ63" i="3" s="1"/>
  <c r="CY63" i="3"/>
  <c r="CZ63" i="3"/>
  <c r="DA63" i="3"/>
  <c r="DB63" i="3"/>
  <c r="DC63" i="3"/>
  <c r="DH63" i="3"/>
  <c r="DI63" i="3"/>
  <c r="A64" i="3"/>
  <c r="Y64" i="3"/>
  <c r="CU64" i="3"/>
  <c r="CY64" i="3"/>
  <c r="CZ64" i="3"/>
  <c r="DB64" i="3" s="1"/>
  <c r="DA64" i="3"/>
  <c r="DC64" i="3"/>
  <c r="A65" i="3"/>
  <c r="Y65" i="3"/>
  <c r="CX65" i="3" s="1"/>
  <c r="CY65" i="3"/>
  <c r="CZ65" i="3"/>
  <c r="DA65" i="3"/>
  <c r="DB65" i="3"/>
  <c r="DC65" i="3"/>
  <c r="DG65" i="3"/>
  <c r="DH65" i="3"/>
  <c r="A66" i="3"/>
  <c r="Y66" i="3"/>
  <c r="CX66" i="3" s="1"/>
  <c r="CW66" i="3"/>
  <c r="CY66" i="3"/>
  <c r="CZ66" i="3"/>
  <c r="DB66" i="3" s="1"/>
  <c r="DA66" i="3"/>
  <c r="DC66" i="3"/>
  <c r="DG66" i="3"/>
  <c r="DJ66" i="3" s="1"/>
  <c r="DI66" i="3"/>
  <c r="A67" i="3"/>
  <c r="Y67" i="3"/>
  <c r="CW67" i="3" s="1"/>
  <c r="CX67" i="3"/>
  <c r="DF67" i="3" s="1"/>
  <c r="CY67" i="3"/>
  <c r="CZ67" i="3"/>
  <c r="DA67" i="3"/>
  <c r="DB67" i="3"/>
  <c r="DC67" i="3"/>
  <c r="DH67" i="3"/>
  <c r="DI67" i="3"/>
  <c r="A68" i="3"/>
  <c r="Y68" i="3"/>
  <c r="CY68" i="3"/>
  <c r="CZ68" i="3"/>
  <c r="DB68" i="3" s="1"/>
  <c r="DA68" i="3"/>
  <c r="DC68" i="3"/>
  <c r="A69" i="3"/>
  <c r="Y69" i="3"/>
  <c r="CX69" i="3"/>
  <c r="DG69" i="3" s="1"/>
  <c r="CY69" i="3"/>
  <c r="CZ69" i="3"/>
  <c r="DB69" i="3" s="1"/>
  <c r="DA69" i="3"/>
  <c r="DC69" i="3"/>
  <c r="DF69" i="3"/>
  <c r="DJ69" i="3" s="1"/>
  <c r="DI69" i="3"/>
  <c r="A70" i="3"/>
  <c r="Y70" i="3"/>
  <c r="CY70" i="3"/>
  <c r="CZ70" i="3"/>
  <c r="DB70" i="3" s="1"/>
  <c r="DA70" i="3"/>
  <c r="DC70" i="3"/>
  <c r="A71" i="3"/>
  <c r="Y71" i="3"/>
  <c r="CY71" i="3"/>
  <c r="CZ71" i="3"/>
  <c r="DB71" i="3" s="1"/>
  <c r="DA71" i="3"/>
  <c r="DC71" i="3"/>
  <c r="A72" i="3"/>
  <c r="Y72" i="3"/>
  <c r="CY72" i="3"/>
  <c r="CZ72" i="3"/>
  <c r="DA72" i="3"/>
  <c r="DB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B75" i="3" s="1"/>
  <c r="DA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A77" i="3"/>
  <c r="DB77" i="3"/>
  <c r="L43" i="8" s="1"/>
  <c r="DC77" i="3"/>
  <c r="Q43" i="8" s="1"/>
  <c r="A78" i="3"/>
  <c r="Y78" i="3"/>
  <c r="CY78" i="3"/>
  <c r="CZ78" i="3"/>
  <c r="DB78" i="3" s="1"/>
  <c r="L42" i="8" s="1"/>
  <c r="DA78" i="3"/>
  <c r="DC78" i="3"/>
  <c r="Q42" i="8" s="1"/>
  <c r="A79" i="3"/>
  <c r="Y79" i="3"/>
  <c r="CY79" i="3"/>
  <c r="CZ79" i="3"/>
  <c r="DB79" i="3" s="1"/>
  <c r="L41" i="8" s="1"/>
  <c r="DA79" i="3"/>
  <c r="DC79" i="3"/>
  <c r="Q41" i="8" s="1"/>
  <c r="A80" i="3"/>
  <c r="Y80" i="3"/>
  <c r="CV80" i="3" s="1"/>
  <c r="CU80" i="3"/>
  <c r="CX80" i="3"/>
  <c r="DF80" i="3" s="1"/>
  <c r="CY80" i="3"/>
  <c r="CZ80" i="3"/>
  <c r="DA80" i="3"/>
  <c r="DB80" i="3"/>
  <c r="DC80" i="3"/>
  <c r="DH80" i="3"/>
  <c r="DI80" i="3"/>
  <c r="DJ80" i="3" s="1"/>
  <c r="A81" i="3"/>
  <c r="Y81" i="3"/>
  <c r="CX81" i="3" s="1"/>
  <c r="CY81" i="3"/>
  <c r="CZ81" i="3"/>
  <c r="DA81" i="3"/>
  <c r="DB81" i="3"/>
  <c r="DC81" i="3"/>
  <c r="DF81" i="3"/>
  <c r="A82" i="3"/>
  <c r="Y82" i="3"/>
  <c r="CW82" i="3" s="1"/>
  <c r="CX82" i="3"/>
  <c r="CY82" i="3"/>
  <c r="CZ82" i="3"/>
  <c r="DB82" i="3" s="1"/>
  <c r="DA82" i="3"/>
  <c r="DC82" i="3"/>
  <c r="A83" i="3"/>
  <c r="Y83" i="3"/>
  <c r="CW83" i="3"/>
  <c r="CX83" i="3"/>
  <c r="CY83" i="3"/>
  <c r="CZ83" i="3"/>
  <c r="DB83" i="3" s="1"/>
  <c r="DA83" i="3"/>
  <c r="DC83" i="3"/>
  <c r="A84" i="3"/>
  <c r="Y84" i="3"/>
  <c r="CX84" i="3" s="1"/>
  <c r="CW84" i="3"/>
  <c r="CY84" i="3"/>
  <c r="CZ84" i="3"/>
  <c r="DA84" i="3"/>
  <c r="DB84" i="3"/>
  <c r="DC84" i="3"/>
  <c r="A85" i="3"/>
  <c r="Y85" i="3"/>
  <c r="I45" i="8" s="1"/>
  <c r="CY85" i="3"/>
  <c r="CZ85" i="3"/>
  <c r="DA85" i="3"/>
  <c r="DB85" i="3"/>
  <c r="L45" i="8" s="1"/>
  <c r="DC85" i="3"/>
  <c r="Q45" i="8" s="1"/>
  <c r="A86" i="3"/>
  <c r="Y86" i="3"/>
  <c r="CX86" i="3"/>
  <c r="CY86" i="3"/>
  <c r="CZ86" i="3"/>
  <c r="DB86" i="3" s="1"/>
  <c r="DA86" i="3"/>
  <c r="DC86" i="3"/>
  <c r="DH86" i="3"/>
  <c r="A87" i="3"/>
  <c r="Y87" i="3"/>
  <c r="CU87" i="3"/>
  <c r="CV87" i="3"/>
  <c r="CX87" i="3"/>
  <c r="DF87" i="3" s="1"/>
  <c r="CY87" i="3"/>
  <c r="CZ87" i="3"/>
  <c r="DA87" i="3"/>
  <c r="DB87" i="3"/>
  <c r="DC87" i="3"/>
  <c r="DH87" i="3"/>
  <c r="DI87" i="3"/>
  <c r="DJ87" i="3" s="1"/>
  <c r="A88" i="3"/>
  <c r="Y88" i="3"/>
  <c r="CU88" i="3"/>
  <c r="CY88" i="3"/>
  <c r="CZ88" i="3"/>
  <c r="DA88" i="3"/>
  <c r="DB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B90" i="3" s="1"/>
  <c r="DA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B94" i="3" s="1"/>
  <c r="DA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L54" i="8" s="1"/>
  <c r="DC96" i="3"/>
  <c r="Q54" i="8" s="1"/>
  <c r="A97" i="3"/>
  <c r="Y97" i="3"/>
  <c r="I53" i="8" s="1"/>
  <c r="CY97" i="3"/>
  <c r="CZ97" i="3"/>
  <c r="DB97" i="3" s="1"/>
  <c r="L53" i="8" s="1"/>
  <c r="DA97" i="3"/>
  <c r="DC97" i="3"/>
  <c r="Q53" i="8" s="1"/>
  <c r="A98" i="3"/>
  <c r="Y98" i="3"/>
  <c r="CY98" i="3"/>
  <c r="CZ98" i="3"/>
  <c r="DB98" i="3" s="1"/>
  <c r="L52" i="8" s="1"/>
  <c r="DA98" i="3"/>
  <c r="DC98" i="3"/>
  <c r="Q52" i="8" s="1"/>
  <c r="A99" i="3"/>
  <c r="Y99" i="3"/>
  <c r="CY99" i="3"/>
  <c r="CZ99" i="3"/>
  <c r="DB99" i="3" s="1"/>
  <c r="L51" i="8" s="1"/>
  <c r="DA99" i="3"/>
  <c r="DC99" i="3"/>
  <c r="Q51" i="8" s="1"/>
  <c r="A100" i="3"/>
  <c r="Y100" i="3"/>
  <c r="I50" i="8" s="1"/>
  <c r="CY100" i="3"/>
  <c r="CZ100" i="3"/>
  <c r="DA100" i="3"/>
  <c r="DB100" i="3"/>
  <c r="L50" i="8" s="1"/>
  <c r="DC100" i="3"/>
  <c r="Q50" i="8" s="1"/>
  <c r="A101" i="3"/>
  <c r="Y101" i="3"/>
  <c r="CY101" i="3"/>
  <c r="CZ101" i="3"/>
  <c r="DB101" i="3" s="1"/>
  <c r="L49" i="8" s="1"/>
  <c r="DA101" i="3"/>
  <c r="DC101" i="3"/>
  <c r="Q49" i="8" s="1"/>
  <c r="A102" i="3"/>
  <c r="Y102" i="3"/>
  <c r="CY102" i="3"/>
  <c r="CZ102" i="3"/>
  <c r="DB102" i="3" s="1"/>
  <c r="L48" i="8" s="1"/>
  <c r="DA102" i="3"/>
  <c r="DC102" i="3"/>
  <c r="Q48" i="8" s="1"/>
  <c r="A103" i="3"/>
  <c r="Y103" i="3"/>
  <c r="CV103" i="3" s="1"/>
  <c r="CU103" i="3"/>
  <c r="CX103" i="3"/>
  <c r="CY103" i="3"/>
  <c r="CZ103" i="3"/>
  <c r="DA103" i="3"/>
  <c r="DB103" i="3"/>
  <c r="DC103" i="3"/>
  <c r="A104" i="3"/>
  <c r="Y104" i="3"/>
  <c r="CX104" i="3" s="1"/>
  <c r="CY104" i="3"/>
  <c r="CZ104" i="3"/>
  <c r="DA104" i="3"/>
  <c r="DB104" i="3"/>
  <c r="DC104" i="3"/>
  <c r="DG104" i="3"/>
  <c r="A105" i="3"/>
  <c r="Y105" i="3"/>
  <c r="CW105" i="3" s="1"/>
  <c r="CX105" i="3"/>
  <c r="DH105" i="3" s="1"/>
  <c r="CY105" i="3"/>
  <c r="CZ105" i="3"/>
  <c r="DA105" i="3"/>
  <c r="DB105" i="3"/>
  <c r="DC105" i="3"/>
  <c r="A106" i="3"/>
  <c r="Y106" i="3"/>
  <c r="CW106" i="3"/>
  <c r="CX106" i="3"/>
  <c r="CY106" i="3"/>
  <c r="CZ106" i="3"/>
  <c r="DB106" i="3" s="1"/>
  <c r="DA106" i="3"/>
  <c r="DC106" i="3"/>
  <c r="DG106" i="3"/>
  <c r="DH106" i="3"/>
  <c r="DJ106" i="3"/>
  <c r="A107" i="3"/>
  <c r="Y107" i="3"/>
  <c r="I59" i="8" s="1"/>
  <c r="CX107" i="3"/>
  <c r="DG107" i="3" s="1"/>
  <c r="CY107" i="3"/>
  <c r="CZ107" i="3"/>
  <c r="DB107" i="3" s="1"/>
  <c r="L59" i="8" s="1"/>
  <c r="DA107" i="3"/>
  <c r="DC107" i="3"/>
  <c r="Q59" i="8" s="1"/>
  <c r="DF107" i="3"/>
  <c r="DH107" i="3"/>
  <c r="DJ107" i="3"/>
  <c r="A108" i="3"/>
  <c r="Y108" i="3"/>
  <c r="I58" i="8" s="1"/>
  <c r="CX108" i="3"/>
  <c r="CY108" i="3"/>
  <c r="CZ108" i="3"/>
  <c r="DB108" i="3" s="1"/>
  <c r="L58" i="8" s="1"/>
  <c r="DA108" i="3"/>
  <c r="DC108" i="3"/>
  <c r="Q58" i="8" s="1"/>
  <c r="A109" i="3"/>
  <c r="Y109" i="3"/>
  <c r="CX109" i="3"/>
  <c r="CY109" i="3"/>
  <c r="CZ109" i="3"/>
  <c r="DA109" i="3"/>
  <c r="DB109" i="3"/>
  <c r="DC109" i="3"/>
  <c r="DH109" i="3"/>
  <c r="DI109" i="3"/>
  <c r="A110" i="3"/>
  <c r="Y110" i="3"/>
  <c r="CY110" i="3"/>
  <c r="CZ110" i="3"/>
  <c r="DA110" i="3"/>
  <c r="DB110" i="3"/>
  <c r="L57" i="8" s="1"/>
  <c r="DC110" i="3"/>
  <c r="Q57" i="8" s="1"/>
  <c r="A111" i="3"/>
  <c r="Y111" i="3"/>
  <c r="CY111" i="3"/>
  <c r="CZ111" i="3"/>
  <c r="DB111" i="3" s="1"/>
  <c r="L56" i="8" s="1"/>
  <c r="DA111" i="3"/>
  <c r="DC111" i="3"/>
  <c r="Q56" i="8" s="1"/>
  <c r="A112" i="3"/>
  <c r="Y112" i="3"/>
  <c r="CX112" i="3" s="1"/>
  <c r="CY112" i="3"/>
  <c r="CZ112" i="3"/>
  <c r="DB112" i="3" s="1"/>
  <c r="DA112" i="3"/>
  <c r="DC112" i="3"/>
  <c r="A113" i="3"/>
  <c r="Y113" i="3"/>
  <c r="CX113" i="3" s="1"/>
  <c r="CY113" i="3"/>
  <c r="CZ113" i="3"/>
  <c r="DA113" i="3"/>
  <c r="DB113" i="3"/>
  <c r="DC113" i="3"/>
  <c r="A114" i="3"/>
  <c r="Y114" i="3"/>
  <c r="I55" i="8" s="1"/>
  <c r="CY114" i="3"/>
  <c r="CZ114" i="3"/>
  <c r="DB114" i="3" s="1"/>
  <c r="L55" i="8" s="1"/>
  <c r="DA114" i="3"/>
  <c r="DC114" i="3"/>
  <c r="Q55" i="8" s="1"/>
  <c r="A115" i="3"/>
  <c r="Y115" i="3"/>
  <c r="CX115" i="3"/>
  <c r="DG115" i="3" s="1"/>
  <c r="CY115" i="3"/>
  <c r="CZ115" i="3"/>
  <c r="DB115" i="3" s="1"/>
  <c r="DA115" i="3"/>
  <c r="DC115" i="3"/>
  <c r="DF115" i="3"/>
  <c r="DH115" i="3"/>
  <c r="DJ115" i="3"/>
  <c r="A116" i="3"/>
  <c r="Y116" i="3"/>
  <c r="CX116" i="3"/>
  <c r="DG116" i="3" s="1"/>
  <c r="CY116" i="3"/>
  <c r="CZ116" i="3"/>
  <c r="DA116" i="3"/>
  <c r="DB116" i="3"/>
  <c r="DC116" i="3"/>
  <c r="DH116" i="3"/>
  <c r="DI116" i="3"/>
  <c r="A117" i="3"/>
  <c r="Y117" i="3"/>
  <c r="CX117" i="3"/>
  <c r="CY117" i="3"/>
  <c r="CZ117" i="3"/>
  <c r="DA117" i="3"/>
  <c r="DB117" i="3"/>
  <c r="DC117" i="3"/>
  <c r="DH117" i="3"/>
  <c r="DI117" i="3"/>
  <c r="A118" i="3"/>
  <c r="Y118" i="3"/>
  <c r="CU118" i="3"/>
  <c r="CY118" i="3"/>
  <c r="CZ118" i="3"/>
  <c r="DB118" i="3" s="1"/>
  <c r="DA118" i="3"/>
  <c r="DC118" i="3"/>
  <c r="A119" i="3"/>
  <c r="Y119" i="3"/>
  <c r="CX119" i="3"/>
  <c r="CY119" i="3"/>
  <c r="CZ119" i="3"/>
  <c r="DA119" i="3"/>
  <c r="DB119" i="3"/>
  <c r="DC119" i="3"/>
  <c r="A120" i="3"/>
  <c r="Y120" i="3"/>
  <c r="CX120" i="3" s="1"/>
  <c r="DH120" i="3" s="1"/>
  <c r="CW120" i="3"/>
  <c r="CY120" i="3"/>
  <c r="CZ120" i="3"/>
  <c r="DB120" i="3" s="1"/>
  <c r="DA120" i="3"/>
  <c r="DC120" i="3"/>
  <c r="DG120" i="3"/>
  <c r="DI120" i="3"/>
  <c r="DJ120" i="3"/>
  <c r="A121" i="3"/>
  <c r="Y121" i="3"/>
  <c r="CW121" i="3"/>
  <c r="CX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B123" i="3" s="1"/>
  <c r="L69" i="8" s="1"/>
  <c r="DA123" i="3"/>
  <c r="DC123" i="3"/>
  <c r="Q69" i="8" s="1"/>
  <c r="A124" i="3"/>
  <c r="Y124" i="3"/>
  <c r="CX124" i="3" s="1"/>
  <c r="CY124" i="3"/>
  <c r="CZ124" i="3"/>
  <c r="DA124" i="3"/>
  <c r="DB124" i="3"/>
  <c r="DC124" i="3"/>
  <c r="DF124" i="3"/>
  <c r="DJ124" i="3" s="1"/>
  <c r="A125" i="3"/>
  <c r="Y125" i="3"/>
  <c r="CY125" i="3"/>
  <c r="CZ125" i="3"/>
  <c r="DB125" i="3" s="1"/>
  <c r="DA125" i="3"/>
  <c r="DC125" i="3"/>
  <c r="A126" i="3"/>
  <c r="Y126" i="3"/>
  <c r="I71" i="8" s="1"/>
  <c r="CY126" i="3"/>
  <c r="CZ126" i="3"/>
  <c r="DB126" i="3" s="1"/>
  <c r="L71" i="8" s="1"/>
  <c r="DA126" i="3"/>
  <c r="DC126" i="3"/>
  <c r="Q71" i="8" s="1"/>
  <c r="A127" i="3"/>
  <c r="Y127" i="3"/>
  <c r="CY127" i="3"/>
  <c r="CZ127" i="3"/>
  <c r="DA127" i="3"/>
  <c r="DB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A129" i="3"/>
  <c r="DB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B131" i="3" s="1"/>
  <c r="DA131" i="3"/>
  <c r="DC131" i="3"/>
  <c r="A132" i="3"/>
  <c r="Y132" i="3"/>
  <c r="CY132" i="3"/>
  <c r="CZ132" i="3"/>
  <c r="DA132" i="3"/>
  <c r="DB132" i="3"/>
  <c r="L78" i="8" s="1"/>
  <c r="DC132" i="3"/>
  <c r="A133" i="3"/>
  <c r="Y133" i="3"/>
  <c r="CY133" i="3"/>
  <c r="CZ133" i="3"/>
  <c r="DB133" i="3" s="1"/>
  <c r="L77" i="8" s="1"/>
  <c r="DA133" i="3"/>
  <c r="DC133" i="3"/>
  <c r="Q77" i="8" s="1"/>
  <c r="A134" i="3"/>
  <c r="Y134" i="3"/>
  <c r="CY134" i="3"/>
  <c r="CZ134" i="3"/>
  <c r="DB134" i="3" s="1"/>
  <c r="L76" i="8" s="1"/>
  <c r="DA134" i="3"/>
  <c r="DC134" i="3"/>
  <c r="Q76" i="8" s="1"/>
  <c r="A135" i="3"/>
  <c r="Y135" i="3"/>
  <c r="CY135" i="3"/>
  <c r="CZ135" i="3"/>
  <c r="DA135" i="3"/>
  <c r="DB135" i="3"/>
  <c r="L75" i="8" s="1"/>
  <c r="DC135" i="3"/>
  <c r="Q75" i="8" s="1"/>
  <c r="A136" i="3"/>
  <c r="Y136" i="3"/>
  <c r="CY136" i="3"/>
  <c r="CZ136" i="3"/>
  <c r="DB136" i="3" s="1"/>
  <c r="DA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B139" i="3" s="1"/>
  <c r="L74" i="8" s="1"/>
  <c r="DA139" i="3"/>
  <c r="DC139" i="3"/>
  <c r="Q74" i="8" s="1"/>
  <c r="A140" i="3"/>
  <c r="Y140" i="3"/>
  <c r="CY140" i="3"/>
  <c r="CZ140" i="3"/>
  <c r="DA140" i="3"/>
  <c r="DB140" i="3"/>
  <c r="L73" i="8" s="1"/>
  <c r="DC140" i="3"/>
  <c r="Q73" i="8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AG28" i="1"/>
  <c r="AH28" i="1"/>
  <c r="CV28" i="1" s="1"/>
  <c r="U28" i="1" s="1"/>
  <c r="AI28" i="1"/>
  <c r="AJ28" i="1"/>
  <c r="CQ28" i="1"/>
  <c r="P28" i="1" s="1"/>
  <c r="CS28" i="1"/>
  <c r="R28" i="1" s="1"/>
  <c r="CT28" i="1"/>
  <c r="S28" i="1" s="1"/>
  <c r="CU28" i="1"/>
  <c r="T28" i="1" s="1"/>
  <c r="CW28" i="1"/>
  <c r="V28" i="1" s="1"/>
  <c r="CX28" i="1"/>
  <c r="W28" i="1" s="1"/>
  <c r="AJ31" i="1" s="1"/>
  <c r="CY28" i="1"/>
  <c r="X28" i="1" s="1"/>
  <c r="FR28" i="1"/>
  <c r="GL28" i="1"/>
  <c r="GO28" i="1"/>
  <c r="GP28" i="1"/>
  <c r="CD31" i="1" s="1"/>
  <c r="GV28" i="1"/>
  <c r="HC28" i="1"/>
  <c r="GX28" i="1" s="1"/>
  <c r="CJ31" i="1" s="1"/>
  <c r="C29" i="1"/>
  <c r="D29" i="1"/>
  <c r="I29" i="1"/>
  <c r="K29" i="1"/>
  <c r="AC29" i="1"/>
  <c r="AE29" i="1"/>
  <c r="AF29" i="1"/>
  <c r="AG29" i="1"/>
  <c r="CU29" i="1" s="1"/>
  <c r="T29" i="1" s="1"/>
  <c r="AG31" i="1" s="1"/>
  <c r="AH29" i="1"/>
  <c r="CV29" i="1" s="1"/>
  <c r="U29" i="1" s="1"/>
  <c r="AI29" i="1"/>
  <c r="AJ29" i="1"/>
  <c r="CQ29" i="1"/>
  <c r="P29" i="1" s="1"/>
  <c r="CT29" i="1"/>
  <c r="CW29" i="1"/>
  <c r="CX29" i="1"/>
  <c r="W29" i="1" s="1"/>
  <c r="FR29" i="1"/>
  <c r="BY31" i="1" s="1"/>
  <c r="CI31" i="1" s="1"/>
  <c r="GL29" i="1"/>
  <c r="GN29" i="1"/>
  <c r="GP29" i="1"/>
  <c r="GV29" i="1"/>
  <c r="HC29" i="1"/>
  <c r="GX29" i="1" s="1"/>
  <c r="B31" i="1"/>
  <c r="B26" i="1" s="1"/>
  <c r="C31" i="1"/>
  <c r="C26" i="1" s="1"/>
  <c r="D31" i="1"/>
  <c r="D26" i="1" s="1"/>
  <c r="F31" i="1"/>
  <c r="F26" i="1" s="1"/>
  <c r="G31" i="1"/>
  <c r="AG52" i="6" s="1"/>
  <c r="AC31" i="1"/>
  <c r="CH31" i="1" s="1"/>
  <c r="BX31" i="1"/>
  <c r="BZ31" i="1"/>
  <c r="CG31" i="1"/>
  <c r="CK31" i="1"/>
  <c r="CL31" i="1"/>
  <c r="CM31" i="1"/>
  <c r="D70" i="1"/>
  <c r="E72" i="1"/>
  <c r="Z72" i="1"/>
  <c r="AA72" i="1"/>
  <c r="AM72" i="1"/>
  <c r="AN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C74" i="1"/>
  <c r="D74" i="1"/>
  <c r="AC74" i="1"/>
  <c r="CQ74" i="1" s="1"/>
  <c r="P74" i="1" s="1"/>
  <c r="AE74" i="1"/>
  <c r="AF74" i="1"/>
  <c r="AG74" i="1"/>
  <c r="AH74" i="1"/>
  <c r="AI74" i="1"/>
  <c r="AJ74" i="1"/>
  <c r="CR74" i="1"/>
  <c r="Q74" i="1" s="1"/>
  <c r="CS74" i="1"/>
  <c r="R74" i="1" s="1"/>
  <c r="CT74" i="1"/>
  <c r="S74" i="1" s="1"/>
  <c r="CU74" i="1"/>
  <c r="T74" i="1" s="1"/>
  <c r="CV74" i="1"/>
  <c r="U74" i="1" s="1"/>
  <c r="L72" i="6" s="1"/>
  <c r="CW74" i="1"/>
  <c r="V74" i="1" s="1"/>
  <c r="CX74" i="1"/>
  <c r="W74" i="1" s="1"/>
  <c r="FR74" i="1"/>
  <c r="GL74" i="1"/>
  <c r="BZ121" i="1" s="1"/>
  <c r="CG121" i="1" s="1"/>
  <c r="GO74" i="1"/>
  <c r="GP74" i="1"/>
  <c r="GV74" i="1"/>
  <c r="HC74" i="1" s="1"/>
  <c r="GX74" i="1" s="1"/>
  <c r="C75" i="1"/>
  <c r="D75" i="1"/>
  <c r="I75" i="1"/>
  <c r="K75" i="1"/>
  <c r="AC75" i="1"/>
  <c r="CQ75" i="1" s="1"/>
  <c r="P75" i="1" s="1"/>
  <c r="AE75" i="1"/>
  <c r="AF75" i="1"/>
  <c r="AG75" i="1"/>
  <c r="AH75" i="1"/>
  <c r="AI75" i="1"/>
  <c r="AJ75" i="1"/>
  <c r="CR75" i="1"/>
  <c r="Q75" i="1" s="1"/>
  <c r="CS75" i="1"/>
  <c r="CT75" i="1"/>
  <c r="CU75" i="1"/>
  <c r="CV75" i="1"/>
  <c r="CW75" i="1"/>
  <c r="V75" i="1" s="1"/>
  <c r="CX75" i="1"/>
  <c r="W75" i="1" s="1"/>
  <c r="FR75" i="1"/>
  <c r="GL75" i="1"/>
  <c r="GN75" i="1"/>
  <c r="GP75" i="1"/>
  <c r="GV75" i="1"/>
  <c r="HC75" i="1" s="1"/>
  <c r="GX75" i="1" s="1"/>
  <c r="C76" i="1"/>
  <c r="D76" i="1"/>
  <c r="AC76" i="1"/>
  <c r="AE76" i="1"/>
  <c r="AF76" i="1"/>
  <c r="AG76" i="1"/>
  <c r="AH76" i="1"/>
  <c r="CV76" i="1" s="1"/>
  <c r="U76" i="1" s="1"/>
  <c r="AI76" i="1"/>
  <c r="AJ76" i="1"/>
  <c r="CX76" i="1" s="1"/>
  <c r="W76" i="1" s="1"/>
  <c r="CQ76" i="1"/>
  <c r="P76" i="1" s="1"/>
  <c r="CS76" i="1"/>
  <c r="R76" i="1" s="1"/>
  <c r="L87" i="9" s="1"/>
  <c r="CT76" i="1"/>
  <c r="S76" i="1" s="1"/>
  <c r="CU76" i="1"/>
  <c r="T76" i="1" s="1"/>
  <c r="CW76" i="1"/>
  <c r="V76" i="1" s="1"/>
  <c r="CY76" i="1"/>
  <c r="X76" i="1" s="1"/>
  <c r="FR76" i="1"/>
  <c r="GL76" i="1"/>
  <c r="GO76" i="1"/>
  <c r="GP76" i="1"/>
  <c r="GV76" i="1"/>
  <c r="HC76" i="1"/>
  <c r="GX76" i="1" s="1"/>
  <c r="I77" i="1"/>
  <c r="AC77" i="1"/>
  <c r="AE77" i="1"/>
  <c r="AD77" i="1" s="1"/>
  <c r="AF77" i="1"/>
  <c r="AG77" i="1"/>
  <c r="AH77" i="1"/>
  <c r="CV77" i="1" s="1"/>
  <c r="U77" i="1" s="1"/>
  <c r="AI77" i="1"/>
  <c r="CW77" i="1" s="1"/>
  <c r="V77" i="1" s="1"/>
  <c r="AJ77" i="1"/>
  <c r="CX77" i="1" s="1"/>
  <c r="W77" i="1" s="1"/>
  <c r="CQ77" i="1"/>
  <c r="P77" i="1" s="1"/>
  <c r="CS77" i="1"/>
  <c r="CT77" i="1"/>
  <c r="CU77" i="1"/>
  <c r="FR77" i="1"/>
  <c r="GL77" i="1"/>
  <c r="GO77" i="1"/>
  <c r="GP77" i="1"/>
  <c r="GV77" i="1"/>
  <c r="HC77" i="1"/>
  <c r="I78" i="1"/>
  <c r="AC78" i="1"/>
  <c r="AE78" i="1"/>
  <c r="AD78" i="1" s="1"/>
  <c r="AF78" i="1"/>
  <c r="AG78" i="1"/>
  <c r="AH78" i="1"/>
  <c r="AI78" i="1"/>
  <c r="AJ78" i="1"/>
  <c r="CQ78" i="1"/>
  <c r="P78" i="1" s="1"/>
  <c r="CS78" i="1"/>
  <c r="CT78" i="1"/>
  <c r="CU78" i="1"/>
  <c r="CV78" i="1"/>
  <c r="U78" i="1" s="1"/>
  <c r="CW78" i="1"/>
  <c r="V78" i="1" s="1"/>
  <c r="CX78" i="1"/>
  <c r="FR78" i="1"/>
  <c r="GL78" i="1"/>
  <c r="GO78" i="1"/>
  <c r="GP78" i="1"/>
  <c r="GV78" i="1"/>
  <c r="HC78" i="1" s="1"/>
  <c r="GX78" i="1" s="1"/>
  <c r="I79" i="1"/>
  <c r="AC79" i="1"/>
  <c r="AE79" i="1"/>
  <c r="AD79" i="1" s="1"/>
  <c r="AF79" i="1"/>
  <c r="AG79" i="1"/>
  <c r="AH79" i="1"/>
  <c r="CV79" i="1" s="1"/>
  <c r="U79" i="1" s="1"/>
  <c r="AI79" i="1"/>
  <c r="CW79" i="1" s="1"/>
  <c r="V79" i="1" s="1"/>
  <c r="AJ79" i="1"/>
  <c r="CQ79" i="1"/>
  <c r="P79" i="1" s="1"/>
  <c r="CS79" i="1"/>
  <c r="CT79" i="1"/>
  <c r="CU79" i="1"/>
  <c r="CX79" i="1"/>
  <c r="W79" i="1" s="1"/>
  <c r="FR79" i="1"/>
  <c r="GL79" i="1"/>
  <c r="GO79" i="1"/>
  <c r="GP79" i="1"/>
  <c r="GV79" i="1"/>
  <c r="HC79" i="1"/>
  <c r="GX79" i="1" s="1"/>
  <c r="I80" i="1"/>
  <c r="AC80" i="1"/>
  <c r="AE80" i="1"/>
  <c r="AD80" i="1" s="1"/>
  <c r="AF80" i="1"/>
  <c r="AG80" i="1"/>
  <c r="AH80" i="1"/>
  <c r="CV80" i="1" s="1"/>
  <c r="U80" i="1" s="1"/>
  <c r="AI80" i="1"/>
  <c r="AJ80" i="1"/>
  <c r="CX80" i="1" s="1"/>
  <c r="W80" i="1" s="1"/>
  <c r="CQ80" i="1"/>
  <c r="P80" i="1" s="1"/>
  <c r="CS80" i="1"/>
  <c r="CT80" i="1"/>
  <c r="CU80" i="1"/>
  <c r="CW80" i="1"/>
  <c r="FR80" i="1"/>
  <c r="GL80" i="1"/>
  <c r="GO80" i="1"/>
  <c r="GP80" i="1"/>
  <c r="GV80" i="1"/>
  <c r="HC80" i="1"/>
  <c r="I81" i="1"/>
  <c r="AC81" i="1"/>
  <c r="AE81" i="1"/>
  <c r="AD81" i="1" s="1"/>
  <c r="AF81" i="1"/>
  <c r="AG81" i="1"/>
  <c r="AH81" i="1"/>
  <c r="AI81" i="1"/>
  <c r="CW81" i="1" s="1"/>
  <c r="V81" i="1" s="1"/>
  <c r="AJ81" i="1"/>
  <c r="CX81" i="1" s="1"/>
  <c r="W81" i="1" s="1"/>
  <c r="CQ81" i="1"/>
  <c r="P81" i="1" s="1"/>
  <c r="CS81" i="1"/>
  <c r="CT81" i="1"/>
  <c r="CU81" i="1"/>
  <c r="CV81" i="1"/>
  <c r="FR81" i="1"/>
  <c r="GL81" i="1"/>
  <c r="GO81" i="1"/>
  <c r="GP81" i="1"/>
  <c r="GV81" i="1"/>
  <c r="HC81" i="1" s="1"/>
  <c r="GX81" i="1" s="1"/>
  <c r="I82" i="1"/>
  <c r="AC82" i="1"/>
  <c r="AE82" i="1"/>
  <c r="AD82" i="1" s="1"/>
  <c r="AF82" i="1"/>
  <c r="AG82" i="1"/>
  <c r="AH82" i="1"/>
  <c r="AI82" i="1"/>
  <c r="AJ82" i="1"/>
  <c r="CQ82" i="1"/>
  <c r="CS82" i="1"/>
  <c r="CT82" i="1"/>
  <c r="CU82" i="1"/>
  <c r="CV82" i="1"/>
  <c r="U82" i="1" s="1"/>
  <c r="CW82" i="1"/>
  <c r="V82" i="1" s="1"/>
  <c r="CX82" i="1"/>
  <c r="FR82" i="1"/>
  <c r="GL82" i="1"/>
  <c r="GO82" i="1"/>
  <c r="GP82" i="1"/>
  <c r="GV82" i="1"/>
  <c r="HC82" i="1" s="1"/>
  <c r="GX82" i="1" s="1"/>
  <c r="I83" i="1"/>
  <c r="AC83" i="1"/>
  <c r="AE83" i="1"/>
  <c r="AD83" i="1" s="1"/>
  <c r="AF83" i="1"/>
  <c r="AG83" i="1"/>
  <c r="AH83" i="1"/>
  <c r="CV83" i="1" s="1"/>
  <c r="U83" i="1" s="1"/>
  <c r="AI83" i="1"/>
  <c r="CW83" i="1" s="1"/>
  <c r="V83" i="1" s="1"/>
  <c r="AJ83" i="1"/>
  <c r="CQ83" i="1"/>
  <c r="P83" i="1" s="1"/>
  <c r="CS83" i="1"/>
  <c r="CT83" i="1"/>
  <c r="CU83" i="1"/>
  <c r="CX83" i="1"/>
  <c r="W83" i="1" s="1"/>
  <c r="FR83" i="1"/>
  <c r="GL83" i="1"/>
  <c r="GO83" i="1"/>
  <c r="GP83" i="1"/>
  <c r="GV83" i="1"/>
  <c r="HC83" i="1"/>
  <c r="GX83" i="1" s="1"/>
  <c r="I84" i="1"/>
  <c r="AC84" i="1"/>
  <c r="AE84" i="1"/>
  <c r="AD84" i="1" s="1"/>
  <c r="AF84" i="1"/>
  <c r="AG84" i="1"/>
  <c r="AH84" i="1"/>
  <c r="CV84" i="1" s="1"/>
  <c r="U84" i="1" s="1"/>
  <c r="AI84" i="1"/>
  <c r="AJ84" i="1"/>
  <c r="CX84" i="1" s="1"/>
  <c r="W84" i="1" s="1"/>
  <c r="CQ84" i="1"/>
  <c r="P84" i="1" s="1"/>
  <c r="CS84" i="1"/>
  <c r="CT84" i="1"/>
  <c r="CU84" i="1"/>
  <c r="CW84" i="1"/>
  <c r="FR84" i="1"/>
  <c r="GL84" i="1"/>
  <c r="GO84" i="1"/>
  <c r="GP84" i="1"/>
  <c r="GV84" i="1"/>
  <c r="HC84" i="1"/>
  <c r="I85" i="1"/>
  <c r="AC85" i="1"/>
  <c r="AE85" i="1"/>
  <c r="AD85" i="1" s="1"/>
  <c r="AF85" i="1"/>
  <c r="AG85" i="1"/>
  <c r="AH85" i="1"/>
  <c r="AI85" i="1"/>
  <c r="CW85" i="1" s="1"/>
  <c r="V85" i="1" s="1"/>
  <c r="AJ85" i="1"/>
  <c r="CX85" i="1" s="1"/>
  <c r="W85" i="1" s="1"/>
  <c r="CQ85" i="1"/>
  <c r="P85" i="1" s="1"/>
  <c r="CS85" i="1"/>
  <c r="CT85" i="1"/>
  <c r="CU85" i="1"/>
  <c r="CV85" i="1"/>
  <c r="FR85" i="1"/>
  <c r="GL85" i="1"/>
  <c r="GO85" i="1"/>
  <c r="GP85" i="1"/>
  <c r="GV85" i="1"/>
  <c r="HC85" i="1" s="1"/>
  <c r="GX85" i="1" s="1"/>
  <c r="AC86" i="1"/>
  <c r="CQ86" i="1" s="1"/>
  <c r="P86" i="1" s="1"/>
  <c r="AE86" i="1"/>
  <c r="AF86" i="1"/>
  <c r="AG86" i="1"/>
  <c r="AH86" i="1"/>
  <c r="AI86" i="1"/>
  <c r="AJ86" i="1"/>
  <c r="CR86" i="1"/>
  <c r="Q86" i="1" s="1"/>
  <c r="CS86" i="1"/>
  <c r="R86" i="1" s="1"/>
  <c r="CT86" i="1"/>
  <c r="S86" i="1" s="1"/>
  <c r="CU86" i="1"/>
  <c r="T86" i="1" s="1"/>
  <c r="CV86" i="1"/>
  <c r="U86" i="1" s="1"/>
  <c r="M96" i="9" s="1"/>
  <c r="Q96" i="9" s="1"/>
  <c r="CW86" i="1"/>
  <c r="V86" i="1" s="1"/>
  <c r="CX86" i="1"/>
  <c r="W86" i="1" s="1"/>
  <c r="CY86" i="1"/>
  <c r="X86" i="1" s="1"/>
  <c r="CZ86" i="1"/>
  <c r="Y86" i="1" s="1"/>
  <c r="FR86" i="1"/>
  <c r="GL86" i="1"/>
  <c r="GO86" i="1"/>
  <c r="GP86" i="1"/>
  <c r="GV86" i="1"/>
  <c r="HC86" i="1" s="1"/>
  <c r="GX86" i="1" s="1"/>
  <c r="AC87" i="1"/>
  <c r="AE87" i="1"/>
  <c r="CR87" i="1" s="1"/>
  <c r="Q87" i="1" s="1"/>
  <c r="AF87" i="1"/>
  <c r="AG87" i="1"/>
  <c r="AH87" i="1"/>
  <c r="AI87" i="1"/>
  <c r="AJ87" i="1"/>
  <c r="CS87" i="1"/>
  <c r="R87" i="1" s="1"/>
  <c r="CT87" i="1"/>
  <c r="S87" i="1" s="1"/>
  <c r="CU87" i="1"/>
  <c r="T87" i="1" s="1"/>
  <c r="CV87" i="1"/>
  <c r="U87" i="1" s="1"/>
  <c r="CW87" i="1"/>
  <c r="V87" i="1" s="1"/>
  <c r="CX87" i="1"/>
  <c r="W87" i="1" s="1"/>
  <c r="CY87" i="1"/>
  <c r="X87" i="1" s="1"/>
  <c r="CZ87" i="1"/>
  <c r="Y87" i="1" s="1"/>
  <c r="FR87" i="1"/>
  <c r="GL87" i="1"/>
  <c r="GO87" i="1"/>
  <c r="GP87" i="1"/>
  <c r="GV87" i="1"/>
  <c r="HC87" i="1"/>
  <c r="GX87" i="1" s="1"/>
  <c r="AC88" i="1"/>
  <c r="AE88" i="1"/>
  <c r="AF88" i="1"/>
  <c r="AG88" i="1"/>
  <c r="AH88" i="1"/>
  <c r="AI88" i="1"/>
  <c r="AJ88" i="1"/>
  <c r="CQ88" i="1"/>
  <c r="P88" i="1" s="1"/>
  <c r="CR88" i="1"/>
  <c r="Q88" i="1" s="1"/>
  <c r="CS88" i="1"/>
  <c r="R88" i="1" s="1"/>
  <c r="CT88" i="1"/>
  <c r="S88" i="1" s="1"/>
  <c r="CU88" i="1"/>
  <c r="T88" i="1" s="1"/>
  <c r="CV88" i="1"/>
  <c r="U88" i="1" s="1"/>
  <c r="CW88" i="1"/>
  <c r="V88" i="1" s="1"/>
  <c r="CX88" i="1"/>
  <c r="W88" i="1" s="1"/>
  <c r="CY88" i="1"/>
  <c r="X88" i="1" s="1"/>
  <c r="CZ88" i="1"/>
  <c r="Y88" i="1" s="1"/>
  <c r="FR88" i="1"/>
  <c r="GL88" i="1"/>
  <c r="GO88" i="1"/>
  <c r="GP88" i="1"/>
  <c r="GV88" i="1"/>
  <c r="HC88" i="1" s="1"/>
  <c r="GX88" i="1" s="1"/>
  <c r="AC89" i="1"/>
  <c r="AE89" i="1"/>
  <c r="AF89" i="1"/>
  <c r="AG89" i="1"/>
  <c r="AH89" i="1"/>
  <c r="AI89" i="1"/>
  <c r="AJ89" i="1"/>
  <c r="CR89" i="1"/>
  <c r="Q89" i="1" s="1"/>
  <c r="CS89" i="1"/>
  <c r="R89" i="1" s="1"/>
  <c r="CT89" i="1"/>
  <c r="S89" i="1" s="1"/>
  <c r="CU89" i="1"/>
  <c r="T89" i="1" s="1"/>
  <c r="CV89" i="1"/>
  <c r="U89" i="1" s="1"/>
  <c r="CW89" i="1"/>
  <c r="V89" i="1" s="1"/>
  <c r="CX89" i="1"/>
  <c r="W89" i="1" s="1"/>
  <c r="CY89" i="1"/>
  <c r="X89" i="1" s="1"/>
  <c r="CZ89" i="1"/>
  <c r="Y89" i="1" s="1"/>
  <c r="FR89" i="1"/>
  <c r="GL89" i="1"/>
  <c r="GO89" i="1"/>
  <c r="GP89" i="1"/>
  <c r="GV89" i="1"/>
  <c r="HC89" i="1"/>
  <c r="GX89" i="1" s="1"/>
  <c r="AC90" i="1"/>
  <c r="AE90" i="1"/>
  <c r="AF90" i="1"/>
  <c r="CT90" i="1" s="1"/>
  <c r="S90" i="1" s="1"/>
  <c r="AG90" i="1"/>
  <c r="AH90" i="1"/>
  <c r="AI90" i="1"/>
  <c r="AJ90" i="1"/>
  <c r="CQ90" i="1"/>
  <c r="P90" i="1" s="1"/>
  <c r="CU90" i="1"/>
  <c r="T90" i="1" s="1"/>
  <c r="CV90" i="1"/>
  <c r="U90" i="1" s="1"/>
  <c r="CW90" i="1"/>
  <c r="V90" i="1" s="1"/>
  <c r="CX90" i="1"/>
  <c r="W90" i="1" s="1"/>
  <c r="CY90" i="1"/>
  <c r="X90" i="1" s="1"/>
  <c r="CZ90" i="1"/>
  <c r="Y90" i="1" s="1"/>
  <c r="FR90" i="1"/>
  <c r="GL90" i="1"/>
  <c r="GO90" i="1"/>
  <c r="GP90" i="1"/>
  <c r="GV90" i="1"/>
  <c r="HC90" i="1"/>
  <c r="GX90" i="1" s="1"/>
  <c r="AC91" i="1"/>
  <c r="G110" i="6" s="1"/>
  <c r="AE91" i="1"/>
  <c r="AF91" i="1"/>
  <c r="AG91" i="1"/>
  <c r="CU91" i="1" s="1"/>
  <c r="T91" i="1" s="1"/>
  <c r="AH91" i="1"/>
  <c r="CV91" i="1" s="1"/>
  <c r="U91" i="1" s="1"/>
  <c r="AI91" i="1"/>
  <c r="AJ91" i="1"/>
  <c r="CR91" i="1"/>
  <c r="Q91" i="1" s="1"/>
  <c r="CS91" i="1"/>
  <c r="R91" i="1" s="1"/>
  <c r="CT91" i="1"/>
  <c r="S91" i="1" s="1"/>
  <c r="CW91" i="1"/>
  <c r="V91" i="1" s="1"/>
  <c r="CX91" i="1"/>
  <c r="W91" i="1" s="1"/>
  <c r="CY91" i="1"/>
  <c r="X91" i="1" s="1"/>
  <c r="CZ91" i="1"/>
  <c r="Y91" i="1" s="1"/>
  <c r="FR91" i="1"/>
  <c r="GL91" i="1"/>
  <c r="GN91" i="1"/>
  <c r="GP91" i="1"/>
  <c r="GV91" i="1"/>
  <c r="HC91" i="1" s="1"/>
  <c r="GX91" i="1" s="1"/>
  <c r="AC92" i="1"/>
  <c r="AE92" i="1"/>
  <c r="AF92" i="1"/>
  <c r="AG92" i="1"/>
  <c r="CU92" i="1" s="1"/>
  <c r="T92" i="1" s="1"/>
  <c r="AH92" i="1"/>
  <c r="CV92" i="1" s="1"/>
  <c r="U92" i="1" s="1"/>
  <c r="AI92" i="1"/>
  <c r="AJ92" i="1"/>
  <c r="CX92" i="1" s="1"/>
  <c r="W92" i="1" s="1"/>
  <c r="CS92" i="1"/>
  <c r="R92" i="1" s="1"/>
  <c r="CT92" i="1"/>
  <c r="S92" i="1" s="1"/>
  <c r="CW92" i="1"/>
  <c r="V92" i="1" s="1"/>
  <c r="CY92" i="1"/>
  <c r="X92" i="1" s="1"/>
  <c r="CZ92" i="1"/>
  <c r="Y92" i="1" s="1"/>
  <c r="FR92" i="1"/>
  <c r="GL92" i="1"/>
  <c r="GO92" i="1"/>
  <c r="GP92" i="1"/>
  <c r="GV92" i="1"/>
  <c r="HC92" i="1"/>
  <c r="GX92" i="1" s="1"/>
  <c r="AC93" i="1"/>
  <c r="AE93" i="1"/>
  <c r="AF93" i="1"/>
  <c r="AG93" i="1"/>
  <c r="AH93" i="1"/>
  <c r="AI93" i="1"/>
  <c r="AJ93" i="1"/>
  <c r="CX93" i="1" s="1"/>
  <c r="W93" i="1" s="1"/>
  <c r="CQ93" i="1"/>
  <c r="P93" i="1" s="1"/>
  <c r="L116" i="9" s="1"/>
  <c r="CS93" i="1"/>
  <c r="R93" i="1" s="1"/>
  <c r="CT93" i="1"/>
  <c r="S93" i="1" s="1"/>
  <c r="CU93" i="1"/>
  <c r="T93" i="1" s="1"/>
  <c r="CV93" i="1"/>
  <c r="U93" i="1" s="1"/>
  <c r="CW93" i="1"/>
  <c r="V93" i="1" s="1"/>
  <c r="CY93" i="1"/>
  <c r="X93" i="1" s="1"/>
  <c r="CZ93" i="1"/>
  <c r="Y93" i="1" s="1"/>
  <c r="FR93" i="1"/>
  <c r="GL93" i="1"/>
  <c r="GN93" i="1"/>
  <c r="GP93" i="1"/>
  <c r="GV93" i="1"/>
  <c r="HC93" i="1" s="1"/>
  <c r="GX93" i="1" s="1"/>
  <c r="AC94" i="1"/>
  <c r="AE94" i="1"/>
  <c r="AF94" i="1"/>
  <c r="AG94" i="1"/>
  <c r="AH94" i="1"/>
  <c r="AI94" i="1"/>
  <c r="AJ94" i="1"/>
  <c r="CR94" i="1"/>
  <c r="Q94" i="1" s="1"/>
  <c r="CS94" i="1"/>
  <c r="R94" i="1" s="1"/>
  <c r="CT94" i="1"/>
  <c r="S94" i="1" s="1"/>
  <c r="CU94" i="1"/>
  <c r="T94" i="1" s="1"/>
  <c r="CV94" i="1"/>
  <c r="U94" i="1" s="1"/>
  <c r="CW94" i="1"/>
  <c r="V94" i="1" s="1"/>
  <c r="CX94" i="1"/>
  <c r="W94" i="1" s="1"/>
  <c r="CY94" i="1"/>
  <c r="X94" i="1" s="1"/>
  <c r="CZ94" i="1"/>
  <c r="Y94" i="1" s="1"/>
  <c r="FR94" i="1"/>
  <c r="GL94" i="1"/>
  <c r="GO94" i="1"/>
  <c r="GP94" i="1"/>
  <c r="GV94" i="1"/>
  <c r="HC94" i="1" s="1"/>
  <c r="GX94" i="1" s="1"/>
  <c r="AC95" i="1"/>
  <c r="AE95" i="1"/>
  <c r="AF95" i="1"/>
  <c r="AG95" i="1"/>
  <c r="AH95" i="1"/>
  <c r="AI95" i="1"/>
  <c r="AJ95" i="1"/>
  <c r="CS95" i="1"/>
  <c r="R95" i="1" s="1"/>
  <c r="CT95" i="1"/>
  <c r="S95" i="1" s="1"/>
  <c r="CU95" i="1"/>
  <c r="T95" i="1" s="1"/>
  <c r="CV95" i="1"/>
  <c r="U95" i="1" s="1"/>
  <c r="CW95" i="1"/>
  <c r="V95" i="1" s="1"/>
  <c r="CX95" i="1"/>
  <c r="W95" i="1" s="1"/>
  <c r="CY95" i="1"/>
  <c r="X95" i="1" s="1"/>
  <c r="CZ95" i="1"/>
  <c r="Y95" i="1" s="1"/>
  <c r="FR95" i="1"/>
  <c r="GL95" i="1"/>
  <c r="GN95" i="1"/>
  <c r="GP95" i="1"/>
  <c r="GV95" i="1"/>
  <c r="HC95" i="1"/>
  <c r="GX95" i="1" s="1"/>
  <c r="AC96" i="1"/>
  <c r="AE96" i="1"/>
  <c r="AF96" i="1"/>
  <c r="AG96" i="1"/>
  <c r="AH96" i="1"/>
  <c r="AI96" i="1"/>
  <c r="AJ96" i="1"/>
  <c r="CQ96" i="1"/>
  <c r="P96" i="1" s="1"/>
  <c r="CS96" i="1"/>
  <c r="R96" i="1" s="1"/>
  <c r="CT96" i="1"/>
  <c r="S96" i="1" s="1"/>
  <c r="CZ96" i="1" s="1"/>
  <c r="Y96" i="1" s="1"/>
  <c r="CU96" i="1"/>
  <c r="T96" i="1" s="1"/>
  <c r="CV96" i="1"/>
  <c r="U96" i="1" s="1"/>
  <c r="CW96" i="1"/>
  <c r="V96" i="1" s="1"/>
  <c r="CX96" i="1"/>
  <c r="W96" i="1" s="1"/>
  <c r="CY96" i="1"/>
  <c r="X96" i="1" s="1"/>
  <c r="FR96" i="1"/>
  <c r="GL96" i="1"/>
  <c r="GO96" i="1"/>
  <c r="GP96" i="1"/>
  <c r="GV96" i="1"/>
  <c r="HC96" i="1" s="1"/>
  <c r="GX96" i="1" s="1"/>
  <c r="C97" i="1"/>
  <c r="D97" i="1"/>
  <c r="AC97" i="1"/>
  <c r="AE97" i="1"/>
  <c r="AF97" i="1"/>
  <c r="AG97" i="1"/>
  <c r="AH97" i="1"/>
  <c r="AI97" i="1"/>
  <c r="AJ97" i="1"/>
  <c r="CX97" i="1" s="1"/>
  <c r="W97" i="1" s="1"/>
  <c r="CQ97" i="1"/>
  <c r="P97" i="1" s="1"/>
  <c r="L131" i="9" s="1"/>
  <c r="CS97" i="1"/>
  <c r="R97" i="1" s="1"/>
  <c r="CT97" i="1"/>
  <c r="S97" i="1" s="1"/>
  <c r="CU97" i="1"/>
  <c r="T97" i="1" s="1"/>
  <c r="CV97" i="1"/>
  <c r="U97" i="1" s="1"/>
  <c r="CW97" i="1"/>
  <c r="V97" i="1" s="1"/>
  <c r="CY97" i="1"/>
  <c r="X97" i="1" s="1"/>
  <c r="FR97" i="1"/>
  <c r="GL97" i="1"/>
  <c r="GO97" i="1"/>
  <c r="GP97" i="1"/>
  <c r="GV97" i="1"/>
  <c r="HC97" i="1"/>
  <c r="GX97" i="1" s="1"/>
  <c r="I98" i="1"/>
  <c r="AC98" i="1"/>
  <c r="AE98" i="1"/>
  <c r="AD98" i="1" s="1"/>
  <c r="AF98" i="1"/>
  <c r="AG98" i="1"/>
  <c r="AH98" i="1"/>
  <c r="AI98" i="1"/>
  <c r="AJ98" i="1"/>
  <c r="CX98" i="1" s="1"/>
  <c r="W98" i="1" s="1"/>
  <c r="CQ98" i="1"/>
  <c r="P98" i="1" s="1"/>
  <c r="CS98" i="1"/>
  <c r="CT98" i="1"/>
  <c r="CU98" i="1"/>
  <c r="CV98" i="1"/>
  <c r="CW98" i="1"/>
  <c r="FR98" i="1"/>
  <c r="GL98" i="1"/>
  <c r="GO98" i="1"/>
  <c r="GP98" i="1"/>
  <c r="GV98" i="1"/>
  <c r="HC98" i="1"/>
  <c r="GX98" i="1" s="1"/>
  <c r="I99" i="1"/>
  <c r="AC99" i="1"/>
  <c r="AE99" i="1"/>
  <c r="AD99" i="1" s="1"/>
  <c r="AF99" i="1"/>
  <c r="AG99" i="1"/>
  <c r="AH99" i="1"/>
  <c r="AI99" i="1"/>
  <c r="AJ99" i="1"/>
  <c r="CX99" i="1" s="1"/>
  <c r="W99" i="1" s="1"/>
  <c r="CQ99" i="1"/>
  <c r="P99" i="1" s="1"/>
  <c r="CS99" i="1"/>
  <c r="CT99" i="1"/>
  <c r="CU99" i="1"/>
  <c r="CV99" i="1"/>
  <c r="CW99" i="1"/>
  <c r="FR99" i="1"/>
  <c r="GL99" i="1"/>
  <c r="GO99" i="1"/>
  <c r="GP99" i="1"/>
  <c r="GV99" i="1"/>
  <c r="HC99" i="1"/>
  <c r="GX99" i="1" s="1"/>
  <c r="I100" i="1"/>
  <c r="AC100" i="1"/>
  <c r="AE100" i="1"/>
  <c r="AD100" i="1" s="1"/>
  <c r="AF100" i="1"/>
  <c r="AG100" i="1"/>
  <c r="AH100" i="1"/>
  <c r="AI100" i="1"/>
  <c r="AJ100" i="1"/>
  <c r="CQ100" i="1"/>
  <c r="P100" i="1" s="1"/>
  <c r="CS100" i="1"/>
  <c r="CT100" i="1"/>
  <c r="CU100" i="1"/>
  <c r="CV100" i="1"/>
  <c r="CW100" i="1"/>
  <c r="CX100" i="1"/>
  <c r="W100" i="1" s="1"/>
  <c r="FR100" i="1"/>
  <c r="GL100" i="1"/>
  <c r="GO100" i="1"/>
  <c r="GP100" i="1"/>
  <c r="GV100" i="1"/>
  <c r="HC100" i="1"/>
  <c r="GX100" i="1" s="1"/>
  <c r="I101" i="1"/>
  <c r="AC101" i="1"/>
  <c r="AE101" i="1"/>
  <c r="AD101" i="1" s="1"/>
  <c r="AF101" i="1"/>
  <c r="AG101" i="1"/>
  <c r="AH101" i="1"/>
  <c r="AI101" i="1"/>
  <c r="AJ101" i="1"/>
  <c r="CQ101" i="1"/>
  <c r="P101" i="1" s="1"/>
  <c r="CS101" i="1"/>
  <c r="CT101" i="1"/>
  <c r="CU101" i="1"/>
  <c r="CV101" i="1"/>
  <c r="CW101" i="1"/>
  <c r="CX101" i="1"/>
  <c r="W101" i="1" s="1"/>
  <c r="FR101" i="1"/>
  <c r="GL101" i="1"/>
  <c r="GO101" i="1"/>
  <c r="GP101" i="1"/>
  <c r="GV101" i="1"/>
  <c r="HC101" i="1"/>
  <c r="GX101" i="1" s="1"/>
  <c r="I102" i="1"/>
  <c r="AC102" i="1"/>
  <c r="AE102" i="1"/>
  <c r="AD102" i="1" s="1"/>
  <c r="AF102" i="1"/>
  <c r="AG102" i="1"/>
  <c r="AH102" i="1"/>
  <c r="AI102" i="1"/>
  <c r="AJ102" i="1"/>
  <c r="CQ102" i="1"/>
  <c r="P102" i="1" s="1"/>
  <c r="CS102" i="1"/>
  <c r="CT102" i="1"/>
  <c r="CU102" i="1"/>
  <c r="CV102" i="1"/>
  <c r="CW102" i="1"/>
  <c r="CX102" i="1"/>
  <c r="W102" i="1" s="1"/>
  <c r="FR102" i="1"/>
  <c r="GL102" i="1"/>
  <c r="GO102" i="1"/>
  <c r="GP102" i="1"/>
  <c r="GV102" i="1"/>
  <c r="HC102" i="1"/>
  <c r="GX102" i="1" s="1"/>
  <c r="AC103" i="1"/>
  <c r="AE103" i="1"/>
  <c r="AF103" i="1"/>
  <c r="AG103" i="1"/>
  <c r="AH103" i="1"/>
  <c r="AI103" i="1"/>
  <c r="AJ103" i="1"/>
  <c r="CQ103" i="1"/>
  <c r="P103" i="1" s="1"/>
  <c r="CR103" i="1"/>
  <c r="Q103" i="1" s="1"/>
  <c r="CS103" i="1"/>
  <c r="R103" i="1" s="1"/>
  <c r="CT103" i="1"/>
  <c r="S103" i="1" s="1"/>
  <c r="CU103" i="1"/>
  <c r="T103" i="1" s="1"/>
  <c r="CV103" i="1"/>
  <c r="U103" i="1" s="1"/>
  <c r="CW103" i="1"/>
  <c r="V103" i="1" s="1"/>
  <c r="CX103" i="1"/>
  <c r="W103" i="1" s="1"/>
  <c r="CY103" i="1"/>
  <c r="X103" i="1" s="1"/>
  <c r="CZ103" i="1"/>
  <c r="Y103" i="1" s="1"/>
  <c r="FR103" i="1"/>
  <c r="GL103" i="1"/>
  <c r="GO103" i="1"/>
  <c r="GP103" i="1"/>
  <c r="GV103" i="1"/>
  <c r="HC103" i="1" s="1"/>
  <c r="GX103" i="1" s="1"/>
  <c r="C104" i="1"/>
  <c r="D104" i="1"/>
  <c r="AC104" i="1"/>
  <c r="AE104" i="1"/>
  <c r="AF104" i="1"/>
  <c r="AG104" i="1"/>
  <c r="AH104" i="1"/>
  <c r="AI104" i="1"/>
  <c r="AJ104" i="1"/>
  <c r="CQ104" i="1"/>
  <c r="P104" i="1" s="1"/>
  <c r="CR104" i="1"/>
  <c r="Q104" i="1" s="1"/>
  <c r="CS104" i="1"/>
  <c r="R104" i="1" s="1"/>
  <c r="CT104" i="1"/>
  <c r="S104" i="1" s="1"/>
  <c r="CU104" i="1"/>
  <c r="T104" i="1" s="1"/>
  <c r="CV104" i="1"/>
  <c r="U104" i="1" s="1"/>
  <c r="CW104" i="1"/>
  <c r="V104" i="1" s="1"/>
  <c r="CX104" i="1"/>
  <c r="W104" i="1" s="1"/>
  <c r="CY104" i="1"/>
  <c r="X104" i="1" s="1"/>
  <c r="CZ104" i="1"/>
  <c r="Y104" i="1" s="1"/>
  <c r="FR104" i="1"/>
  <c r="GL104" i="1"/>
  <c r="GO104" i="1"/>
  <c r="GP104" i="1"/>
  <c r="GV104" i="1"/>
  <c r="HC104" i="1"/>
  <c r="GX104" i="1" s="1"/>
  <c r="I105" i="1"/>
  <c r="AC105" i="1"/>
  <c r="AE105" i="1"/>
  <c r="AD105" i="1" s="1"/>
  <c r="AF105" i="1"/>
  <c r="AG105" i="1"/>
  <c r="AH105" i="1"/>
  <c r="AI105" i="1"/>
  <c r="AJ105" i="1"/>
  <c r="CQ105" i="1"/>
  <c r="P105" i="1" s="1"/>
  <c r="CR105" i="1"/>
  <c r="CS105" i="1"/>
  <c r="CT105" i="1"/>
  <c r="CU105" i="1"/>
  <c r="CV105" i="1"/>
  <c r="CW105" i="1"/>
  <c r="CX105" i="1"/>
  <c r="FR105" i="1"/>
  <c r="GL105" i="1"/>
  <c r="GO105" i="1"/>
  <c r="GP105" i="1"/>
  <c r="GV105" i="1"/>
  <c r="HC105" i="1"/>
  <c r="I106" i="1"/>
  <c r="K106" i="1"/>
  <c r="AC106" i="1"/>
  <c r="H150" i="6" s="1"/>
  <c r="AE106" i="1"/>
  <c r="AF106" i="1"/>
  <c r="AG106" i="1"/>
  <c r="AH106" i="1"/>
  <c r="AI106" i="1"/>
  <c r="AJ106" i="1"/>
  <c r="CX106" i="1" s="1"/>
  <c r="W106" i="1" s="1"/>
  <c r="CQ106" i="1"/>
  <c r="CR106" i="1"/>
  <c r="CS106" i="1"/>
  <c r="CT106" i="1"/>
  <c r="CU106" i="1"/>
  <c r="CV106" i="1"/>
  <c r="CW106" i="1"/>
  <c r="CY106" i="1"/>
  <c r="X106" i="1" s="1"/>
  <c r="CZ106" i="1"/>
  <c r="Y106" i="1" s="1"/>
  <c r="FR106" i="1"/>
  <c r="GL106" i="1"/>
  <c r="GO106" i="1"/>
  <c r="GP106" i="1"/>
  <c r="GV106" i="1"/>
  <c r="HC106" i="1"/>
  <c r="GX106" i="1" s="1"/>
  <c r="C107" i="1"/>
  <c r="D107" i="1"/>
  <c r="AC107" i="1"/>
  <c r="AE107" i="1"/>
  <c r="AF107" i="1"/>
  <c r="AG107" i="1"/>
  <c r="AH107" i="1"/>
  <c r="AI107" i="1"/>
  <c r="CW107" i="1" s="1"/>
  <c r="V107" i="1" s="1"/>
  <c r="AJ107" i="1"/>
  <c r="CQ107" i="1"/>
  <c r="P107" i="1" s="1"/>
  <c r="CR107" i="1"/>
  <c r="Q107" i="1" s="1"/>
  <c r="CS107" i="1"/>
  <c r="R107" i="1" s="1"/>
  <c r="CT107" i="1"/>
  <c r="S107" i="1" s="1"/>
  <c r="CU107" i="1"/>
  <c r="T107" i="1" s="1"/>
  <c r="CV107" i="1"/>
  <c r="U107" i="1" s="1"/>
  <c r="CX107" i="1"/>
  <c r="W107" i="1" s="1"/>
  <c r="CY107" i="1"/>
  <c r="X107" i="1" s="1"/>
  <c r="CZ107" i="1"/>
  <c r="Y107" i="1" s="1"/>
  <c r="FR107" i="1"/>
  <c r="GL107" i="1"/>
  <c r="GO107" i="1"/>
  <c r="GP107" i="1"/>
  <c r="GV107" i="1"/>
  <c r="HC107" i="1" s="1"/>
  <c r="GX107" i="1" s="1"/>
  <c r="I108" i="1"/>
  <c r="AC108" i="1"/>
  <c r="AE108" i="1"/>
  <c r="AD108" i="1" s="1"/>
  <c r="AF108" i="1"/>
  <c r="AG108" i="1"/>
  <c r="AH108" i="1"/>
  <c r="AI108" i="1"/>
  <c r="CW108" i="1" s="1"/>
  <c r="V108" i="1" s="1"/>
  <c r="AJ108" i="1"/>
  <c r="CQ108" i="1"/>
  <c r="P108" i="1" s="1"/>
  <c r="CR108" i="1"/>
  <c r="CS108" i="1"/>
  <c r="CT108" i="1"/>
  <c r="CU108" i="1"/>
  <c r="CV108" i="1"/>
  <c r="U108" i="1" s="1"/>
  <c r="CX108" i="1"/>
  <c r="W108" i="1" s="1"/>
  <c r="FR108" i="1"/>
  <c r="GL108" i="1"/>
  <c r="GO108" i="1"/>
  <c r="GP108" i="1"/>
  <c r="GV108" i="1"/>
  <c r="HC108" i="1"/>
  <c r="GX108" i="1" s="1"/>
  <c r="AC109" i="1"/>
  <c r="H162" i="9" s="1"/>
  <c r="AE109" i="1"/>
  <c r="AD109" i="1" s="1"/>
  <c r="AF109" i="1"/>
  <c r="AG109" i="1"/>
  <c r="AH109" i="1"/>
  <c r="AI109" i="1"/>
  <c r="AJ109" i="1"/>
  <c r="CQ109" i="1"/>
  <c r="P109" i="1" s="1"/>
  <c r="GL109" i="1" s="1"/>
  <c r="CR109" i="1"/>
  <c r="Q109" i="1" s="1"/>
  <c r="CS109" i="1"/>
  <c r="R109" i="1" s="1"/>
  <c r="CT109" i="1"/>
  <c r="S109" i="1" s="1"/>
  <c r="CU109" i="1"/>
  <c r="T109" i="1" s="1"/>
  <c r="CV109" i="1"/>
  <c r="U109" i="1" s="1"/>
  <c r="CW109" i="1"/>
  <c r="V109" i="1" s="1"/>
  <c r="CX109" i="1"/>
  <c r="W109" i="1" s="1"/>
  <c r="CY109" i="1"/>
  <c r="X109" i="1" s="1"/>
  <c r="CZ109" i="1"/>
  <c r="Y109" i="1" s="1"/>
  <c r="GN109" i="1"/>
  <c r="GO109" i="1"/>
  <c r="GP109" i="1"/>
  <c r="GV109" i="1"/>
  <c r="HC109" i="1" s="1"/>
  <c r="GX109" i="1" s="1"/>
  <c r="C111" i="1"/>
  <c r="D111" i="1"/>
  <c r="I111" i="1"/>
  <c r="K111" i="1"/>
  <c r="AC111" i="1"/>
  <c r="AE111" i="1"/>
  <c r="AD111" i="1" s="1"/>
  <c r="AF111" i="1"/>
  <c r="AG111" i="1"/>
  <c r="AH111" i="1"/>
  <c r="CV111" i="1" s="1"/>
  <c r="U111" i="1" s="1"/>
  <c r="AI111" i="1"/>
  <c r="CW111" i="1" s="1"/>
  <c r="V111" i="1" s="1"/>
  <c r="AJ111" i="1"/>
  <c r="CQ111" i="1"/>
  <c r="P111" i="1" s="1"/>
  <c r="CR111" i="1"/>
  <c r="CS111" i="1"/>
  <c r="CT111" i="1"/>
  <c r="S111" i="1" s="1"/>
  <c r="CU111" i="1"/>
  <c r="T111" i="1" s="1"/>
  <c r="CX111" i="1"/>
  <c r="W111" i="1" s="1"/>
  <c r="FR111" i="1"/>
  <c r="GL111" i="1"/>
  <c r="GO111" i="1"/>
  <c r="GP111" i="1"/>
  <c r="GV111" i="1"/>
  <c r="HC111" i="1" s="1"/>
  <c r="GX111" i="1" s="1"/>
  <c r="C112" i="1"/>
  <c r="D112" i="1"/>
  <c r="I112" i="1"/>
  <c r="K112" i="1"/>
  <c r="AC112" i="1"/>
  <c r="AE112" i="1"/>
  <c r="AD112" i="1" s="1"/>
  <c r="AF112" i="1"/>
  <c r="AG112" i="1"/>
  <c r="AH112" i="1"/>
  <c r="AI112" i="1"/>
  <c r="AJ112" i="1"/>
  <c r="CQ112" i="1"/>
  <c r="P112" i="1" s="1"/>
  <c r="CU112" i="1"/>
  <c r="T112" i="1" s="1"/>
  <c r="CV112" i="1"/>
  <c r="U112" i="1" s="1"/>
  <c r="CW112" i="1"/>
  <c r="V112" i="1" s="1"/>
  <c r="CX112" i="1"/>
  <c r="W112" i="1" s="1"/>
  <c r="FR112" i="1"/>
  <c r="GL112" i="1"/>
  <c r="GO112" i="1"/>
  <c r="GP112" i="1"/>
  <c r="GV112" i="1"/>
  <c r="HC112" i="1"/>
  <c r="GX112" i="1" s="1"/>
  <c r="C113" i="1"/>
  <c r="D113" i="1"/>
  <c r="I113" i="1"/>
  <c r="K113" i="1"/>
  <c r="AC113" i="1"/>
  <c r="AE113" i="1"/>
  <c r="AF113" i="1"/>
  <c r="AG113" i="1"/>
  <c r="AH113" i="1"/>
  <c r="AI113" i="1"/>
  <c r="AJ113" i="1"/>
  <c r="CQ113" i="1"/>
  <c r="P113" i="1" s="1"/>
  <c r="CR113" i="1"/>
  <c r="CS113" i="1"/>
  <c r="CT113" i="1"/>
  <c r="CU113" i="1"/>
  <c r="CV113" i="1"/>
  <c r="CW113" i="1"/>
  <c r="CX113" i="1"/>
  <c r="W113" i="1" s="1"/>
  <c r="FR113" i="1"/>
  <c r="GL113" i="1"/>
  <c r="GN113" i="1"/>
  <c r="GP113" i="1"/>
  <c r="GV113" i="1"/>
  <c r="HC113" i="1" s="1"/>
  <c r="GX113" i="1" s="1"/>
  <c r="AC114" i="1"/>
  <c r="CQ114" i="1" s="1"/>
  <c r="P114" i="1" s="1"/>
  <c r="AE114" i="1"/>
  <c r="AF114" i="1"/>
  <c r="AG114" i="1"/>
  <c r="AH114" i="1"/>
  <c r="CV114" i="1" s="1"/>
  <c r="U114" i="1" s="1"/>
  <c r="AI114" i="1"/>
  <c r="AJ114" i="1"/>
  <c r="CR114" i="1"/>
  <c r="Q114" i="1" s="1"/>
  <c r="CS114" i="1"/>
  <c r="R114" i="1" s="1"/>
  <c r="CT114" i="1"/>
  <c r="S114" i="1" s="1"/>
  <c r="CU114" i="1"/>
  <c r="T114" i="1" s="1"/>
  <c r="CW114" i="1"/>
  <c r="V114" i="1" s="1"/>
  <c r="CX114" i="1"/>
  <c r="W114" i="1" s="1"/>
  <c r="CY114" i="1"/>
  <c r="X114" i="1" s="1"/>
  <c r="CZ114" i="1"/>
  <c r="Y114" i="1" s="1"/>
  <c r="FR114" i="1"/>
  <c r="GL114" i="1"/>
  <c r="GO114" i="1"/>
  <c r="GP114" i="1"/>
  <c r="GV114" i="1"/>
  <c r="HC114" i="1" s="1"/>
  <c r="GX114" i="1" s="1"/>
  <c r="C115" i="1"/>
  <c r="D115" i="1"/>
  <c r="AC115" i="1"/>
  <c r="AE115" i="1"/>
  <c r="AF115" i="1"/>
  <c r="AG115" i="1"/>
  <c r="AH115" i="1"/>
  <c r="AI115" i="1"/>
  <c r="AJ115" i="1"/>
  <c r="CQ115" i="1"/>
  <c r="P115" i="1" s="1"/>
  <c r="CR115" i="1"/>
  <c r="Q115" i="1" s="1"/>
  <c r="L193" i="9" s="1"/>
  <c r="CS115" i="1"/>
  <c r="R115" i="1" s="1"/>
  <c r="CT115" i="1"/>
  <c r="S115" i="1" s="1"/>
  <c r="CU115" i="1"/>
  <c r="T115" i="1" s="1"/>
  <c r="CV115" i="1"/>
  <c r="U115" i="1" s="1"/>
  <c r="CW115" i="1"/>
  <c r="V115" i="1" s="1"/>
  <c r="CX115" i="1"/>
  <c r="W115" i="1" s="1"/>
  <c r="CY115" i="1"/>
  <c r="X115" i="1" s="1"/>
  <c r="CZ115" i="1"/>
  <c r="Y115" i="1" s="1"/>
  <c r="FR115" i="1"/>
  <c r="GL115" i="1"/>
  <c r="GO115" i="1"/>
  <c r="GP115" i="1"/>
  <c r="GV115" i="1"/>
  <c r="HC115" i="1"/>
  <c r="GX115" i="1" s="1"/>
  <c r="I116" i="1"/>
  <c r="AC116" i="1"/>
  <c r="AE116" i="1"/>
  <c r="AD116" i="1" s="1"/>
  <c r="AF116" i="1"/>
  <c r="AG116" i="1"/>
  <c r="CU116" i="1" s="1"/>
  <c r="T116" i="1" s="1"/>
  <c r="AH116" i="1"/>
  <c r="AI116" i="1"/>
  <c r="AJ116" i="1"/>
  <c r="CQ116" i="1"/>
  <c r="P116" i="1" s="1"/>
  <c r="CR116" i="1"/>
  <c r="CS116" i="1"/>
  <c r="CT116" i="1"/>
  <c r="CV116" i="1"/>
  <c r="U116" i="1" s="1"/>
  <c r="CW116" i="1"/>
  <c r="CX116" i="1"/>
  <c r="FR116" i="1"/>
  <c r="GL116" i="1"/>
  <c r="GO116" i="1"/>
  <c r="GP116" i="1"/>
  <c r="GV116" i="1"/>
  <c r="HC116" i="1" s="1"/>
  <c r="GX116" i="1" s="1"/>
  <c r="I117" i="1"/>
  <c r="K117" i="1"/>
  <c r="AC117" i="1"/>
  <c r="AE117" i="1"/>
  <c r="AF117" i="1"/>
  <c r="AG117" i="1"/>
  <c r="CU117" i="1" s="1"/>
  <c r="T117" i="1" s="1"/>
  <c r="AH117" i="1"/>
  <c r="AI117" i="1"/>
  <c r="AJ117" i="1"/>
  <c r="CQ117" i="1"/>
  <c r="CR117" i="1"/>
  <c r="CS117" i="1"/>
  <c r="CT117" i="1"/>
  <c r="S117" i="1" s="1"/>
  <c r="CV117" i="1"/>
  <c r="U117" i="1" s="1"/>
  <c r="CW117" i="1"/>
  <c r="CX117" i="1"/>
  <c r="W117" i="1" s="1"/>
  <c r="CY117" i="1"/>
  <c r="X117" i="1" s="1"/>
  <c r="CZ117" i="1"/>
  <c r="Y117" i="1" s="1"/>
  <c r="FR117" i="1"/>
  <c r="GL117" i="1"/>
  <c r="GO117" i="1"/>
  <c r="GP117" i="1"/>
  <c r="GV117" i="1"/>
  <c r="HC117" i="1"/>
  <c r="GX117" i="1" s="1"/>
  <c r="C118" i="1"/>
  <c r="D118" i="1"/>
  <c r="AC118" i="1"/>
  <c r="AE118" i="1"/>
  <c r="AF118" i="1"/>
  <c r="CT118" i="1" s="1"/>
  <c r="S118" i="1" s="1"/>
  <c r="AG118" i="1"/>
  <c r="AH118" i="1"/>
  <c r="AI118" i="1"/>
  <c r="CW118" i="1" s="1"/>
  <c r="V118" i="1" s="1"/>
  <c r="AJ118" i="1"/>
  <c r="CQ118" i="1"/>
  <c r="P118" i="1" s="1"/>
  <c r="CU118" i="1"/>
  <c r="T118" i="1" s="1"/>
  <c r="CV118" i="1"/>
  <c r="U118" i="1" s="1"/>
  <c r="CX118" i="1"/>
  <c r="W118" i="1" s="1"/>
  <c r="FR118" i="1"/>
  <c r="GL118" i="1"/>
  <c r="GN118" i="1"/>
  <c r="GO118" i="1"/>
  <c r="GV118" i="1"/>
  <c r="HC118" i="1" s="1"/>
  <c r="GX118" i="1" s="1"/>
  <c r="C119" i="1"/>
  <c r="D119" i="1"/>
  <c r="I119" i="1"/>
  <c r="K119" i="1"/>
  <c r="AC119" i="1"/>
  <c r="CQ119" i="1" s="1"/>
  <c r="P119" i="1" s="1"/>
  <c r="AE119" i="1"/>
  <c r="AD119" i="1" s="1"/>
  <c r="AF119" i="1"/>
  <c r="CT119" i="1" s="1"/>
  <c r="S119" i="1" s="1"/>
  <c r="AG119" i="1"/>
  <c r="AH119" i="1"/>
  <c r="AI119" i="1"/>
  <c r="AJ119" i="1"/>
  <c r="CR119" i="1"/>
  <c r="Q119" i="1" s="1"/>
  <c r="CS119" i="1"/>
  <c r="R119" i="1" s="1"/>
  <c r="CU119" i="1"/>
  <c r="CV119" i="1"/>
  <c r="CW119" i="1"/>
  <c r="CX119" i="1"/>
  <c r="W119" i="1" s="1"/>
  <c r="FR119" i="1"/>
  <c r="GL119" i="1"/>
  <c r="GN119" i="1"/>
  <c r="GO119" i="1"/>
  <c r="GV119" i="1"/>
  <c r="HC119" i="1"/>
  <c r="GX119" i="1" s="1"/>
  <c r="B121" i="1"/>
  <c r="B72" i="1" s="1"/>
  <c r="C121" i="1"/>
  <c r="C72" i="1" s="1"/>
  <c r="D121" i="1"/>
  <c r="D72" i="1" s="1"/>
  <c r="F121" i="1"/>
  <c r="F72" i="1" s="1"/>
  <c r="G121" i="1"/>
  <c r="BX121" i="1"/>
  <c r="CK121" i="1"/>
  <c r="CL121" i="1"/>
  <c r="CM121" i="1"/>
  <c r="D160" i="1"/>
  <c r="E162" i="1"/>
  <c r="Z162" i="1"/>
  <c r="AA162" i="1"/>
  <c r="AM162" i="1"/>
  <c r="AN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W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EG162" i="1"/>
  <c r="EH162" i="1"/>
  <c r="EI162" i="1"/>
  <c r="EJ162" i="1"/>
  <c r="EK162" i="1"/>
  <c r="EL162" i="1"/>
  <c r="EM162" i="1"/>
  <c r="EN162" i="1"/>
  <c r="EO162" i="1"/>
  <c r="EP162" i="1"/>
  <c r="EQ162" i="1"/>
  <c r="ER162" i="1"/>
  <c r="ES162" i="1"/>
  <c r="ET162" i="1"/>
  <c r="EU162" i="1"/>
  <c r="EV162" i="1"/>
  <c r="EW162" i="1"/>
  <c r="EX162" i="1"/>
  <c r="EY162" i="1"/>
  <c r="EZ162" i="1"/>
  <c r="FA162" i="1"/>
  <c r="FB162" i="1"/>
  <c r="FC162" i="1"/>
  <c r="FD162" i="1"/>
  <c r="FE162" i="1"/>
  <c r="FF162" i="1"/>
  <c r="FG162" i="1"/>
  <c r="FH162" i="1"/>
  <c r="FI162" i="1"/>
  <c r="FJ162" i="1"/>
  <c r="FK162" i="1"/>
  <c r="FL162" i="1"/>
  <c r="FM162" i="1"/>
  <c r="FN162" i="1"/>
  <c r="FO162" i="1"/>
  <c r="FP162" i="1"/>
  <c r="FQ162" i="1"/>
  <c r="FR162" i="1"/>
  <c r="FS162" i="1"/>
  <c r="FT162" i="1"/>
  <c r="FU162" i="1"/>
  <c r="FV162" i="1"/>
  <c r="FW162" i="1"/>
  <c r="FX162" i="1"/>
  <c r="FY162" i="1"/>
  <c r="FZ162" i="1"/>
  <c r="GA162" i="1"/>
  <c r="GB162" i="1"/>
  <c r="GC162" i="1"/>
  <c r="GD162" i="1"/>
  <c r="GE162" i="1"/>
  <c r="GF162" i="1"/>
  <c r="GG162" i="1"/>
  <c r="GH162" i="1"/>
  <c r="GI162" i="1"/>
  <c r="GJ162" i="1"/>
  <c r="GK162" i="1"/>
  <c r="GL162" i="1"/>
  <c r="GM162" i="1"/>
  <c r="GN162" i="1"/>
  <c r="GO162" i="1"/>
  <c r="GP162" i="1"/>
  <c r="GQ162" i="1"/>
  <c r="GR162" i="1"/>
  <c r="GS162" i="1"/>
  <c r="GT162" i="1"/>
  <c r="GU162" i="1"/>
  <c r="GV162" i="1"/>
  <c r="GW162" i="1"/>
  <c r="GX162" i="1"/>
  <c r="C164" i="1"/>
  <c r="D164" i="1"/>
  <c r="I164" i="1"/>
  <c r="K164" i="1"/>
  <c r="AC164" i="1"/>
  <c r="AE164" i="1"/>
  <c r="CR164" i="1" s="1"/>
  <c r="Q164" i="1" s="1"/>
  <c r="AF164" i="1"/>
  <c r="AG164" i="1"/>
  <c r="AH164" i="1"/>
  <c r="AI164" i="1"/>
  <c r="AJ164" i="1"/>
  <c r="CU164" i="1"/>
  <c r="T164" i="1" s="1"/>
  <c r="CV164" i="1"/>
  <c r="U164" i="1" s="1"/>
  <c r="CW164" i="1"/>
  <c r="V164" i="1" s="1"/>
  <c r="CX164" i="1"/>
  <c r="W164" i="1" s="1"/>
  <c r="FR164" i="1"/>
  <c r="GL164" i="1"/>
  <c r="GN164" i="1"/>
  <c r="GP164" i="1"/>
  <c r="CD186" i="1" s="1"/>
  <c r="GV164" i="1"/>
  <c r="HC164" i="1"/>
  <c r="GX164" i="1" s="1"/>
  <c r="C165" i="1"/>
  <c r="D165" i="1"/>
  <c r="AC165" i="1"/>
  <c r="CQ165" i="1" s="1"/>
  <c r="P165" i="1" s="1"/>
  <c r="AE165" i="1"/>
  <c r="AF165" i="1"/>
  <c r="AG165" i="1"/>
  <c r="AH165" i="1"/>
  <c r="AI165" i="1"/>
  <c r="AJ165" i="1"/>
  <c r="CR165" i="1"/>
  <c r="Q165" i="1" s="1"/>
  <c r="CS165" i="1"/>
  <c r="R165" i="1" s="1"/>
  <c r="CU165" i="1"/>
  <c r="T165" i="1" s="1"/>
  <c r="CV165" i="1"/>
  <c r="U165" i="1" s="1"/>
  <c r="CW165" i="1"/>
  <c r="V165" i="1" s="1"/>
  <c r="CX165" i="1"/>
  <c r="W165" i="1" s="1"/>
  <c r="FR165" i="1"/>
  <c r="GL165" i="1"/>
  <c r="GO165" i="1"/>
  <c r="GP165" i="1"/>
  <c r="GV165" i="1"/>
  <c r="HC165" i="1" s="1"/>
  <c r="GX165" i="1" s="1"/>
  <c r="I166" i="1"/>
  <c r="AC166" i="1"/>
  <c r="CQ166" i="1" s="1"/>
  <c r="P166" i="1" s="1"/>
  <c r="AE166" i="1"/>
  <c r="AD166" i="1" s="1"/>
  <c r="AF166" i="1"/>
  <c r="AG166" i="1"/>
  <c r="AH166" i="1"/>
  <c r="AI166" i="1"/>
  <c r="AJ166" i="1"/>
  <c r="CS166" i="1"/>
  <c r="R166" i="1" s="1"/>
  <c r="CZ166" i="1" s="1"/>
  <c r="Y166" i="1" s="1"/>
  <c r="CT166" i="1"/>
  <c r="S166" i="1" s="1"/>
  <c r="CY166" i="1" s="1"/>
  <c r="X166" i="1" s="1"/>
  <c r="CU166" i="1"/>
  <c r="T166" i="1" s="1"/>
  <c r="CV166" i="1"/>
  <c r="CW166" i="1"/>
  <c r="CX166" i="1"/>
  <c r="FR166" i="1"/>
  <c r="GL166" i="1"/>
  <c r="GO166" i="1"/>
  <c r="GP166" i="1"/>
  <c r="GV166" i="1"/>
  <c r="HC166" i="1" s="1"/>
  <c r="GX166" i="1" s="1"/>
  <c r="I167" i="1"/>
  <c r="AC167" i="1"/>
  <c r="AE167" i="1"/>
  <c r="AD167" i="1" s="1"/>
  <c r="AF167" i="1"/>
  <c r="AG167" i="1"/>
  <c r="AH167" i="1"/>
  <c r="AI167" i="1"/>
  <c r="AJ167" i="1"/>
  <c r="CQ167" i="1"/>
  <c r="P167" i="1" s="1"/>
  <c r="CS167" i="1"/>
  <c r="R167" i="1" s="1"/>
  <c r="CT167" i="1"/>
  <c r="S167" i="1" s="1"/>
  <c r="CY167" i="1" s="1"/>
  <c r="X167" i="1" s="1"/>
  <c r="CU167" i="1"/>
  <c r="T167" i="1" s="1"/>
  <c r="CV167" i="1"/>
  <c r="CW167" i="1"/>
  <c r="CX167" i="1"/>
  <c r="FR167" i="1"/>
  <c r="GL167" i="1"/>
  <c r="GO167" i="1"/>
  <c r="GP167" i="1"/>
  <c r="GV167" i="1"/>
  <c r="HC167" i="1" s="1"/>
  <c r="GX167" i="1" s="1"/>
  <c r="I168" i="1"/>
  <c r="AC168" i="1"/>
  <c r="AE168" i="1"/>
  <c r="AD168" i="1" s="1"/>
  <c r="AF168" i="1"/>
  <c r="AG168" i="1"/>
  <c r="CU168" i="1" s="1"/>
  <c r="T168" i="1" s="1"/>
  <c r="AH168" i="1"/>
  <c r="AI168" i="1"/>
  <c r="AJ168" i="1"/>
  <c r="CQ168" i="1"/>
  <c r="P168" i="1" s="1"/>
  <c r="CR168" i="1"/>
  <c r="CS168" i="1"/>
  <c r="CT168" i="1"/>
  <c r="CV168" i="1"/>
  <c r="CW168" i="1"/>
  <c r="CX168" i="1"/>
  <c r="FR168" i="1"/>
  <c r="GL168" i="1"/>
  <c r="GO168" i="1"/>
  <c r="GP168" i="1"/>
  <c r="GV168" i="1"/>
  <c r="HC168" i="1" s="1"/>
  <c r="GX168" i="1" s="1"/>
  <c r="I169" i="1"/>
  <c r="AC169" i="1"/>
  <c r="AE169" i="1"/>
  <c r="AD169" i="1" s="1"/>
  <c r="AF169" i="1"/>
  <c r="AG169" i="1"/>
  <c r="CU169" i="1" s="1"/>
  <c r="T169" i="1" s="1"/>
  <c r="AH169" i="1"/>
  <c r="AI169" i="1"/>
  <c r="AJ169" i="1"/>
  <c r="CQ169" i="1"/>
  <c r="P169" i="1" s="1"/>
  <c r="CR169" i="1"/>
  <c r="CS169" i="1"/>
  <c r="CT169" i="1"/>
  <c r="CV169" i="1"/>
  <c r="CW169" i="1"/>
  <c r="CX169" i="1"/>
  <c r="FR169" i="1"/>
  <c r="GL169" i="1"/>
  <c r="GO169" i="1"/>
  <c r="GP169" i="1"/>
  <c r="GV169" i="1"/>
  <c r="HC169" i="1" s="1"/>
  <c r="I170" i="1"/>
  <c r="AC170" i="1"/>
  <c r="CQ170" i="1" s="1"/>
  <c r="P170" i="1" s="1"/>
  <c r="AE170" i="1"/>
  <c r="AD170" i="1" s="1"/>
  <c r="AF170" i="1"/>
  <c r="AG170" i="1"/>
  <c r="AH170" i="1"/>
  <c r="AI170" i="1"/>
  <c r="AJ170" i="1"/>
  <c r="CR170" i="1"/>
  <c r="Q170" i="1" s="1"/>
  <c r="CS170" i="1"/>
  <c r="CT170" i="1"/>
  <c r="CU170" i="1"/>
  <c r="CV170" i="1"/>
  <c r="CW170" i="1"/>
  <c r="CX170" i="1"/>
  <c r="FR170" i="1"/>
  <c r="GL170" i="1"/>
  <c r="GO170" i="1"/>
  <c r="GP170" i="1"/>
  <c r="GV170" i="1"/>
  <c r="HC170" i="1" s="1"/>
  <c r="I171" i="1"/>
  <c r="AC171" i="1"/>
  <c r="CQ171" i="1" s="1"/>
  <c r="P171" i="1" s="1"/>
  <c r="AE171" i="1"/>
  <c r="AD171" i="1" s="1"/>
  <c r="AF171" i="1"/>
  <c r="AG171" i="1"/>
  <c r="AH171" i="1"/>
  <c r="AI171" i="1"/>
  <c r="AJ171" i="1"/>
  <c r="CT171" i="1"/>
  <c r="S171" i="1" s="1"/>
  <c r="CU171" i="1"/>
  <c r="CV171" i="1"/>
  <c r="CW171" i="1"/>
  <c r="CX171" i="1"/>
  <c r="FR171" i="1"/>
  <c r="GL171" i="1"/>
  <c r="GO171" i="1"/>
  <c r="GP171" i="1"/>
  <c r="GV171" i="1"/>
  <c r="HC171" i="1" s="1"/>
  <c r="GX171" i="1" s="1"/>
  <c r="AC172" i="1"/>
  <c r="AE172" i="1"/>
  <c r="AF172" i="1"/>
  <c r="CT172" i="1" s="1"/>
  <c r="S172" i="1" s="1"/>
  <c r="AG172" i="1"/>
  <c r="CU172" i="1" s="1"/>
  <c r="T172" i="1" s="1"/>
  <c r="AH172" i="1"/>
  <c r="AI172" i="1"/>
  <c r="AJ172" i="1"/>
  <c r="CR172" i="1"/>
  <c r="Q172" i="1" s="1"/>
  <c r="CS172" i="1"/>
  <c r="R172" i="1" s="1"/>
  <c r="CV172" i="1"/>
  <c r="U172" i="1" s="1"/>
  <c r="CW172" i="1"/>
  <c r="V172" i="1" s="1"/>
  <c r="CX172" i="1"/>
  <c r="W172" i="1" s="1"/>
  <c r="CY172" i="1"/>
  <c r="X172" i="1" s="1"/>
  <c r="CZ172" i="1"/>
  <c r="Y172" i="1" s="1"/>
  <c r="FR172" i="1"/>
  <c r="GL172" i="1"/>
  <c r="GO172" i="1"/>
  <c r="GP172" i="1"/>
  <c r="GV172" i="1"/>
  <c r="HC172" i="1" s="1"/>
  <c r="GX172" i="1" s="1"/>
  <c r="AC173" i="1"/>
  <c r="AE173" i="1"/>
  <c r="AF173" i="1"/>
  <c r="AG173" i="1"/>
  <c r="CU173" i="1" s="1"/>
  <c r="T173" i="1" s="1"/>
  <c r="AH173" i="1"/>
  <c r="AI173" i="1"/>
  <c r="CW173" i="1" s="1"/>
  <c r="V173" i="1" s="1"/>
  <c r="AJ173" i="1"/>
  <c r="CS173" i="1"/>
  <c r="R173" i="1" s="1"/>
  <c r="CV173" i="1"/>
  <c r="U173" i="1" s="1"/>
  <c r="CX173" i="1"/>
  <c r="W173" i="1" s="1"/>
  <c r="CY173" i="1"/>
  <c r="X173" i="1" s="1"/>
  <c r="CZ173" i="1"/>
  <c r="Y173" i="1" s="1"/>
  <c r="FR173" i="1"/>
  <c r="GL173" i="1"/>
  <c r="GO173" i="1"/>
  <c r="GP173" i="1"/>
  <c r="GV173" i="1"/>
  <c r="HC173" i="1" s="1"/>
  <c r="GX173" i="1" s="1"/>
  <c r="AC174" i="1"/>
  <c r="AE174" i="1"/>
  <c r="AF174" i="1"/>
  <c r="AG174" i="1"/>
  <c r="AH174" i="1"/>
  <c r="AI174" i="1"/>
  <c r="AJ174" i="1"/>
  <c r="CX174" i="1" s="1"/>
  <c r="W174" i="1" s="1"/>
  <c r="CR174" i="1"/>
  <c r="Q174" i="1" s="1"/>
  <c r="CS174" i="1"/>
  <c r="R174" i="1" s="1"/>
  <c r="CU174" i="1"/>
  <c r="T174" i="1" s="1"/>
  <c r="CV174" i="1"/>
  <c r="U174" i="1" s="1"/>
  <c r="CW174" i="1"/>
  <c r="V174" i="1" s="1"/>
  <c r="CY174" i="1"/>
  <c r="X174" i="1" s="1"/>
  <c r="CZ174" i="1"/>
  <c r="Y174" i="1" s="1"/>
  <c r="V258" i="9" s="1"/>
  <c r="FR174" i="1"/>
  <c r="GL174" i="1"/>
  <c r="GO174" i="1"/>
  <c r="GP174" i="1"/>
  <c r="GV174" i="1"/>
  <c r="HC174" i="1" s="1"/>
  <c r="GX174" i="1" s="1"/>
  <c r="AC175" i="1"/>
  <c r="AE175" i="1"/>
  <c r="AF175" i="1"/>
  <c r="AG175" i="1"/>
  <c r="CU175" i="1" s="1"/>
  <c r="T175" i="1" s="1"/>
  <c r="AH175" i="1"/>
  <c r="CV175" i="1" s="1"/>
  <c r="U175" i="1" s="1"/>
  <c r="AI175" i="1"/>
  <c r="AJ175" i="1"/>
  <c r="CQ175" i="1"/>
  <c r="P175" i="1" s="1"/>
  <c r="CS175" i="1"/>
  <c r="R175" i="1" s="1"/>
  <c r="CT175" i="1"/>
  <c r="S175" i="1" s="1"/>
  <c r="CW175" i="1"/>
  <c r="V175" i="1" s="1"/>
  <c r="CX175" i="1"/>
  <c r="W175" i="1" s="1"/>
  <c r="CY175" i="1"/>
  <c r="X175" i="1" s="1"/>
  <c r="CZ175" i="1"/>
  <c r="Y175" i="1" s="1"/>
  <c r="FR175" i="1"/>
  <c r="GL175" i="1"/>
  <c r="GO175" i="1"/>
  <c r="GP175" i="1"/>
  <c r="GV175" i="1"/>
  <c r="HC175" i="1" s="1"/>
  <c r="GX175" i="1" s="1"/>
  <c r="AC176" i="1"/>
  <c r="AE176" i="1"/>
  <c r="AF176" i="1"/>
  <c r="AG176" i="1"/>
  <c r="AH176" i="1"/>
  <c r="AI176" i="1"/>
  <c r="CW176" i="1" s="1"/>
  <c r="V176" i="1" s="1"/>
  <c r="AJ176" i="1"/>
  <c r="CX176" i="1" s="1"/>
  <c r="W176" i="1" s="1"/>
  <c r="CQ176" i="1"/>
  <c r="P176" i="1" s="1"/>
  <c r="L265" i="9" s="1"/>
  <c r="CR176" i="1"/>
  <c r="Q176" i="1" s="1"/>
  <c r="CS176" i="1"/>
  <c r="R176" i="1" s="1"/>
  <c r="CT176" i="1"/>
  <c r="S176" i="1" s="1"/>
  <c r="CU176" i="1"/>
  <c r="T176" i="1" s="1"/>
  <c r="CV176" i="1"/>
  <c r="U176" i="1" s="1"/>
  <c r="CY176" i="1"/>
  <c r="X176" i="1" s="1"/>
  <c r="CZ176" i="1"/>
  <c r="Y176" i="1" s="1"/>
  <c r="FR176" i="1"/>
  <c r="GL176" i="1"/>
  <c r="GO176" i="1"/>
  <c r="GP176" i="1"/>
  <c r="GV176" i="1"/>
  <c r="HC176" i="1"/>
  <c r="GX176" i="1" s="1"/>
  <c r="AC177" i="1"/>
  <c r="AE177" i="1"/>
  <c r="AF177" i="1"/>
  <c r="AG177" i="1"/>
  <c r="AH177" i="1"/>
  <c r="AI177" i="1"/>
  <c r="AJ177" i="1"/>
  <c r="CQ177" i="1"/>
  <c r="P177" i="1" s="1"/>
  <c r="CR177" i="1"/>
  <c r="Q177" i="1" s="1"/>
  <c r="CS177" i="1"/>
  <c r="R177" i="1" s="1"/>
  <c r="CT177" i="1"/>
  <c r="S177" i="1" s="1"/>
  <c r="CU177" i="1"/>
  <c r="T177" i="1" s="1"/>
  <c r="CV177" i="1"/>
  <c r="U177" i="1" s="1"/>
  <c r="CW177" i="1"/>
  <c r="V177" i="1" s="1"/>
  <c r="CX177" i="1"/>
  <c r="W177" i="1" s="1"/>
  <c r="CY177" i="1"/>
  <c r="X177" i="1" s="1"/>
  <c r="CZ177" i="1"/>
  <c r="Y177" i="1" s="1"/>
  <c r="FR177" i="1"/>
  <c r="GL177" i="1"/>
  <c r="GO177" i="1"/>
  <c r="GP177" i="1"/>
  <c r="GV177" i="1"/>
  <c r="HC177" i="1"/>
  <c r="GX177" i="1" s="1"/>
  <c r="I178" i="1"/>
  <c r="K178" i="1"/>
  <c r="AC178" i="1"/>
  <c r="AE178" i="1"/>
  <c r="AF178" i="1"/>
  <c r="AG178" i="1"/>
  <c r="AH178" i="1"/>
  <c r="AI178" i="1"/>
  <c r="CW178" i="1" s="1"/>
  <c r="V178" i="1" s="1"/>
  <c r="AJ178" i="1"/>
  <c r="CQ178" i="1"/>
  <c r="CR178" i="1"/>
  <c r="CS178" i="1"/>
  <c r="CT178" i="1"/>
  <c r="CU178" i="1"/>
  <c r="CV178" i="1"/>
  <c r="CX178" i="1"/>
  <c r="W178" i="1" s="1"/>
  <c r="CY178" i="1"/>
  <c r="X178" i="1" s="1"/>
  <c r="CZ178" i="1"/>
  <c r="Y178" i="1" s="1"/>
  <c r="FR178" i="1"/>
  <c r="GL178" i="1"/>
  <c r="GN178" i="1"/>
  <c r="GP178" i="1"/>
  <c r="GV178" i="1"/>
  <c r="HC178" i="1"/>
  <c r="GX178" i="1" s="1"/>
  <c r="AC179" i="1"/>
  <c r="AE179" i="1"/>
  <c r="AF179" i="1"/>
  <c r="AG179" i="1"/>
  <c r="AH179" i="1"/>
  <c r="AI179" i="1"/>
  <c r="AJ179" i="1"/>
  <c r="CQ179" i="1"/>
  <c r="P179" i="1" s="1"/>
  <c r="CR179" i="1"/>
  <c r="Q179" i="1" s="1"/>
  <c r="CS179" i="1"/>
  <c r="R179" i="1" s="1"/>
  <c r="CT179" i="1"/>
  <c r="S179" i="1" s="1"/>
  <c r="CU179" i="1"/>
  <c r="T179" i="1" s="1"/>
  <c r="CV179" i="1"/>
  <c r="U179" i="1" s="1"/>
  <c r="CW179" i="1"/>
  <c r="V179" i="1" s="1"/>
  <c r="CX179" i="1"/>
  <c r="W179" i="1" s="1"/>
  <c r="CY179" i="1"/>
  <c r="X179" i="1" s="1"/>
  <c r="CZ179" i="1"/>
  <c r="Y179" i="1" s="1"/>
  <c r="FR179" i="1"/>
  <c r="GL179" i="1"/>
  <c r="GO179" i="1"/>
  <c r="GP179" i="1"/>
  <c r="GV179" i="1"/>
  <c r="HC179" i="1"/>
  <c r="GX179" i="1" s="1"/>
  <c r="I180" i="1"/>
  <c r="K180" i="1"/>
  <c r="AC180" i="1"/>
  <c r="AE180" i="1"/>
  <c r="AF180" i="1"/>
  <c r="AG180" i="1"/>
  <c r="AH180" i="1"/>
  <c r="AI180" i="1"/>
  <c r="AJ180" i="1"/>
  <c r="CQ180" i="1"/>
  <c r="CR180" i="1"/>
  <c r="CS180" i="1"/>
  <c r="CT180" i="1"/>
  <c r="CU180" i="1"/>
  <c r="CV180" i="1"/>
  <c r="CW180" i="1"/>
  <c r="CX180" i="1"/>
  <c r="W180" i="1" s="1"/>
  <c r="CY180" i="1"/>
  <c r="X180" i="1" s="1"/>
  <c r="CZ180" i="1"/>
  <c r="Y180" i="1" s="1"/>
  <c r="FR180" i="1"/>
  <c r="GL180" i="1"/>
  <c r="GO180" i="1"/>
  <c r="GP180" i="1"/>
  <c r="GV180" i="1"/>
  <c r="HC180" i="1"/>
  <c r="GX180" i="1" s="1"/>
  <c r="C181" i="1"/>
  <c r="D181" i="1"/>
  <c r="AC181" i="1"/>
  <c r="AE181" i="1"/>
  <c r="AF181" i="1"/>
  <c r="AG181" i="1"/>
  <c r="AH181" i="1"/>
  <c r="AI181" i="1"/>
  <c r="AJ181" i="1"/>
  <c r="CQ181" i="1"/>
  <c r="P181" i="1" s="1"/>
  <c r="CR181" i="1"/>
  <c r="Q181" i="1" s="1"/>
  <c r="CS181" i="1"/>
  <c r="R181" i="1" s="1"/>
  <c r="CT181" i="1"/>
  <c r="S181" i="1" s="1"/>
  <c r="CU181" i="1"/>
  <c r="T181" i="1" s="1"/>
  <c r="CV181" i="1"/>
  <c r="U181" i="1" s="1"/>
  <c r="CW181" i="1"/>
  <c r="V181" i="1" s="1"/>
  <c r="CX181" i="1"/>
  <c r="W181" i="1" s="1"/>
  <c r="CY181" i="1"/>
  <c r="X181" i="1" s="1"/>
  <c r="CZ181" i="1"/>
  <c r="Y181" i="1" s="1"/>
  <c r="FR181" i="1"/>
  <c r="GL181" i="1"/>
  <c r="GO181" i="1"/>
  <c r="GP181" i="1"/>
  <c r="GV181" i="1"/>
  <c r="HC181" i="1" s="1"/>
  <c r="GX181" i="1" s="1"/>
  <c r="I182" i="1"/>
  <c r="AC182" i="1"/>
  <c r="AE182" i="1"/>
  <c r="AD182" i="1" s="1"/>
  <c r="AF182" i="1"/>
  <c r="AG182" i="1"/>
  <c r="AH182" i="1"/>
  <c r="AI182" i="1"/>
  <c r="CW182" i="1" s="1"/>
  <c r="V182" i="1" s="1"/>
  <c r="AJ182" i="1"/>
  <c r="CQ182" i="1"/>
  <c r="P182" i="1" s="1"/>
  <c r="CR182" i="1"/>
  <c r="CS182" i="1"/>
  <c r="CT182" i="1"/>
  <c r="CU182" i="1"/>
  <c r="T182" i="1" s="1"/>
  <c r="CV182" i="1"/>
  <c r="U182" i="1" s="1"/>
  <c r="CX182" i="1"/>
  <c r="W182" i="1" s="1"/>
  <c r="FR182" i="1"/>
  <c r="GL182" i="1"/>
  <c r="GO182" i="1"/>
  <c r="GP182" i="1"/>
  <c r="GV182" i="1"/>
  <c r="HC182" i="1"/>
  <c r="GX182" i="1" s="1"/>
  <c r="AC183" i="1"/>
  <c r="AE183" i="1"/>
  <c r="AF183" i="1"/>
  <c r="AG183" i="1"/>
  <c r="AH183" i="1"/>
  <c r="AI183" i="1"/>
  <c r="AJ183" i="1"/>
  <c r="CQ183" i="1"/>
  <c r="P183" i="1" s="1"/>
  <c r="CR183" i="1"/>
  <c r="Q183" i="1" s="1"/>
  <c r="CS183" i="1"/>
  <c r="R183" i="1" s="1"/>
  <c r="CT183" i="1"/>
  <c r="S183" i="1" s="1"/>
  <c r="CU183" i="1"/>
  <c r="T183" i="1" s="1"/>
  <c r="CV183" i="1"/>
  <c r="U183" i="1" s="1"/>
  <c r="CW183" i="1"/>
  <c r="V183" i="1" s="1"/>
  <c r="CX183" i="1"/>
  <c r="W183" i="1" s="1"/>
  <c r="CY183" i="1"/>
  <c r="X183" i="1" s="1"/>
  <c r="CZ183" i="1"/>
  <c r="Y183" i="1" s="1"/>
  <c r="FR183" i="1"/>
  <c r="GL183" i="1"/>
  <c r="GO183" i="1"/>
  <c r="GP183" i="1"/>
  <c r="GV183" i="1"/>
  <c r="HC183" i="1"/>
  <c r="GX183" i="1" s="1"/>
  <c r="C184" i="1"/>
  <c r="D184" i="1"/>
  <c r="I184" i="1"/>
  <c r="K184" i="1"/>
  <c r="AC184" i="1"/>
  <c r="AE184" i="1"/>
  <c r="AF184" i="1"/>
  <c r="AG184" i="1"/>
  <c r="CU184" i="1" s="1"/>
  <c r="T184" i="1" s="1"/>
  <c r="AH184" i="1"/>
  <c r="CV184" i="1" s="1"/>
  <c r="U184" i="1" s="1"/>
  <c r="AI184" i="1"/>
  <c r="AJ184" i="1"/>
  <c r="CQ184" i="1"/>
  <c r="P184" i="1" s="1"/>
  <c r="CT184" i="1"/>
  <c r="S184" i="1" s="1"/>
  <c r="CW184" i="1"/>
  <c r="V184" i="1" s="1"/>
  <c r="CX184" i="1"/>
  <c r="W184" i="1" s="1"/>
  <c r="FR184" i="1"/>
  <c r="GL184" i="1"/>
  <c r="GN184" i="1"/>
  <c r="GP184" i="1"/>
  <c r="GV184" i="1"/>
  <c r="HC184" i="1" s="1"/>
  <c r="GX184" i="1" s="1"/>
  <c r="B186" i="1"/>
  <c r="B162" i="1" s="1"/>
  <c r="C186" i="1"/>
  <c r="C162" i="1" s="1"/>
  <c r="D186" i="1"/>
  <c r="D162" i="1" s="1"/>
  <c r="F186" i="1"/>
  <c r="F162" i="1" s="1"/>
  <c r="G186" i="1"/>
  <c r="BX186" i="1"/>
  <c r="CK186" i="1"/>
  <c r="CL186" i="1"/>
  <c r="CM186" i="1"/>
  <c r="D225" i="1"/>
  <c r="E227" i="1"/>
  <c r="Z227" i="1"/>
  <c r="AA227" i="1"/>
  <c r="AM227" i="1"/>
  <c r="AN227" i="1"/>
  <c r="BE227" i="1"/>
  <c r="BF227" i="1"/>
  <c r="BG227" i="1"/>
  <c r="BH227" i="1"/>
  <c r="BI227" i="1"/>
  <c r="BJ227" i="1"/>
  <c r="BK227" i="1"/>
  <c r="BL227" i="1"/>
  <c r="BM227" i="1"/>
  <c r="BN227" i="1"/>
  <c r="BO227" i="1"/>
  <c r="BP227" i="1"/>
  <c r="BQ227" i="1"/>
  <c r="BR227" i="1"/>
  <c r="BS227" i="1"/>
  <c r="BT227" i="1"/>
  <c r="BU227" i="1"/>
  <c r="BV227" i="1"/>
  <c r="BW227" i="1"/>
  <c r="CN227" i="1"/>
  <c r="CO227" i="1"/>
  <c r="CP227" i="1"/>
  <c r="CQ227" i="1"/>
  <c r="CR227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DG227" i="1"/>
  <c r="DH227" i="1"/>
  <c r="DI227" i="1"/>
  <c r="DJ227" i="1"/>
  <c r="DK227" i="1"/>
  <c r="DL227" i="1"/>
  <c r="DM227" i="1"/>
  <c r="DN227" i="1"/>
  <c r="DO227" i="1"/>
  <c r="DP227" i="1"/>
  <c r="DQ227" i="1"/>
  <c r="DR227" i="1"/>
  <c r="DS227" i="1"/>
  <c r="DT227" i="1"/>
  <c r="DU227" i="1"/>
  <c r="DV227" i="1"/>
  <c r="DW227" i="1"/>
  <c r="DX227" i="1"/>
  <c r="DY227" i="1"/>
  <c r="DZ227" i="1"/>
  <c r="EA227" i="1"/>
  <c r="EB227" i="1"/>
  <c r="EC227" i="1"/>
  <c r="ED227" i="1"/>
  <c r="EE227" i="1"/>
  <c r="EF227" i="1"/>
  <c r="EG227" i="1"/>
  <c r="EH227" i="1"/>
  <c r="EI227" i="1"/>
  <c r="EJ227" i="1"/>
  <c r="EK227" i="1"/>
  <c r="EL227" i="1"/>
  <c r="EM227" i="1"/>
  <c r="EN227" i="1"/>
  <c r="EO227" i="1"/>
  <c r="EP227" i="1"/>
  <c r="EQ227" i="1"/>
  <c r="ER227" i="1"/>
  <c r="ES227" i="1"/>
  <c r="ET227" i="1"/>
  <c r="EU227" i="1"/>
  <c r="EV227" i="1"/>
  <c r="EW227" i="1"/>
  <c r="EX227" i="1"/>
  <c r="EY227" i="1"/>
  <c r="EZ227" i="1"/>
  <c r="FA227" i="1"/>
  <c r="FB227" i="1"/>
  <c r="FC227" i="1"/>
  <c r="FD227" i="1"/>
  <c r="FE227" i="1"/>
  <c r="FF227" i="1"/>
  <c r="FG227" i="1"/>
  <c r="FH227" i="1"/>
  <c r="FI227" i="1"/>
  <c r="FJ227" i="1"/>
  <c r="FK227" i="1"/>
  <c r="FL227" i="1"/>
  <c r="FM227" i="1"/>
  <c r="FN227" i="1"/>
  <c r="FO227" i="1"/>
  <c r="FP227" i="1"/>
  <c r="FQ227" i="1"/>
  <c r="FR227" i="1"/>
  <c r="FS227" i="1"/>
  <c r="FT227" i="1"/>
  <c r="FU227" i="1"/>
  <c r="FV227" i="1"/>
  <c r="FW227" i="1"/>
  <c r="FX227" i="1"/>
  <c r="FY227" i="1"/>
  <c r="FZ227" i="1"/>
  <c r="GA227" i="1"/>
  <c r="GB227" i="1"/>
  <c r="GC227" i="1"/>
  <c r="GD227" i="1"/>
  <c r="GE227" i="1"/>
  <c r="GF227" i="1"/>
  <c r="GG227" i="1"/>
  <c r="GH227" i="1"/>
  <c r="GI227" i="1"/>
  <c r="GJ227" i="1"/>
  <c r="GK227" i="1"/>
  <c r="GL227" i="1"/>
  <c r="GM227" i="1"/>
  <c r="GN227" i="1"/>
  <c r="GO227" i="1"/>
  <c r="GP227" i="1"/>
  <c r="GQ227" i="1"/>
  <c r="GR227" i="1"/>
  <c r="GS227" i="1"/>
  <c r="GT227" i="1"/>
  <c r="GU227" i="1"/>
  <c r="GV227" i="1"/>
  <c r="GW227" i="1"/>
  <c r="GX227" i="1"/>
  <c r="C229" i="1"/>
  <c r="D229" i="1"/>
  <c r="I229" i="1"/>
  <c r="K229" i="1"/>
  <c r="AC229" i="1"/>
  <c r="AE229" i="1"/>
  <c r="CR229" i="1" s="1"/>
  <c r="Q229" i="1" s="1"/>
  <c r="AF229" i="1"/>
  <c r="CT229" i="1" s="1"/>
  <c r="S229" i="1" s="1"/>
  <c r="AG229" i="1"/>
  <c r="AH229" i="1"/>
  <c r="AI229" i="1"/>
  <c r="AJ229" i="1"/>
  <c r="CQ229" i="1"/>
  <c r="P229" i="1" s="1"/>
  <c r="CU229" i="1"/>
  <c r="T229" i="1" s="1"/>
  <c r="CV229" i="1"/>
  <c r="CW229" i="1"/>
  <c r="CX229" i="1"/>
  <c r="FR229" i="1"/>
  <c r="BY235" i="1" s="1"/>
  <c r="CI235" i="1" s="1"/>
  <c r="GL229" i="1"/>
  <c r="BZ235" i="1" s="1"/>
  <c r="CG235" i="1" s="1"/>
  <c r="GO229" i="1"/>
  <c r="GP229" i="1"/>
  <c r="GV229" i="1"/>
  <c r="HC229" i="1"/>
  <c r="I230" i="1"/>
  <c r="AC230" i="1"/>
  <c r="AE230" i="1"/>
  <c r="AD230" i="1" s="1"/>
  <c r="AF230" i="1"/>
  <c r="AG230" i="1"/>
  <c r="AH230" i="1"/>
  <c r="AI230" i="1"/>
  <c r="AJ230" i="1"/>
  <c r="CQ230" i="1"/>
  <c r="P230" i="1" s="1"/>
  <c r="CT230" i="1"/>
  <c r="S230" i="1" s="1"/>
  <c r="CU230" i="1"/>
  <c r="CV230" i="1"/>
  <c r="CW230" i="1"/>
  <c r="CX230" i="1"/>
  <c r="FR230" i="1"/>
  <c r="GL230" i="1"/>
  <c r="GO230" i="1"/>
  <c r="GP230" i="1"/>
  <c r="GV230" i="1"/>
  <c r="HC230" i="1"/>
  <c r="I231" i="1"/>
  <c r="AC231" i="1"/>
  <c r="AE231" i="1"/>
  <c r="AD231" i="1" s="1"/>
  <c r="AF231" i="1"/>
  <c r="AG231" i="1"/>
  <c r="AH231" i="1"/>
  <c r="AI231" i="1"/>
  <c r="AJ231" i="1"/>
  <c r="CX231" i="1" s="1"/>
  <c r="W231" i="1" s="1"/>
  <c r="CQ231" i="1"/>
  <c r="P231" i="1" s="1"/>
  <c r="CT231" i="1"/>
  <c r="S231" i="1" s="1"/>
  <c r="CU231" i="1"/>
  <c r="CV231" i="1"/>
  <c r="CW231" i="1"/>
  <c r="FR231" i="1"/>
  <c r="GL231" i="1"/>
  <c r="GO231" i="1"/>
  <c r="GP231" i="1"/>
  <c r="GV231" i="1"/>
  <c r="HC231" i="1"/>
  <c r="I232" i="1"/>
  <c r="AC232" i="1"/>
  <c r="AE232" i="1"/>
  <c r="AD232" i="1" s="1"/>
  <c r="AF232" i="1"/>
  <c r="AG232" i="1"/>
  <c r="AH232" i="1"/>
  <c r="AI232" i="1"/>
  <c r="AJ232" i="1"/>
  <c r="CQ232" i="1"/>
  <c r="P232" i="1" s="1"/>
  <c r="CT232" i="1"/>
  <c r="S232" i="1" s="1"/>
  <c r="CU232" i="1"/>
  <c r="CV232" i="1"/>
  <c r="CW232" i="1"/>
  <c r="CX232" i="1"/>
  <c r="FR232" i="1"/>
  <c r="GL232" i="1"/>
  <c r="GO232" i="1"/>
  <c r="GP232" i="1"/>
  <c r="GV232" i="1"/>
  <c r="HC232" i="1"/>
  <c r="AC233" i="1"/>
  <c r="AE233" i="1"/>
  <c r="AF233" i="1"/>
  <c r="AG233" i="1"/>
  <c r="AH233" i="1"/>
  <c r="AI233" i="1"/>
  <c r="AJ233" i="1"/>
  <c r="CR233" i="1"/>
  <c r="Q233" i="1" s="1"/>
  <c r="CS233" i="1"/>
  <c r="R233" i="1" s="1"/>
  <c r="CT233" i="1"/>
  <c r="S233" i="1" s="1"/>
  <c r="CU233" i="1"/>
  <c r="T233" i="1" s="1"/>
  <c r="CV233" i="1"/>
  <c r="U233" i="1" s="1"/>
  <c r="CW233" i="1"/>
  <c r="V233" i="1" s="1"/>
  <c r="CX233" i="1"/>
  <c r="W233" i="1" s="1"/>
  <c r="CY233" i="1"/>
  <c r="X233" i="1" s="1"/>
  <c r="CZ233" i="1"/>
  <c r="Y233" i="1" s="1"/>
  <c r="FR233" i="1"/>
  <c r="GL233" i="1"/>
  <c r="GN233" i="1"/>
  <c r="GP233" i="1"/>
  <c r="CD235" i="1" s="1"/>
  <c r="GV233" i="1"/>
  <c r="HC233" i="1" s="1"/>
  <c r="GX233" i="1" s="1"/>
  <c r="B235" i="1"/>
  <c r="B227" i="1" s="1"/>
  <c r="C235" i="1"/>
  <c r="C227" i="1" s="1"/>
  <c r="D235" i="1"/>
  <c r="D227" i="1" s="1"/>
  <c r="F235" i="1"/>
  <c r="F227" i="1" s="1"/>
  <c r="G235" i="1"/>
  <c r="BX235" i="1"/>
  <c r="CK235" i="1"/>
  <c r="CL235" i="1"/>
  <c r="CM235" i="1"/>
  <c r="B274" i="1"/>
  <c r="B22" i="1" s="1"/>
  <c r="C274" i="1"/>
  <c r="C22" i="1" s="1"/>
  <c r="D274" i="1"/>
  <c r="D22" i="1" s="1"/>
  <c r="F274" i="1"/>
  <c r="F22" i="1" s="1"/>
  <c r="G274" i="1"/>
  <c r="B313" i="1"/>
  <c r="B18" i="1" s="1"/>
  <c r="C313" i="1"/>
  <c r="C18" i="1" s="1"/>
  <c r="D313" i="1"/>
  <c r="D18" i="1" s="1"/>
  <c r="F313" i="1"/>
  <c r="F18" i="1" s="1"/>
  <c r="G313" i="1"/>
  <c r="M263" i="9" l="1"/>
  <c r="Q263" i="9" s="1"/>
  <c r="L262" i="6"/>
  <c r="Q262" i="6" s="1"/>
  <c r="M301" i="9"/>
  <c r="Q301" i="9" s="1"/>
  <c r="M300" i="9"/>
  <c r="L300" i="6"/>
  <c r="Q300" i="6" s="1"/>
  <c r="L299" i="6"/>
  <c r="L79" i="9"/>
  <c r="K78" i="6"/>
  <c r="DI113" i="3"/>
  <c r="DF113" i="3"/>
  <c r="DJ113" i="3" s="1"/>
  <c r="DG113" i="3"/>
  <c r="DH113" i="3"/>
  <c r="L189" i="9"/>
  <c r="K188" i="6"/>
  <c r="L95" i="9"/>
  <c r="K94" i="6"/>
  <c r="M50" i="9"/>
  <c r="M51" i="9"/>
  <c r="Q51" i="9" s="1"/>
  <c r="L49" i="6"/>
  <c r="L50" i="6"/>
  <c r="Q50" i="6" s="1"/>
  <c r="M43" i="9"/>
  <c r="M44" i="9"/>
  <c r="Q44" i="9" s="1"/>
  <c r="L43" i="6"/>
  <c r="Q43" i="6" s="1"/>
  <c r="L42" i="6"/>
  <c r="AH31" i="1"/>
  <c r="M93" i="9"/>
  <c r="Q93" i="9" s="1"/>
  <c r="M91" i="9"/>
  <c r="L92" i="6"/>
  <c r="Q92" i="6" s="1"/>
  <c r="L90" i="6"/>
  <c r="L206" i="9"/>
  <c r="K205" i="6"/>
  <c r="L236" i="9"/>
  <c r="K235" i="6"/>
  <c r="M190" i="9"/>
  <c r="Q190" i="9" s="1"/>
  <c r="L189" i="6"/>
  <c r="Q189" i="6" s="1"/>
  <c r="M170" i="9"/>
  <c r="Q170" i="9" s="1"/>
  <c r="M169" i="9"/>
  <c r="L169" i="6"/>
  <c r="Q169" i="6" s="1"/>
  <c r="L168" i="6"/>
  <c r="L319" i="9"/>
  <c r="K318" i="6"/>
  <c r="AF235" i="1"/>
  <c r="V124" i="9"/>
  <c r="V123" i="6"/>
  <c r="CY171" i="1"/>
  <c r="X171" i="1" s="1"/>
  <c r="L247" i="9"/>
  <c r="K246" i="6"/>
  <c r="M111" i="9"/>
  <c r="Q111" i="9" s="1"/>
  <c r="L110" i="6"/>
  <c r="Q110" i="6" s="1"/>
  <c r="L320" i="9"/>
  <c r="K319" i="6"/>
  <c r="L213" i="9"/>
  <c r="K212" i="6"/>
  <c r="CY119" i="1"/>
  <c r="X119" i="1" s="1"/>
  <c r="CZ119" i="1"/>
  <c r="Y119" i="1" s="1"/>
  <c r="M114" i="9"/>
  <c r="Q114" i="9" s="1"/>
  <c r="L113" i="6"/>
  <c r="Q113" i="6" s="1"/>
  <c r="L292" i="9"/>
  <c r="K291" i="6"/>
  <c r="D278" i="9"/>
  <c r="F277" i="9"/>
  <c r="I68" i="8"/>
  <c r="D22" i="7" s="1"/>
  <c r="E276" i="6"/>
  <c r="C277" i="6"/>
  <c r="D271" i="9"/>
  <c r="F270" i="9"/>
  <c r="I66" i="8"/>
  <c r="D36" i="7" s="1"/>
  <c r="C270" i="6"/>
  <c r="S258" i="9"/>
  <c r="U258" i="9"/>
  <c r="S257" i="6"/>
  <c r="U257" i="6"/>
  <c r="M254" i="9"/>
  <c r="Q254" i="9" s="1"/>
  <c r="L253" i="6"/>
  <c r="Q253" i="6" s="1"/>
  <c r="CS171" i="1"/>
  <c r="R171" i="1" s="1"/>
  <c r="CZ171" i="1" s="1"/>
  <c r="Y171" i="1" s="1"/>
  <c r="U233" i="9"/>
  <c r="I240" i="9" s="1"/>
  <c r="S233" i="9"/>
  <c r="I239" i="9" s="1"/>
  <c r="H242" i="9" s="1"/>
  <c r="I235" i="9"/>
  <c r="R235" i="9" s="1"/>
  <c r="U232" i="6"/>
  <c r="H239" i="6" s="1"/>
  <c r="S232" i="6"/>
  <c r="H238" i="6" s="1"/>
  <c r="H234" i="6"/>
  <c r="R234" i="6" s="1"/>
  <c r="L137" i="9"/>
  <c r="K136" i="6"/>
  <c r="DG82" i="3"/>
  <c r="DJ82" i="3" s="1"/>
  <c r="DF82" i="3"/>
  <c r="DH82" i="3"/>
  <c r="DI82" i="3"/>
  <c r="CS231" i="1"/>
  <c r="R231" i="1" s="1"/>
  <c r="CY231" i="1" s="1"/>
  <c r="X231" i="1" s="1"/>
  <c r="CT174" i="1"/>
  <c r="S174" i="1" s="1"/>
  <c r="CP174" i="1" s="1"/>
  <c r="O174" i="1" s="1"/>
  <c r="CR171" i="1"/>
  <c r="Q171" i="1" s="1"/>
  <c r="CT164" i="1"/>
  <c r="S164" i="1" s="1"/>
  <c r="AD118" i="1"/>
  <c r="CR118" i="1"/>
  <c r="Q118" i="1" s="1"/>
  <c r="M160" i="9"/>
  <c r="Q160" i="9" s="1"/>
  <c r="M159" i="9"/>
  <c r="L159" i="6"/>
  <c r="Q159" i="6" s="1"/>
  <c r="V106" i="1"/>
  <c r="GX105" i="1"/>
  <c r="W105" i="1"/>
  <c r="AD90" i="1"/>
  <c r="P26" i="8"/>
  <c r="S26" i="8"/>
  <c r="CR90" i="1"/>
  <c r="Q90" i="1" s="1"/>
  <c r="V103" i="9"/>
  <c r="V102" i="6"/>
  <c r="T84" i="9"/>
  <c r="T83" i="6"/>
  <c r="L69" i="9"/>
  <c r="K68" i="6"/>
  <c r="DG108" i="3"/>
  <c r="DH108" i="3"/>
  <c r="DI105" i="3"/>
  <c r="DF84" i="3"/>
  <c r="DG84" i="3"/>
  <c r="DJ84" i="3" s="1"/>
  <c r="DH84" i="3"/>
  <c r="DI84" i="3"/>
  <c r="AD233" i="1"/>
  <c r="S79" i="8"/>
  <c r="P79" i="8"/>
  <c r="CZ232" i="1"/>
  <c r="Y232" i="1" s="1"/>
  <c r="CR232" i="1"/>
  <c r="Q232" i="1" s="1"/>
  <c r="CZ231" i="1"/>
  <c r="Y231" i="1" s="1"/>
  <c r="CR231" i="1"/>
  <c r="Q231" i="1" s="1"/>
  <c r="CR230" i="1"/>
  <c r="Q230" i="1" s="1"/>
  <c r="AD235" i="1" s="1"/>
  <c r="I322" i="9"/>
  <c r="H321" i="6"/>
  <c r="U294" i="9"/>
  <c r="I299" i="9" s="1"/>
  <c r="I296" i="9"/>
  <c r="R296" i="9" s="1"/>
  <c r="S294" i="9"/>
  <c r="I298" i="9" s="1"/>
  <c r="U293" i="6"/>
  <c r="H298" i="6" s="1"/>
  <c r="S293" i="6"/>
  <c r="H297" i="6" s="1"/>
  <c r="G300" i="6" s="1"/>
  <c r="H295" i="6"/>
  <c r="R295" i="6" s="1"/>
  <c r="U180" i="1"/>
  <c r="U178" i="1"/>
  <c r="M266" i="9"/>
  <c r="Q266" i="9" s="1"/>
  <c r="L265" i="6"/>
  <c r="Q265" i="6" s="1"/>
  <c r="AD172" i="1"/>
  <c r="P60" i="8"/>
  <c r="S60" i="8"/>
  <c r="GX169" i="1"/>
  <c r="CJ186" i="1" s="1"/>
  <c r="L246" i="9"/>
  <c r="K245" i="6"/>
  <c r="AD165" i="1"/>
  <c r="AB165" i="1" s="1"/>
  <c r="I246" i="9"/>
  <c r="R246" i="9" s="1"/>
  <c r="I245" i="9"/>
  <c r="H244" i="6"/>
  <c r="H245" i="6"/>
  <c r="R245" i="6" s="1"/>
  <c r="BZ186" i="1"/>
  <c r="CG186" i="1" s="1"/>
  <c r="CS164" i="1"/>
  <c r="R164" i="1" s="1"/>
  <c r="I238" i="9"/>
  <c r="H237" i="6"/>
  <c r="CQ164" i="1"/>
  <c r="P164" i="1" s="1"/>
  <c r="CS118" i="1"/>
  <c r="R118" i="1" s="1"/>
  <c r="CY118" i="1" s="1"/>
  <c r="X118" i="1" s="1"/>
  <c r="S109" i="9"/>
  <c r="U109" i="9"/>
  <c r="S108" i="6"/>
  <c r="U108" i="6"/>
  <c r="CS90" i="1"/>
  <c r="R90" i="1" s="1"/>
  <c r="F92" i="9"/>
  <c r="E91" i="6"/>
  <c r="F75" i="9"/>
  <c r="E74" i="6"/>
  <c r="I10" i="8"/>
  <c r="CZ74" i="1"/>
  <c r="Y74" i="1" s="1"/>
  <c r="DG124" i="3"/>
  <c r="DH124" i="3"/>
  <c r="DI124" i="3"/>
  <c r="I69" i="8"/>
  <c r="CX123" i="3"/>
  <c r="L158" i="6"/>
  <c r="G227" i="1"/>
  <c r="A331" i="9"/>
  <c r="AG331" i="9"/>
  <c r="AG330" i="6"/>
  <c r="A330" i="6"/>
  <c r="T136" i="9"/>
  <c r="T135" i="6"/>
  <c r="U106" i="9"/>
  <c r="S106" i="9"/>
  <c r="S105" i="6"/>
  <c r="U105" i="6"/>
  <c r="L88" i="9"/>
  <c r="K87" i="6"/>
  <c r="L70" i="9"/>
  <c r="K69" i="6"/>
  <c r="AD229" i="1"/>
  <c r="I320" i="9"/>
  <c r="I321" i="9"/>
  <c r="R321" i="9" s="1"/>
  <c r="H319" i="6"/>
  <c r="H320" i="6"/>
  <c r="R320" i="6" s="1"/>
  <c r="M290" i="9"/>
  <c r="Q290" i="9" s="1"/>
  <c r="M288" i="9"/>
  <c r="L287" i="6"/>
  <c r="L289" i="6"/>
  <c r="Q289" i="6" s="1"/>
  <c r="L245" i="9"/>
  <c r="K244" i="6"/>
  <c r="L183" i="9"/>
  <c r="K182" i="6"/>
  <c r="U171" i="9"/>
  <c r="I175" i="9" s="1"/>
  <c r="S171" i="9"/>
  <c r="I174" i="9" s="1"/>
  <c r="I173" i="9"/>
  <c r="R173" i="9" s="1"/>
  <c r="U170" i="6"/>
  <c r="H174" i="6" s="1"/>
  <c r="S170" i="6"/>
  <c r="H173" i="6" s="1"/>
  <c r="G176" i="6" s="1"/>
  <c r="H172" i="6"/>
  <c r="R172" i="6" s="1"/>
  <c r="V80" i="1"/>
  <c r="AI121" i="1" s="1"/>
  <c r="DI119" i="3"/>
  <c r="DJ119" i="3" s="1"/>
  <c r="DF119" i="3"/>
  <c r="DG119" i="3"/>
  <c r="DH119" i="3"/>
  <c r="DI108" i="3"/>
  <c r="CV57" i="3"/>
  <c r="CX57" i="3"/>
  <c r="DG43" i="3"/>
  <c r="DH43" i="3"/>
  <c r="DF43" i="3"/>
  <c r="T327" i="9"/>
  <c r="T326" i="6"/>
  <c r="W232" i="1"/>
  <c r="GX230" i="1"/>
  <c r="W229" i="1"/>
  <c r="CR166" i="1"/>
  <c r="Q166" i="1" s="1"/>
  <c r="CP166" i="1" s="1"/>
  <c r="O166" i="1" s="1"/>
  <c r="GM166" i="1" s="1"/>
  <c r="GN166" i="1" s="1"/>
  <c r="F199" i="9"/>
  <c r="E198" i="6"/>
  <c r="D179" i="9"/>
  <c r="F178" i="9"/>
  <c r="C178" i="6"/>
  <c r="E177" i="6"/>
  <c r="CS112" i="1"/>
  <c r="R112" i="1" s="1"/>
  <c r="V118" i="9"/>
  <c r="V117" i="6"/>
  <c r="U100" i="9"/>
  <c r="S100" i="9"/>
  <c r="U99" i="6"/>
  <c r="S99" i="6"/>
  <c r="V94" i="9"/>
  <c r="V93" i="6"/>
  <c r="G26" i="1"/>
  <c r="AG53" i="9"/>
  <c r="A53" i="9"/>
  <c r="A52" i="6"/>
  <c r="I78" i="8"/>
  <c r="DF108" i="3"/>
  <c r="DJ108" i="3" s="1"/>
  <c r="U317" i="9"/>
  <c r="I324" i="9" s="1"/>
  <c r="I319" i="9"/>
  <c r="R319" i="9" s="1"/>
  <c r="S317" i="9"/>
  <c r="I323" i="9" s="1"/>
  <c r="H326" i="9" s="1"/>
  <c r="O326" i="9" s="1"/>
  <c r="H318" i="6"/>
  <c r="R318" i="6" s="1"/>
  <c r="U316" i="6"/>
  <c r="H323" i="6" s="1"/>
  <c r="S316" i="6"/>
  <c r="H322" i="6" s="1"/>
  <c r="T161" i="9"/>
  <c r="T160" i="6"/>
  <c r="D150" i="9"/>
  <c r="F149" i="9"/>
  <c r="C149" i="6"/>
  <c r="E148" i="6"/>
  <c r="I40" i="8"/>
  <c r="F147" i="9"/>
  <c r="E146" i="6"/>
  <c r="U252" i="9"/>
  <c r="S252" i="9"/>
  <c r="U251" i="6"/>
  <c r="S251" i="6"/>
  <c r="S243" i="9"/>
  <c r="I248" i="9" s="1"/>
  <c r="H251" i="9" s="1"/>
  <c r="I244" i="9"/>
  <c r="R244" i="9" s="1"/>
  <c r="U243" i="9"/>
  <c r="I249" i="9" s="1"/>
  <c r="H243" i="6"/>
  <c r="R243" i="6" s="1"/>
  <c r="U242" i="6"/>
  <c r="H248" i="6" s="1"/>
  <c r="S242" i="6"/>
  <c r="H247" i="6" s="1"/>
  <c r="H329" i="9"/>
  <c r="X329" i="9" s="1"/>
  <c r="I328" i="9"/>
  <c r="N79" i="8"/>
  <c r="K79" i="8"/>
  <c r="H327" i="6"/>
  <c r="G328" i="6"/>
  <c r="L322" i="9"/>
  <c r="K321" i="6"/>
  <c r="M293" i="9"/>
  <c r="Q293" i="9" s="1"/>
  <c r="L292" i="6"/>
  <c r="Q292" i="6" s="1"/>
  <c r="GX170" i="1"/>
  <c r="I247" i="9"/>
  <c r="H246" i="6"/>
  <c r="L166" i="9"/>
  <c r="K165" i="6"/>
  <c r="CZ111" i="1"/>
  <c r="Y111" i="1" s="1"/>
  <c r="V84" i="1"/>
  <c r="DI58" i="3"/>
  <c r="DJ58" i="3" s="1"/>
  <c r="DF58" i="3"/>
  <c r="DH58" i="3"/>
  <c r="DF39" i="3"/>
  <c r="DJ39" i="3" s="1"/>
  <c r="DG39" i="3"/>
  <c r="DH39" i="3"/>
  <c r="DI39" i="3"/>
  <c r="G22" i="1"/>
  <c r="A344" i="9"/>
  <c r="AG344" i="9"/>
  <c r="A343" i="6"/>
  <c r="AG343" i="6"/>
  <c r="GX232" i="1"/>
  <c r="D318" i="9"/>
  <c r="F317" i="9"/>
  <c r="E316" i="6"/>
  <c r="C317" i="6"/>
  <c r="S255" i="9"/>
  <c r="U255" i="9"/>
  <c r="U254" i="6"/>
  <c r="S254" i="6"/>
  <c r="L195" i="9"/>
  <c r="K194" i="6"/>
  <c r="V188" i="9"/>
  <c r="V187" i="6"/>
  <c r="S124" i="9"/>
  <c r="U124" i="9"/>
  <c r="U123" i="6"/>
  <c r="S123" i="6"/>
  <c r="AD95" i="1"/>
  <c r="P31" i="8"/>
  <c r="R31" i="8" s="1"/>
  <c r="S31" i="8"/>
  <c r="I119" i="9"/>
  <c r="H120" i="9"/>
  <c r="N30" i="8"/>
  <c r="H118" i="6"/>
  <c r="K30" i="8"/>
  <c r="G119" i="6"/>
  <c r="P82" i="1"/>
  <c r="AC121" i="1" s="1"/>
  <c r="CV88" i="3"/>
  <c r="CX88" i="3"/>
  <c r="V232" i="1"/>
  <c r="V231" i="1"/>
  <c r="V230" i="1"/>
  <c r="V229" i="1"/>
  <c r="G162" i="1"/>
  <c r="AG303" i="9"/>
  <c r="A303" i="9"/>
  <c r="AG302" i="6"/>
  <c r="A302" i="6"/>
  <c r="L262" i="9"/>
  <c r="K261" i="6"/>
  <c r="AD173" i="1"/>
  <c r="S61" i="8"/>
  <c r="P61" i="8"/>
  <c r="CR173" i="1"/>
  <c r="Q173" i="1" s="1"/>
  <c r="T170" i="1"/>
  <c r="AG186" i="1" s="1"/>
  <c r="S169" i="1"/>
  <c r="R168" i="1"/>
  <c r="CZ167" i="1"/>
  <c r="Y167" i="1" s="1"/>
  <c r="CR167" i="1"/>
  <c r="Q167" i="1" s="1"/>
  <c r="F211" i="9"/>
  <c r="D212" i="9"/>
  <c r="E210" i="6"/>
  <c r="C211" i="6"/>
  <c r="F201" i="9"/>
  <c r="D202" i="9"/>
  <c r="I46" i="8"/>
  <c r="E200" i="6"/>
  <c r="W116" i="1"/>
  <c r="T188" i="9"/>
  <c r="T187" i="6"/>
  <c r="V113" i="1"/>
  <c r="CR112" i="1"/>
  <c r="Q112" i="1" s="1"/>
  <c r="S136" i="9"/>
  <c r="U136" i="9"/>
  <c r="U135" i="6"/>
  <c r="S135" i="6"/>
  <c r="R102" i="1"/>
  <c r="R101" i="1"/>
  <c r="R100" i="1"/>
  <c r="R99" i="1"/>
  <c r="R98" i="1"/>
  <c r="L130" i="9"/>
  <c r="K129" i="6"/>
  <c r="AD97" i="1"/>
  <c r="AB97" i="1" s="1"/>
  <c r="I129" i="9"/>
  <c r="I130" i="9"/>
  <c r="R130" i="9" s="1"/>
  <c r="H128" i="6"/>
  <c r="H129" i="6"/>
  <c r="R129" i="6" s="1"/>
  <c r="AD96" i="1"/>
  <c r="S32" i="8"/>
  <c r="P32" i="8"/>
  <c r="V121" i="9"/>
  <c r="V120" i="6"/>
  <c r="CR95" i="1"/>
  <c r="Q95" i="1" s="1"/>
  <c r="H123" i="9"/>
  <c r="I122" i="9"/>
  <c r="K31" i="8"/>
  <c r="H121" i="6"/>
  <c r="G122" i="6"/>
  <c r="N31" i="8"/>
  <c r="E43" i="7" s="1"/>
  <c r="T118" i="9"/>
  <c r="T117" i="6"/>
  <c r="CQ94" i="1"/>
  <c r="P94" i="1" s="1"/>
  <c r="AD88" i="1"/>
  <c r="P24" i="8"/>
  <c r="V97" i="9"/>
  <c r="V96" i="6"/>
  <c r="H99" i="9"/>
  <c r="O99" i="9" s="1"/>
  <c r="K23" i="8"/>
  <c r="I98" i="9"/>
  <c r="N23" i="8"/>
  <c r="H97" i="6"/>
  <c r="G98" i="6"/>
  <c r="T94" i="9"/>
  <c r="T93" i="6"/>
  <c r="GX77" i="1"/>
  <c r="CJ121" i="1" s="1"/>
  <c r="I74" i="8"/>
  <c r="D37" i="7" s="1"/>
  <c r="DG58" i="3"/>
  <c r="G161" i="6"/>
  <c r="E269" i="6"/>
  <c r="L275" i="9"/>
  <c r="K274" i="6"/>
  <c r="T267" i="9"/>
  <c r="T266" i="6"/>
  <c r="T139" i="9"/>
  <c r="T138" i="6"/>
  <c r="H105" i="9"/>
  <c r="I104" i="9"/>
  <c r="K25" i="8"/>
  <c r="N25" i="8"/>
  <c r="G104" i="6"/>
  <c r="CQ89" i="1"/>
  <c r="P89" i="1" s="1"/>
  <c r="L77" i="9"/>
  <c r="K76" i="6"/>
  <c r="DG105" i="3"/>
  <c r="DJ105" i="3" s="1"/>
  <c r="DF105" i="3"/>
  <c r="DF83" i="3"/>
  <c r="DG83" i="3"/>
  <c r="DJ83" i="3" s="1"/>
  <c r="DI83" i="3"/>
  <c r="U327" i="9"/>
  <c r="S327" i="9"/>
  <c r="U326" i="6"/>
  <c r="S326" i="6"/>
  <c r="CS232" i="1"/>
  <c r="R232" i="1" s="1"/>
  <c r="CY232" i="1" s="1"/>
  <c r="X232" i="1" s="1"/>
  <c r="CS230" i="1"/>
  <c r="R230" i="1" s="1"/>
  <c r="CY230" i="1" s="1"/>
  <c r="X230" i="1" s="1"/>
  <c r="CS229" i="1"/>
  <c r="R229" i="1" s="1"/>
  <c r="CT165" i="1"/>
  <c r="S165" i="1" s="1"/>
  <c r="U211" i="9"/>
  <c r="I215" i="9" s="1"/>
  <c r="S211" i="9"/>
  <c r="I214" i="9" s="1"/>
  <c r="I213" i="9"/>
  <c r="R213" i="9" s="1"/>
  <c r="U210" i="6"/>
  <c r="H214" i="6" s="1"/>
  <c r="S210" i="6"/>
  <c r="H213" i="6" s="1"/>
  <c r="H212" i="6"/>
  <c r="R212" i="6" s="1"/>
  <c r="S201" i="9"/>
  <c r="U201" i="9"/>
  <c r="U200" i="6"/>
  <c r="S200" i="6"/>
  <c r="AD184" i="1"/>
  <c r="CR184" i="1"/>
  <c r="Q184" i="1" s="1"/>
  <c r="BY186" i="1"/>
  <c r="CI186" i="1" s="1"/>
  <c r="CT112" i="1"/>
  <c r="S112" i="1" s="1"/>
  <c r="U164" i="9"/>
  <c r="I168" i="9" s="1"/>
  <c r="S164" i="9"/>
  <c r="I167" i="9" s="1"/>
  <c r="I166" i="9"/>
  <c r="R166" i="9" s="1"/>
  <c r="U163" i="6"/>
  <c r="H167" i="6" s="1"/>
  <c r="S163" i="6"/>
  <c r="H166" i="6" s="1"/>
  <c r="G169" i="6" s="1"/>
  <c r="GX84" i="1"/>
  <c r="GX80" i="1"/>
  <c r="CF31" i="1"/>
  <c r="AD29" i="1"/>
  <c r="CR29" i="1"/>
  <c r="Q29" i="1" s="1"/>
  <c r="DH83" i="3"/>
  <c r="DF59" i="3"/>
  <c r="DH59" i="3"/>
  <c r="DG59" i="3"/>
  <c r="DJ59" i="3" s="1"/>
  <c r="DI7" i="3"/>
  <c r="DJ7" i="3" s="1"/>
  <c r="DG7" i="3"/>
  <c r="DH7" i="3"/>
  <c r="CV1" i="3"/>
  <c r="CX1" i="3"/>
  <c r="H165" i="6"/>
  <c r="R165" i="6" s="1"/>
  <c r="CQ233" i="1"/>
  <c r="P233" i="1" s="1"/>
  <c r="GX231" i="1"/>
  <c r="W230" i="1"/>
  <c r="GX229" i="1"/>
  <c r="CS184" i="1"/>
  <c r="R184" i="1" s="1"/>
  <c r="CY184" i="1" s="1"/>
  <c r="X184" i="1" s="1"/>
  <c r="M257" i="9"/>
  <c r="Q257" i="9" s="1"/>
  <c r="L256" i="6"/>
  <c r="Q256" i="6" s="1"/>
  <c r="V252" i="9"/>
  <c r="V251" i="6"/>
  <c r="S168" i="1"/>
  <c r="T191" i="9"/>
  <c r="T190" i="6"/>
  <c r="H190" i="9"/>
  <c r="I189" i="9"/>
  <c r="N44" i="8"/>
  <c r="E21" i="7" s="1"/>
  <c r="K44" i="8"/>
  <c r="G189" i="6"/>
  <c r="H188" i="6"/>
  <c r="T115" i="9"/>
  <c r="T114" i="6"/>
  <c r="AD87" i="1"/>
  <c r="P23" i="8"/>
  <c r="S23" i="8"/>
  <c r="I95" i="9"/>
  <c r="H96" i="9"/>
  <c r="H94" i="6"/>
  <c r="G95" i="6"/>
  <c r="N22" i="8"/>
  <c r="K22" i="8"/>
  <c r="CE31" i="1"/>
  <c r="CS29" i="1"/>
  <c r="R29" i="1" s="1"/>
  <c r="AE31" i="1" s="1"/>
  <c r="AE26" i="1" s="1"/>
  <c r="DF25" i="3"/>
  <c r="DH25" i="3"/>
  <c r="DG25" i="3"/>
  <c r="K130" i="6"/>
  <c r="U232" i="1"/>
  <c r="U231" i="1"/>
  <c r="U230" i="1"/>
  <c r="U229" i="1"/>
  <c r="F289" i="9"/>
  <c r="E288" i="6"/>
  <c r="T281" i="9"/>
  <c r="T280" i="6"/>
  <c r="L285" i="9"/>
  <c r="K284" i="6"/>
  <c r="V277" i="9"/>
  <c r="V276" i="6"/>
  <c r="Q180" i="1"/>
  <c r="I279" i="9"/>
  <c r="H280" i="9"/>
  <c r="G279" i="6"/>
  <c r="K68" i="8"/>
  <c r="H278" i="6"/>
  <c r="N68" i="8"/>
  <c r="E22" i="7" s="1"/>
  <c r="AD179" i="1"/>
  <c r="S67" i="8"/>
  <c r="P67" i="8"/>
  <c r="V270" i="9"/>
  <c r="V269" i="6"/>
  <c r="Q178" i="1"/>
  <c r="H273" i="9"/>
  <c r="I272" i="9"/>
  <c r="H271" i="6"/>
  <c r="K66" i="8"/>
  <c r="N66" i="8"/>
  <c r="G272" i="6"/>
  <c r="AD177" i="1"/>
  <c r="S65" i="8"/>
  <c r="P65" i="8"/>
  <c r="V264" i="9"/>
  <c r="V263" i="6"/>
  <c r="H266" i="9"/>
  <c r="K64" i="8"/>
  <c r="I265" i="9"/>
  <c r="N64" i="8"/>
  <c r="H264" i="6"/>
  <c r="G265" i="6"/>
  <c r="W265" i="6" s="1"/>
  <c r="T261" i="9"/>
  <c r="T260" i="6"/>
  <c r="CT173" i="1"/>
  <c r="S173" i="1" s="1"/>
  <c r="T171" i="1"/>
  <c r="S170" i="1"/>
  <c r="R169" i="1"/>
  <c r="Q168" i="1"/>
  <c r="V117" i="1"/>
  <c r="V116" i="1"/>
  <c r="U113" i="1"/>
  <c r="T153" i="9"/>
  <c r="L157" i="9" s="1"/>
  <c r="T152" i="6"/>
  <c r="K156" i="6" s="1"/>
  <c r="V149" i="9"/>
  <c r="V148" i="6"/>
  <c r="Q106" i="1"/>
  <c r="K40" i="8"/>
  <c r="H152" i="9"/>
  <c r="W152" i="9" s="1"/>
  <c r="I151" i="9"/>
  <c r="G151" i="6"/>
  <c r="N40" i="8"/>
  <c r="R105" i="1"/>
  <c r="L142" i="9"/>
  <c r="K141" i="6"/>
  <c r="AD104" i="1"/>
  <c r="I142" i="9"/>
  <c r="R142" i="9" s="1"/>
  <c r="I141" i="9"/>
  <c r="H140" i="6"/>
  <c r="H141" i="6"/>
  <c r="R141" i="6" s="1"/>
  <c r="AD103" i="1"/>
  <c r="S38" i="8"/>
  <c r="P38" i="8"/>
  <c r="CR102" i="1"/>
  <c r="Q102" i="1" s="1"/>
  <c r="CR101" i="1"/>
  <c r="Q101" i="1" s="1"/>
  <c r="CP101" i="1" s="1"/>
  <c r="O101" i="1" s="1"/>
  <c r="CR100" i="1"/>
  <c r="Q100" i="1" s="1"/>
  <c r="CR99" i="1"/>
  <c r="Q99" i="1" s="1"/>
  <c r="CR98" i="1"/>
  <c r="Q98" i="1" s="1"/>
  <c r="CZ97" i="1"/>
  <c r="Y97" i="1" s="1"/>
  <c r="CR97" i="1"/>
  <c r="Q97" i="1" s="1"/>
  <c r="I131" i="9"/>
  <c r="H130" i="6"/>
  <c r="CR96" i="1"/>
  <c r="Q96" i="1" s="1"/>
  <c r="CP96" i="1" s="1"/>
  <c r="O96" i="1" s="1"/>
  <c r="I125" i="9"/>
  <c r="H126" i="9"/>
  <c r="N32" i="8"/>
  <c r="K32" i="8"/>
  <c r="G125" i="6"/>
  <c r="H124" i="6"/>
  <c r="T121" i="9"/>
  <c r="T120" i="6"/>
  <c r="CQ95" i="1"/>
  <c r="P95" i="1" s="1"/>
  <c r="U103" i="9"/>
  <c r="S103" i="9"/>
  <c r="U102" i="6"/>
  <c r="S102" i="6"/>
  <c r="V100" i="9"/>
  <c r="V99" i="6"/>
  <c r="H102" i="9"/>
  <c r="W102" i="9" s="1"/>
  <c r="I101" i="9"/>
  <c r="G101" i="6"/>
  <c r="N24" i="8"/>
  <c r="K24" i="8"/>
  <c r="H100" i="6"/>
  <c r="T97" i="9"/>
  <c r="T96" i="6"/>
  <c r="CQ87" i="1"/>
  <c r="P87" i="1" s="1"/>
  <c r="U85" i="1"/>
  <c r="W82" i="1"/>
  <c r="U81" i="1"/>
  <c r="W78" i="1"/>
  <c r="AJ121" i="1" s="1"/>
  <c r="I68" i="9"/>
  <c r="R68" i="9" s="1"/>
  <c r="U67" i="9"/>
  <c r="I72" i="9" s="1"/>
  <c r="S67" i="9"/>
  <c r="I71" i="9" s="1"/>
  <c r="S66" i="6"/>
  <c r="H70" i="6" s="1"/>
  <c r="H67" i="6"/>
  <c r="R67" i="6" s="1"/>
  <c r="U66" i="6"/>
  <c r="H71" i="6" s="1"/>
  <c r="CV64" i="3"/>
  <c r="CX64" i="3"/>
  <c r="DI43" i="3"/>
  <c r="DJ43" i="3" s="1"/>
  <c r="DF31" i="3"/>
  <c r="DJ31" i="3" s="1"/>
  <c r="DG31" i="3"/>
  <c r="DI31" i="3"/>
  <c r="DH31" i="3"/>
  <c r="DI25" i="3"/>
  <c r="DJ25" i="3" s="1"/>
  <c r="DF7" i="3"/>
  <c r="K115" i="6"/>
  <c r="U120" i="6"/>
  <c r="T291" i="9"/>
  <c r="T290" i="6"/>
  <c r="T274" i="9"/>
  <c r="T273" i="6"/>
  <c r="L268" i="9"/>
  <c r="K267" i="6"/>
  <c r="I206" i="9"/>
  <c r="R206" i="9" s="1"/>
  <c r="U205" i="9"/>
  <c r="I208" i="9" s="1"/>
  <c r="S205" i="9"/>
  <c r="I207" i="9" s="1"/>
  <c r="H210" i="9" s="1"/>
  <c r="U204" i="6"/>
  <c r="H207" i="6" s="1"/>
  <c r="H205" i="6"/>
  <c r="R205" i="6" s="1"/>
  <c r="S204" i="6"/>
  <c r="H206" i="6" s="1"/>
  <c r="L143" i="9"/>
  <c r="K142" i="6"/>
  <c r="I79" i="9"/>
  <c r="H78" i="6"/>
  <c r="DF103" i="3"/>
  <c r="DG103" i="3"/>
  <c r="DH103" i="3"/>
  <c r="DI103" i="3"/>
  <c r="DJ103" i="3" s="1"/>
  <c r="V180" i="1"/>
  <c r="AD164" i="1"/>
  <c r="I237" i="9"/>
  <c r="R237" i="9" s="1"/>
  <c r="I236" i="9"/>
  <c r="H236" i="6"/>
  <c r="R236" i="6" s="1"/>
  <c r="H235" i="6"/>
  <c r="V327" i="9"/>
  <c r="V326" i="6"/>
  <c r="L296" i="9"/>
  <c r="K295" i="6"/>
  <c r="I253" i="9"/>
  <c r="H254" i="9"/>
  <c r="K60" i="8"/>
  <c r="G253" i="6"/>
  <c r="W253" i="6" s="1"/>
  <c r="N60" i="8"/>
  <c r="H252" i="6"/>
  <c r="CQ172" i="1"/>
  <c r="P172" i="1" s="1"/>
  <c r="G18" i="1"/>
  <c r="A3" i="7"/>
  <c r="AG357" i="9"/>
  <c r="A357" i="9"/>
  <c r="AG356" i="6"/>
  <c r="A356" i="6"/>
  <c r="AC235" i="1"/>
  <c r="M329" i="9"/>
  <c r="Q329" i="9" s="1"/>
  <c r="L328" i="6"/>
  <c r="Q328" i="6" s="1"/>
  <c r="T232" i="1"/>
  <c r="T231" i="1"/>
  <c r="T230" i="1"/>
  <c r="AG235" i="1" s="1"/>
  <c r="AG227" i="1" s="1"/>
  <c r="V291" i="9"/>
  <c r="V290" i="6"/>
  <c r="H293" i="9"/>
  <c r="N70" i="8"/>
  <c r="I292" i="9"/>
  <c r="H291" i="6"/>
  <c r="K70" i="8"/>
  <c r="G292" i="6"/>
  <c r="W292" i="6" s="1"/>
  <c r="T277" i="9"/>
  <c r="T276" i="6"/>
  <c r="P180" i="1"/>
  <c r="V274" i="9"/>
  <c r="V273" i="6"/>
  <c r="K67" i="8"/>
  <c r="H276" i="9"/>
  <c r="I275" i="9"/>
  <c r="N67" i="8"/>
  <c r="H274" i="6"/>
  <c r="G275" i="6"/>
  <c r="T270" i="9"/>
  <c r="T269" i="6"/>
  <c r="P178" i="1"/>
  <c r="V267" i="9"/>
  <c r="V266" i="6"/>
  <c r="K65" i="8"/>
  <c r="H269" i="9"/>
  <c r="I268" i="9"/>
  <c r="N65" i="8"/>
  <c r="G268" i="6"/>
  <c r="H267" i="6"/>
  <c r="T264" i="9"/>
  <c r="T263" i="6"/>
  <c r="M260" i="9"/>
  <c r="Q260" i="9" s="1"/>
  <c r="L259" i="6"/>
  <c r="Q259" i="6" s="1"/>
  <c r="R170" i="1"/>
  <c r="Q169" i="1"/>
  <c r="M242" i="9"/>
  <c r="Q242" i="9" s="1"/>
  <c r="M241" i="9"/>
  <c r="L241" i="6"/>
  <c r="Q241" i="6" s="1"/>
  <c r="L240" i="6"/>
  <c r="M210" i="9"/>
  <c r="Q210" i="9" s="1"/>
  <c r="M209" i="9"/>
  <c r="L209" i="6"/>
  <c r="Q209" i="6" s="1"/>
  <c r="L208" i="6"/>
  <c r="M204" i="9"/>
  <c r="Q204" i="9" s="1"/>
  <c r="L203" i="6"/>
  <c r="Q203" i="6" s="1"/>
  <c r="M200" i="9"/>
  <c r="Q200" i="9" s="1"/>
  <c r="M198" i="9"/>
  <c r="L199" i="6"/>
  <c r="Q199" i="6" s="1"/>
  <c r="L197" i="6"/>
  <c r="V161" i="9"/>
  <c r="V160" i="6"/>
  <c r="T149" i="9"/>
  <c r="T148" i="6"/>
  <c r="P106" i="1"/>
  <c r="Q105" i="1"/>
  <c r="AA147" i="9"/>
  <c r="I147" i="9"/>
  <c r="AA146" i="6"/>
  <c r="H146" i="6"/>
  <c r="V139" i="9"/>
  <c r="V138" i="6"/>
  <c r="L141" i="9"/>
  <c r="K140" i="6"/>
  <c r="I143" i="9"/>
  <c r="H142" i="6"/>
  <c r="V136" i="9"/>
  <c r="V135" i="6"/>
  <c r="H138" i="9"/>
  <c r="W138" i="9" s="1"/>
  <c r="N38" i="8"/>
  <c r="I137" i="9"/>
  <c r="G137" i="6"/>
  <c r="K38" i="8"/>
  <c r="H136" i="6"/>
  <c r="T127" i="9"/>
  <c r="L132" i="9" s="1"/>
  <c r="T126" i="6"/>
  <c r="K131" i="6" s="1"/>
  <c r="T124" i="9"/>
  <c r="T123" i="6"/>
  <c r="L125" i="9"/>
  <c r="K124" i="6"/>
  <c r="M117" i="9"/>
  <c r="Q117" i="9" s="1"/>
  <c r="L116" i="6"/>
  <c r="Q116" i="6" s="1"/>
  <c r="M108" i="9"/>
  <c r="Q108" i="9" s="1"/>
  <c r="L107" i="6"/>
  <c r="Q107" i="6" s="1"/>
  <c r="AD89" i="1"/>
  <c r="P25" i="8"/>
  <c r="S25" i="8"/>
  <c r="T25" i="8" s="1"/>
  <c r="T100" i="9"/>
  <c r="T99" i="6"/>
  <c r="L101" i="9"/>
  <c r="K100" i="6"/>
  <c r="L68" i="9"/>
  <c r="K67" i="6"/>
  <c r="CY74" i="1"/>
  <c r="X74" i="1" s="1"/>
  <c r="AD74" i="1"/>
  <c r="AB74" i="1" s="1"/>
  <c r="I69" i="9"/>
  <c r="I70" i="9"/>
  <c r="R70" i="9" s="1"/>
  <c r="H69" i="6"/>
  <c r="R69" i="6" s="1"/>
  <c r="H68" i="6"/>
  <c r="T37" i="9"/>
  <c r="L41" i="9" s="1"/>
  <c r="T36" i="6"/>
  <c r="K40" i="6" s="1"/>
  <c r="I73" i="8"/>
  <c r="D38" i="7" s="1"/>
  <c r="I76" i="8"/>
  <c r="DI65" i="3"/>
  <c r="DJ65" i="3" s="1"/>
  <c r="DF65" i="3"/>
  <c r="I18" i="8"/>
  <c r="CX32" i="3"/>
  <c r="H103" i="6"/>
  <c r="S29" i="1"/>
  <c r="I47" i="9"/>
  <c r="R47" i="9" s="1"/>
  <c r="U45" i="9"/>
  <c r="I49" i="9" s="1"/>
  <c r="S45" i="9"/>
  <c r="I48" i="9" s="1"/>
  <c r="S44" i="6"/>
  <c r="H47" i="6" s="1"/>
  <c r="G50" i="6" s="1"/>
  <c r="O50" i="6" s="1"/>
  <c r="H46" i="6"/>
  <c r="R46" i="6" s="1"/>
  <c r="I77" i="8"/>
  <c r="D16" i="7" s="1"/>
  <c r="DF112" i="3"/>
  <c r="DJ112" i="3" s="1"/>
  <c r="DG112" i="3"/>
  <c r="DH112" i="3"/>
  <c r="DH104" i="3"/>
  <c r="DI104" i="3"/>
  <c r="DJ104" i="3" s="1"/>
  <c r="I54" i="8"/>
  <c r="CW68" i="3"/>
  <c r="CX68" i="3"/>
  <c r="U44" i="6"/>
  <c r="H48" i="6" s="1"/>
  <c r="T113" i="1"/>
  <c r="F171" i="9"/>
  <c r="D172" i="9"/>
  <c r="E170" i="6"/>
  <c r="C171" i="6"/>
  <c r="R111" i="1"/>
  <c r="CY111" i="1" s="1"/>
  <c r="X111" i="1" s="1"/>
  <c r="M162" i="9"/>
  <c r="Q162" i="9" s="1"/>
  <c r="L161" i="6"/>
  <c r="Q161" i="6" s="1"/>
  <c r="T108" i="1"/>
  <c r="U106" i="1"/>
  <c r="V105" i="1"/>
  <c r="V102" i="1"/>
  <c r="V101" i="1"/>
  <c r="V100" i="1"/>
  <c r="V99" i="1"/>
  <c r="V98" i="1"/>
  <c r="M120" i="9"/>
  <c r="Q120" i="9" s="1"/>
  <c r="L119" i="6"/>
  <c r="Q119" i="6" s="1"/>
  <c r="U112" i="9"/>
  <c r="S112" i="9"/>
  <c r="U111" i="6"/>
  <c r="S111" i="6"/>
  <c r="AD91" i="1"/>
  <c r="P27" i="8"/>
  <c r="S27" i="8"/>
  <c r="V106" i="9"/>
  <c r="V105" i="6"/>
  <c r="I107" i="9"/>
  <c r="H108" i="9"/>
  <c r="N26" i="8"/>
  <c r="H106" i="6"/>
  <c r="K26" i="8"/>
  <c r="G107" i="6"/>
  <c r="O107" i="6" s="1"/>
  <c r="T103" i="9"/>
  <c r="T102" i="6"/>
  <c r="T85" i="1"/>
  <c r="T84" i="1"/>
  <c r="T83" i="1"/>
  <c r="T82" i="1"/>
  <c r="T81" i="1"/>
  <c r="T80" i="1"/>
  <c r="T79" i="1"/>
  <c r="T78" i="1"/>
  <c r="T77" i="1"/>
  <c r="U75" i="1"/>
  <c r="I75" i="8"/>
  <c r="CW122" i="3"/>
  <c r="CX122" i="3"/>
  <c r="DF120" i="3"/>
  <c r="DF116" i="3"/>
  <c r="DJ116" i="3" s="1"/>
  <c r="DI112" i="3"/>
  <c r="I56" i="8"/>
  <c r="CX111" i="3"/>
  <c r="DF106" i="3"/>
  <c r="DI106" i="3"/>
  <c r="DF104" i="3"/>
  <c r="DF86" i="3"/>
  <c r="DJ86" i="3" s="1"/>
  <c r="DG86" i="3"/>
  <c r="DI86" i="3"/>
  <c r="DH69" i="3"/>
  <c r="CW61" i="3"/>
  <c r="CX61" i="3"/>
  <c r="CX45" i="3"/>
  <c r="DH41" i="3"/>
  <c r="DI41" i="3"/>
  <c r="DF41" i="3"/>
  <c r="DJ41" i="3" s="1"/>
  <c r="I297" i="9"/>
  <c r="H296" i="6"/>
  <c r="S182" i="1"/>
  <c r="S289" i="9"/>
  <c r="U289" i="9"/>
  <c r="S288" i="6"/>
  <c r="U288" i="6"/>
  <c r="L282" i="9"/>
  <c r="K281" i="6"/>
  <c r="S281" i="9"/>
  <c r="I282" i="9"/>
  <c r="R282" i="9" s="1"/>
  <c r="U281" i="9"/>
  <c r="I287" i="9" s="1"/>
  <c r="U280" i="6"/>
  <c r="H281" i="6"/>
  <c r="R281" i="6" s="1"/>
  <c r="S280" i="6"/>
  <c r="T180" i="1"/>
  <c r="M276" i="9"/>
  <c r="Q276" i="9" s="1"/>
  <c r="L275" i="6"/>
  <c r="Q275" i="6" s="1"/>
  <c r="T178" i="1"/>
  <c r="M269" i="9"/>
  <c r="Q269" i="9" s="1"/>
  <c r="L268" i="6"/>
  <c r="Q268" i="6" s="1"/>
  <c r="U261" i="9"/>
  <c r="S261" i="9"/>
  <c r="U260" i="6"/>
  <c r="S260" i="6"/>
  <c r="AD174" i="1"/>
  <c r="P62" i="8"/>
  <c r="S62" i="8"/>
  <c r="V255" i="9"/>
  <c r="V254" i="6"/>
  <c r="I256" i="9"/>
  <c r="H257" i="9"/>
  <c r="K61" i="8"/>
  <c r="M61" i="8" s="1"/>
  <c r="N61" i="8"/>
  <c r="H255" i="6"/>
  <c r="G256" i="6"/>
  <c r="T252" i="9"/>
  <c r="T251" i="6"/>
  <c r="W171" i="1"/>
  <c r="W170" i="1"/>
  <c r="W169" i="1"/>
  <c r="W168" i="1"/>
  <c r="W167" i="1"/>
  <c r="W166" i="1"/>
  <c r="V119" i="1"/>
  <c r="R117" i="1"/>
  <c r="AD117" i="1"/>
  <c r="P46" i="8"/>
  <c r="S46" i="8"/>
  <c r="T46" i="8" s="1"/>
  <c r="S116" i="1"/>
  <c r="U199" i="9"/>
  <c r="S199" i="9"/>
  <c r="U198" i="6"/>
  <c r="S198" i="6"/>
  <c r="L192" i="9"/>
  <c r="K191" i="6"/>
  <c r="I192" i="9"/>
  <c r="R192" i="9" s="1"/>
  <c r="U191" i="9"/>
  <c r="S191" i="9"/>
  <c r="I196" i="9" s="1"/>
  <c r="U190" i="6"/>
  <c r="H196" i="6" s="1"/>
  <c r="H191" i="6"/>
  <c r="R191" i="6" s="1"/>
  <c r="S190" i="6"/>
  <c r="H195" i="6" s="1"/>
  <c r="S113" i="1"/>
  <c r="U178" i="9"/>
  <c r="I185" i="9" s="1"/>
  <c r="I180" i="9"/>
  <c r="R180" i="9" s="1"/>
  <c r="S178" i="9"/>
  <c r="I184" i="9" s="1"/>
  <c r="H179" i="6"/>
  <c r="R179" i="6" s="1"/>
  <c r="U177" i="6"/>
  <c r="H184" i="6" s="1"/>
  <c r="S177" i="6"/>
  <c r="H183" i="6" s="1"/>
  <c r="Q111" i="1"/>
  <c r="S108" i="1"/>
  <c r="L154" i="9"/>
  <c r="K153" i="6"/>
  <c r="U153" i="9"/>
  <c r="I158" i="9" s="1"/>
  <c r="S153" i="9"/>
  <c r="I157" i="9" s="1"/>
  <c r="H160" i="9" s="1"/>
  <c r="I154" i="9"/>
  <c r="R154" i="9" s="1"/>
  <c r="U152" i="6"/>
  <c r="H157" i="6" s="1"/>
  <c r="S152" i="6"/>
  <c r="H156" i="6" s="1"/>
  <c r="G159" i="6" s="1"/>
  <c r="T106" i="1"/>
  <c r="U105" i="1"/>
  <c r="M148" i="9"/>
  <c r="Q148" i="9" s="1"/>
  <c r="M146" i="9"/>
  <c r="L147" i="6"/>
  <c r="Q147" i="6" s="1"/>
  <c r="L145" i="6"/>
  <c r="U102" i="1"/>
  <c r="U101" i="1"/>
  <c r="U100" i="1"/>
  <c r="U99" i="1"/>
  <c r="U98" i="1"/>
  <c r="M135" i="9"/>
  <c r="Q135" i="9" s="1"/>
  <c r="M134" i="9"/>
  <c r="L133" i="6"/>
  <c r="M123" i="9"/>
  <c r="Q123" i="9" s="1"/>
  <c r="L122" i="6"/>
  <c r="Q122" i="6" s="1"/>
  <c r="U115" i="9"/>
  <c r="S115" i="9"/>
  <c r="U114" i="6"/>
  <c r="S114" i="6"/>
  <c r="AD92" i="1"/>
  <c r="S28" i="8"/>
  <c r="P28" i="8"/>
  <c r="V109" i="9"/>
  <c r="V108" i="6"/>
  <c r="I110" i="9"/>
  <c r="K27" i="8"/>
  <c r="H111" i="9"/>
  <c r="H109" i="6"/>
  <c r="N27" i="8"/>
  <c r="T106" i="9"/>
  <c r="T105" i="6"/>
  <c r="L107" i="9"/>
  <c r="K106" i="6"/>
  <c r="M99" i="9"/>
  <c r="Q99" i="9" s="1"/>
  <c r="L98" i="6"/>
  <c r="Q98" i="6" s="1"/>
  <c r="S85" i="1"/>
  <c r="S84" i="1"/>
  <c r="S83" i="1"/>
  <c r="S82" i="1"/>
  <c r="S81" i="1"/>
  <c r="U92" i="9"/>
  <c r="S92" i="9"/>
  <c r="U91" i="6"/>
  <c r="S80" i="1"/>
  <c r="S79" i="1"/>
  <c r="S78" i="1"/>
  <c r="S77" i="1"/>
  <c r="L85" i="9"/>
  <c r="K84" i="6"/>
  <c r="S84" i="9"/>
  <c r="I89" i="9" s="1"/>
  <c r="H93" i="9" s="1"/>
  <c r="O93" i="9" s="1"/>
  <c r="U84" i="9"/>
  <c r="I90" i="9" s="1"/>
  <c r="I85" i="9"/>
  <c r="R85" i="9" s="1"/>
  <c r="U83" i="6"/>
  <c r="H89" i="6" s="1"/>
  <c r="S83" i="6"/>
  <c r="H84" i="6"/>
  <c r="R84" i="6" s="1"/>
  <c r="T75" i="1"/>
  <c r="L38" i="9"/>
  <c r="K37" i="6"/>
  <c r="U37" i="9"/>
  <c r="I42" i="9" s="1"/>
  <c r="S37" i="9"/>
  <c r="I41" i="9" s="1"/>
  <c r="H44" i="9" s="1"/>
  <c r="I38" i="9"/>
  <c r="R38" i="9" s="1"/>
  <c r="U36" i="6"/>
  <c r="H41" i="6" s="1"/>
  <c r="G43" i="6" s="1"/>
  <c r="H37" i="6"/>
  <c r="R37" i="6" s="1"/>
  <c r="DF121" i="3"/>
  <c r="DG121" i="3"/>
  <c r="DJ121" i="3" s="1"/>
  <c r="I57" i="8"/>
  <c r="D17" i="7" s="1"/>
  <c r="CX110" i="3"/>
  <c r="DH81" i="3"/>
  <c r="DI81" i="3"/>
  <c r="DJ81" i="3" s="1"/>
  <c r="DG37" i="3"/>
  <c r="DF37" i="3"/>
  <c r="DJ37" i="3" s="1"/>
  <c r="DH37" i="3"/>
  <c r="DI37" i="3"/>
  <c r="DI28" i="3"/>
  <c r="DF28" i="3"/>
  <c r="DJ28" i="3" s="1"/>
  <c r="DG28" i="3"/>
  <c r="DH28" i="3"/>
  <c r="S91" i="6"/>
  <c r="K192" i="6"/>
  <c r="L297" i="9"/>
  <c r="K296" i="6"/>
  <c r="U291" i="9"/>
  <c r="S291" i="9"/>
  <c r="U290" i="6"/>
  <c r="S290" i="6"/>
  <c r="R182" i="1"/>
  <c r="L284" i="9"/>
  <c r="K283" i="6"/>
  <c r="AD181" i="1"/>
  <c r="I284" i="9"/>
  <c r="R284" i="9" s="1"/>
  <c r="I283" i="9"/>
  <c r="H282" i="6"/>
  <c r="H283" i="6"/>
  <c r="R283" i="6" s="1"/>
  <c r="S180" i="1"/>
  <c r="U277" i="9"/>
  <c r="S277" i="9"/>
  <c r="U276" i="6"/>
  <c r="S276" i="6"/>
  <c r="S178" i="1"/>
  <c r="U270" i="9"/>
  <c r="S270" i="9"/>
  <c r="U269" i="6"/>
  <c r="S269" i="6"/>
  <c r="U264" i="9"/>
  <c r="S264" i="9"/>
  <c r="U263" i="6"/>
  <c r="S263" i="6"/>
  <c r="AD175" i="1"/>
  <c r="S63" i="8"/>
  <c r="P63" i="8"/>
  <c r="I259" i="9"/>
  <c r="K62" i="8"/>
  <c r="H260" i="9"/>
  <c r="H258" i="6"/>
  <c r="N62" i="8"/>
  <c r="G259" i="6"/>
  <c r="O259" i="6" s="1"/>
  <c r="T255" i="9"/>
  <c r="T254" i="6"/>
  <c r="CQ173" i="1"/>
  <c r="P173" i="1" s="1"/>
  <c r="V171" i="1"/>
  <c r="V170" i="1"/>
  <c r="V169" i="1"/>
  <c r="V168" i="1"/>
  <c r="V167" i="1"/>
  <c r="V166" i="1"/>
  <c r="F233" i="9"/>
  <c r="D234" i="9"/>
  <c r="E232" i="6"/>
  <c r="C233" i="6"/>
  <c r="U119" i="1"/>
  <c r="V201" i="9"/>
  <c r="V200" i="6"/>
  <c r="Q117" i="1"/>
  <c r="H204" i="9"/>
  <c r="I203" i="9"/>
  <c r="N46" i="8"/>
  <c r="O46" i="8" s="1"/>
  <c r="K46" i="8"/>
  <c r="G203" i="6"/>
  <c r="O203" i="6" s="1"/>
  <c r="H202" i="6"/>
  <c r="R116" i="1"/>
  <c r="L194" i="9"/>
  <c r="K193" i="6"/>
  <c r="AD115" i="1"/>
  <c r="I193" i="9"/>
  <c r="I194" i="9"/>
  <c r="R194" i="9" s="1"/>
  <c r="H192" i="6"/>
  <c r="H193" i="6"/>
  <c r="R193" i="6" s="1"/>
  <c r="U188" i="9"/>
  <c r="S188" i="9"/>
  <c r="U187" i="6"/>
  <c r="S187" i="6"/>
  <c r="R113" i="1"/>
  <c r="AD113" i="1"/>
  <c r="I181" i="9"/>
  <c r="I182" i="9"/>
  <c r="R182" i="9" s="1"/>
  <c r="H180" i="6"/>
  <c r="H181" i="6"/>
  <c r="R181" i="6" s="1"/>
  <c r="M177" i="9"/>
  <c r="Q177" i="9" s="1"/>
  <c r="M176" i="9"/>
  <c r="L176" i="6"/>
  <c r="Q176" i="6" s="1"/>
  <c r="L175" i="6"/>
  <c r="S161" i="9"/>
  <c r="U161" i="9"/>
  <c r="S160" i="6"/>
  <c r="U160" i="6"/>
  <c r="R108" i="1"/>
  <c r="L156" i="9"/>
  <c r="K155" i="6"/>
  <c r="AD107" i="1"/>
  <c r="I155" i="9"/>
  <c r="I156" i="9"/>
  <c r="R156" i="9" s="1"/>
  <c r="H154" i="6"/>
  <c r="S106" i="1"/>
  <c r="U149" i="9"/>
  <c r="S149" i="9"/>
  <c r="U148" i="6"/>
  <c r="S148" i="6"/>
  <c r="T105" i="1"/>
  <c r="M138" i="9"/>
  <c r="Q138" i="9" s="1"/>
  <c r="L137" i="6"/>
  <c r="Q137" i="6" s="1"/>
  <c r="T102" i="1"/>
  <c r="T101" i="1"/>
  <c r="T100" i="1"/>
  <c r="T99" i="1"/>
  <c r="T98" i="1"/>
  <c r="M126" i="9"/>
  <c r="Q126" i="9" s="1"/>
  <c r="L125" i="6"/>
  <c r="Q125" i="6" s="1"/>
  <c r="S118" i="9"/>
  <c r="U118" i="9"/>
  <c r="U117" i="6"/>
  <c r="S117" i="6"/>
  <c r="AD93" i="1"/>
  <c r="P29" i="8"/>
  <c r="S29" i="8"/>
  <c r="T29" i="8" s="1"/>
  <c r="V112" i="9"/>
  <c r="V111" i="6"/>
  <c r="CR92" i="1"/>
  <c r="Q92" i="1" s="1"/>
  <c r="H114" i="9"/>
  <c r="I113" i="9"/>
  <c r="N28" i="8"/>
  <c r="O28" i="8" s="1"/>
  <c r="F23" i="7" s="1"/>
  <c r="G113" i="6"/>
  <c r="K28" i="8"/>
  <c r="M28" i="8" s="1"/>
  <c r="H112" i="6"/>
  <c r="T109" i="9"/>
  <c r="T108" i="6"/>
  <c r="CQ91" i="1"/>
  <c r="P91" i="1" s="1"/>
  <c r="M102" i="9"/>
  <c r="Q102" i="9" s="1"/>
  <c r="L101" i="6"/>
  <c r="Q101" i="6" s="1"/>
  <c r="U94" i="9"/>
  <c r="S94" i="9"/>
  <c r="S93" i="6"/>
  <c r="R85" i="1"/>
  <c r="R84" i="1"/>
  <c r="R83" i="1"/>
  <c r="R82" i="1"/>
  <c r="R81" i="1"/>
  <c r="R80" i="1"/>
  <c r="R79" i="1"/>
  <c r="R78" i="1"/>
  <c r="R77" i="1"/>
  <c r="AD76" i="1"/>
  <c r="I87" i="9"/>
  <c r="R87" i="9" s="1"/>
  <c r="I86" i="9"/>
  <c r="H86" i="6"/>
  <c r="R86" i="6" s="1"/>
  <c r="H85" i="6"/>
  <c r="S75" i="1"/>
  <c r="U75" i="9"/>
  <c r="I81" i="9" s="1"/>
  <c r="I76" i="9"/>
  <c r="R76" i="9" s="1"/>
  <c r="S75" i="9"/>
  <c r="I80" i="9" s="1"/>
  <c r="H83" i="9" s="1"/>
  <c r="S74" i="6"/>
  <c r="H79" i="6" s="1"/>
  <c r="H75" i="6"/>
  <c r="R75" i="6" s="1"/>
  <c r="U74" i="6"/>
  <c r="H80" i="6" s="1"/>
  <c r="F45" i="9"/>
  <c r="D46" i="9"/>
  <c r="C45" i="6"/>
  <c r="E44" i="6"/>
  <c r="L40" i="9"/>
  <c r="K39" i="6"/>
  <c r="AD28" i="1"/>
  <c r="I39" i="9"/>
  <c r="I40" i="9"/>
  <c r="R40" i="9" s="1"/>
  <c r="H39" i="6"/>
  <c r="R39" i="6" s="1"/>
  <c r="H38" i="6"/>
  <c r="DI121" i="3"/>
  <c r="CV118" i="3"/>
  <c r="CX118" i="3"/>
  <c r="CX114" i="3"/>
  <c r="DF109" i="3"/>
  <c r="DJ109" i="3" s="1"/>
  <c r="DG109" i="3"/>
  <c r="CX85" i="3"/>
  <c r="DG81" i="3"/>
  <c r="I41" i="8"/>
  <c r="D44" i="7" s="1"/>
  <c r="DF66" i="3"/>
  <c r="DH66" i="3"/>
  <c r="DF54" i="3"/>
  <c r="DJ54" i="3" s="1"/>
  <c r="DG54" i="3"/>
  <c r="DH54" i="3"/>
  <c r="DI48" i="3"/>
  <c r="DF48" i="3"/>
  <c r="DJ48" i="3" s="1"/>
  <c r="DI36" i="3"/>
  <c r="DG36" i="3"/>
  <c r="DH36" i="3"/>
  <c r="DF35" i="3"/>
  <c r="DJ35" i="3" s="1"/>
  <c r="DG35" i="3"/>
  <c r="DI35" i="3"/>
  <c r="DH35" i="3"/>
  <c r="DF34" i="3"/>
  <c r="DJ34" i="3" s="1"/>
  <c r="DG34" i="3"/>
  <c r="DH34" i="3"/>
  <c r="DI34" i="3"/>
  <c r="DF2" i="3"/>
  <c r="DG2" i="3"/>
  <c r="DH2" i="3"/>
  <c r="DI2" i="3"/>
  <c r="DJ2" i="3" s="1"/>
  <c r="K86" i="6"/>
  <c r="V257" i="6"/>
  <c r="F294" i="9"/>
  <c r="D295" i="9"/>
  <c r="C294" i="6"/>
  <c r="E293" i="6"/>
  <c r="AD183" i="1"/>
  <c r="S70" i="8"/>
  <c r="T70" i="8" s="1"/>
  <c r="P70" i="8"/>
  <c r="Q182" i="1"/>
  <c r="I289" i="9"/>
  <c r="AA289" i="9"/>
  <c r="AA288" i="6"/>
  <c r="H288" i="6"/>
  <c r="V281" i="9"/>
  <c r="V280" i="6"/>
  <c r="L283" i="9"/>
  <c r="K282" i="6"/>
  <c r="I285" i="9"/>
  <c r="H284" i="6"/>
  <c r="R180" i="1"/>
  <c r="AD180" i="1"/>
  <c r="S68" i="8"/>
  <c r="P68" i="8"/>
  <c r="S274" i="9"/>
  <c r="U274" i="9"/>
  <c r="S273" i="6"/>
  <c r="U273" i="6"/>
  <c r="R178" i="1"/>
  <c r="AD178" i="1"/>
  <c r="AB178" i="1" s="1"/>
  <c r="P66" i="8"/>
  <c r="S66" i="8"/>
  <c r="T66" i="8" s="1"/>
  <c r="S267" i="9"/>
  <c r="U267" i="9"/>
  <c r="U266" i="6"/>
  <c r="S266" i="6"/>
  <c r="AD176" i="1"/>
  <c r="P64" i="8"/>
  <c r="R64" i="8" s="1"/>
  <c r="S64" i="8"/>
  <c r="V261" i="9"/>
  <c r="V260" i="6"/>
  <c r="CR175" i="1"/>
  <c r="Q175" i="1" s="1"/>
  <c r="H263" i="9"/>
  <c r="I262" i="9"/>
  <c r="K63" i="8"/>
  <c r="N63" i="8"/>
  <c r="G262" i="6"/>
  <c r="H261" i="6"/>
  <c r="T258" i="9"/>
  <c r="T257" i="6"/>
  <c r="CQ174" i="1"/>
  <c r="P174" i="1" s="1"/>
  <c r="U171" i="1"/>
  <c r="U170" i="1"/>
  <c r="U169" i="1"/>
  <c r="U168" i="1"/>
  <c r="U167" i="1"/>
  <c r="U166" i="1"/>
  <c r="AH186" i="1" s="1"/>
  <c r="M250" i="9"/>
  <c r="M251" i="9"/>
  <c r="Q251" i="9" s="1"/>
  <c r="L249" i="6"/>
  <c r="L250" i="6"/>
  <c r="Q250" i="6" s="1"/>
  <c r="G72" i="1"/>
  <c r="AG219" i="9"/>
  <c r="A219" i="9"/>
  <c r="AG218" i="6"/>
  <c r="A218" i="6"/>
  <c r="T119" i="1"/>
  <c r="T201" i="9"/>
  <c r="T200" i="6"/>
  <c r="P117" i="1"/>
  <c r="Q116" i="1"/>
  <c r="AA199" i="9"/>
  <c r="I199" i="9"/>
  <c r="AA198" i="6"/>
  <c r="H198" i="6"/>
  <c r="V191" i="9"/>
  <c r="V190" i="6"/>
  <c r="I195" i="9"/>
  <c r="H194" i="6"/>
  <c r="AD114" i="1"/>
  <c r="S44" i="8"/>
  <c r="P44" i="8"/>
  <c r="Q113" i="1"/>
  <c r="I183" i="9"/>
  <c r="H182" i="6"/>
  <c r="D165" i="9"/>
  <c r="F164" i="9"/>
  <c r="C164" i="6"/>
  <c r="E163" i="6"/>
  <c r="Q108" i="1"/>
  <c r="V153" i="9"/>
  <c r="L158" i="9" s="1"/>
  <c r="V152" i="6"/>
  <c r="K157" i="6" s="1"/>
  <c r="L155" i="9"/>
  <c r="K154" i="6"/>
  <c r="R106" i="1"/>
  <c r="AD106" i="1"/>
  <c r="AB106" i="1" s="1"/>
  <c r="S40" i="8"/>
  <c r="P40" i="8"/>
  <c r="S105" i="1"/>
  <c r="U147" i="9"/>
  <c r="S147" i="9"/>
  <c r="U146" i="6"/>
  <c r="S146" i="6"/>
  <c r="L140" i="9"/>
  <c r="K139" i="6"/>
  <c r="U139" i="9"/>
  <c r="I145" i="9" s="1"/>
  <c r="I140" i="9"/>
  <c r="R140" i="9" s="1"/>
  <c r="S139" i="9"/>
  <c r="I144" i="9" s="1"/>
  <c r="H139" i="6"/>
  <c r="R139" i="6" s="1"/>
  <c r="U138" i="6"/>
  <c r="H144" i="6" s="1"/>
  <c r="S102" i="1"/>
  <c r="S101" i="1"/>
  <c r="S100" i="1"/>
  <c r="S99" i="1"/>
  <c r="S98" i="1"/>
  <c r="L128" i="9"/>
  <c r="K127" i="6"/>
  <c r="U127" i="9"/>
  <c r="I133" i="9" s="1"/>
  <c r="I128" i="9"/>
  <c r="R128" i="9" s="1"/>
  <c r="S127" i="9"/>
  <c r="I132" i="9" s="1"/>
  <c r="H135" i="9" s="1"/>
  <c r="O135" i="9" s="1"/>
  <c r="H127" i="6"/>
  <c r="R127" i="6" s="1"/>
  <c r="U126" i="6"/>
  <c r="H132" i="6" s="1"/>
  <c r="S126" i="6"/>
  <c r="H131" i="6" s="1"/>
  <c r="S121" i="9"/>
  <c r="U121" i="9"/>
  <c r="S120" i="6"/>
  <c r="AD94" i="1"/>
  <c r="S30" i="8"/>
  <c r="T30" i="8" s="1"/>
  <c r="P30" i="8"/>
  <c r="V115" i="9"/>
  <c r="V114" i="6"/>
  <c r="CR93" i="1"/>
  <c r="Q93" i="1" s="1"/>
  <c r="H117" i="9"/>
  <c r="K29" i="8"/>
  <c r="M29" i="8" s="1"/>
  <c r="I116" i="9"/>
  <c r="N29" i="8"/>
  <c r="E41" i="7" s="1"/>
  <c r="G116" i="6"/>
  <c r="H115" i="6"/>
  <c r="T112" i="9"/>
  <c r="T111" i="6"/>
  <c r="CQ92" i="1"/>
  <c r="P92" i="1" s="1"/>
  <c r="M105" i="9"/>
  <c r="Q105" i="9" s="1"/>
  <c r="L104" i="6"/>
  <c r="Q104" i="6" s="1"/>
  <c r="S97" i="9"/>
  <c r="U97" i="9"/>
  <c r="S96" i="6"/>
  <c r="U96" i="6"/>
  <c r="AD86" i="1"/>
  <c r="S22" i="8"/>
  <c r="P22" i="8"/>
  <c r="R22" i="8" s="1"/>
  <c r="CR85" i="1"/>
  <c r="Q85" i="1" s="1"/>
  <c r="CR84" i="1"/>
  <c r="Q84" i="1" s="1"/>
  <c r="CP84" i="1" s="1"/>
  <c r="O84" i="1" s="1"/>
  <c r="CR83" i="1"/>
  <c r="Q83" i="1" s="1"/>
  <c r="CR82" i="1"/>
  <c r="Q82" i="1" s="1"/>
  <c r="CR81" i="1"/>
  <c r="Q81" i="1" s="1"/>
  <c r="AA92" i="9"/>
  <c r="I92" i="9"/>
  <c r="H91" i="6"/>
  <c r="AA91" i="6"/>
  <c r="CR80" i="1"/>
  <c r="Q80" i="1" s="1"/>
  <c r="CP80" i="1" s="1"/>
  <c r="O80" i="1" s="1"/>
  <c r="CR79" i="1"/>
  <c r="Q79" i="1" s="1"/>
  <c r="CR78" i="1"/>
  <c r="Q78" i="1" s="1"/>
  <c r="CR77" i="1"/>
  <c r="Q77" i="1" s="1"/>
  <c r="CZ76" i="1"/>
  <c r="Y76" i="1" s="1"/>
  <c r="CR76" i="1"/>
  <c r="Q76" i="1" s="1"/>
  <c r="I88" i="9"/>
  <c r="H87" i="6"/>
  <c r="R75" i="1"/>
  <c r="AE121" i="1" s="1"/>
  <c r="AD75" i="1"/>
  <c r="I78" i="9"/>
  <c r="R78" i="9" s="1"/>
  <c r="I77" i="9"/>
  <c r="H76" i="6"/>
  <c r="H77" i="6"/>
  <c r="R77" i="6" s="1"/>
  <c r="M74" i="9"/>
  <c r="Q74" i="9" s="1"/>
  <c r="M73" i="9"/>
  <c r="V29" i="1"/>
  <c r="AI31" i="1" s="1"/>
  <c r="AI26" i="1" s="1"/>
  <c r="CZ28" i="1"/>
  <c r="Y28" i="1" s="1"/>
  <c r="CR28" i="1"/>
  <c r="Q28" i="1" s="1"/>
  <c r="DH121" i="3"/>
  <c r="DF117" i="3"/>
  <c r="DJ117" i="3" s="1"/>
  <c r="DG117" i="3"/>
  <c r="I51" i="8"/>
  <c r="DF52" i="3"/>
  <c r="DJ52" i="3" s="1"/>
  <c r="DH52" i="3"/>
  <c r="D11" i="7"/>
  <c r="DF4" i="3"/>
  <c r="DG4" i="3"/>
  <c r="DJ4" i="3" s="1"/>
  <c r="DI4" i="3"/>
  <c r="DH4" i="3"/>
  <c r="CW3" i="3"/>
  <c r="CX3" i="3"/>
  <c r="L73" i="6"/>
  <c r="Q73" i="6" s="1"/>
  <c r="L134" i="6"/>
  <c r="Q134" i="6" s="1"/>
  <c r="S138" i="6"/>
  <c r="H143" i="6" s="1"/>
  <c r="I52" i="8"/>
  <c r="D13" i="7"/>
  <c r="DF47" i="3"/>
  <c r="DJ47" i="3" s="1"/>
  <c r="DG47" i="3"/>
  <c r="DI47" i="3"/>
  <c r="DF40" i="3"/>
  <c r="DJ40" i="3" s="1"/>
  <c r="DH40" i="3"/>
  <c r="I15" i="8"/>
  <c r="D12" i="7" s="1"/>
  <c r="DH10" i="3"/>
  <c r="DI10" i="3"/>
  <c r="DF9" i="3"/>
  <c r="DG9" i="3"/>
  <c r="DJ9" i="3" s="1"/>
  <c r="DI9" i="3"/>
  <c r="I43" i="8"/>
  <c r="DF27" i="3"/>
  <c r="DG27" i="3"/>
  <c r="DJ27" i="3" s="1"/>
  <c r="DI27" i="3"/>
  <c r="CV24" i="3"/>
  <c r="CX24" i="3"/>
  <c r="DF10" i="3"/>
  <c r="DH9" i="3"/>
  <c r="DI115" i="3"/>
  <c r="DI107" i="3"/>
  <c r="I49" i="8"/>
  <c r="DG87" i="3"/>
  <c r="DG80" i="3"/>
  <c r="I42" i="8"/>
  <c r="D28" i="7" s="1"/>
  <c r="DG67" i="3"/>
  <c r="DJ67" i="3" s="1"/>
  <c r="DG63" i="3"/>
  <c r="DG60" i="3"/>
  <c r="DJ60" i="3" s="1"/>
  <c r="DG56" i="3"/>
  <c r="CX51" i="3"/>
  <c r="CX42" i="3"/>
  <c r="I48" i="8"/>
  <c r="DH53" i="3"/>
  <c r="DI53" i="3"/>
  <c r="DH33" i="3"/>
  <c r="DI33" i="3"/>
  <c r="DH27" i="3"/>
  <c r="I13" i="8"/>
  <c r="DF55" i="3"/>
  <c r="DJ55" i="3" s="1"/>
  <c r="DG55" i="3"/>
  <c r="DG53" i="3"/>
  <c r="CW26" i="3"/>
  <c r="CX26" i="3"/>
  <c r="I12" i="8"/>
  <c r="I14" i="8"/>
  <c r="D15" i="7" s="1"/>
  <c r="D27" i="7"/>
  <c r="D10" i="7"/>
  <c r="I11" i="8"/>
  <c r="D29" i="7" s="1"/>
  <c r="D30" i="7"/>
  <c r="W44" i="9"/>
  <c r="O44" i="9"/>
  <c r="M53" i="9"/>
  <c r="X83" i="9"/>
  <c r="O83" i="9"/>
  <c r="W96" i="9"/>
  <c r="O96" i="9"/>
  <c r="W105" i="9"/>
  <c r="O105" i="9"/>
  <c r="W108" i="9"/>
  <c r="O108" i="9"/>
  <c r="X111" i="9"/>
  <c r="O111" i="9"/>
  <c r="W114" i="9"/>
  <c r="O114" i="9"/>
  <c r="X117" i="9"/>
  <c r="O117" i="9"/>
  <c r="W120" i="9"/>
  <c r="O120" i="9"/>
  <c r="X123" i="9"/>
  <c r="O123" i="9"/>
  <c r="W126" i="9"/>
  <c r="O126" i="9"/>
  <c r="O138" i="9"/>
  <c r="W160" i="9"/>
  <c r="O160" i="9"/>
  <c r="Y162" i="9"/>
  <c r="O162" i="9"/>
  <c r="W190" i="9"/>
  <c r="O190" i="9"/>
  <c r="W204" i="9"/>
  <c r="O204" i="9"/>
  <c r="Z210" i="9"/>
  <c r="O210" i="9"/>
  <c r="X242" i="9"/>
  <c r="O242" i="9"/>
  <c r="W251" i="9"/>
  <c r="O251" i="9"/>
  <c r="W254" i="9"/>
  <c r="O254" i="9"/>
  <c r="W257" i="9"/>
  <c r="O257" i="9"/>
  <c r="W260" i="9"/>
  <c r="O260" i="9"/>
  <c r="W263" i="9"/>
  <c r="O263" i="9"/>
  <c r="W266" i="9"/>
  <c r="O266" i="9"/>
  <c r="W269" i="9"/>
  <c r="O269" i="9"/>
  <c r="X273" i="9"/>
  <c r="O273" i="9"/>
  <c r="W276" i="9"/>
  <c r="O276" i="9"/>
  <c r="W280" i="9"/>
  <c r="O280" i="9"/>
  <c r="W293" i="9"/>
  <c r="O293" i="9"/>
  <c r="O329" i="9"/>
  <c r="L52" i="6"/>
  <c r="X50" i="6"/>
  <c r="W95" i="6"/>
  <c r="O95" i="6"/>
  <c r="W98" i="6"/>
  <c r="O98" i="6"/>
  <c r="W101" i="6"/>
  <c r="O101" i="6"/>
  <c r="W104" i="6"/>
  <c r="O104" i="6"/>
  <c r="X110" i="6"/>
  <c r="O110" i="6"/>
  <c r="W113" i="6"/>
  <c r="O113" i="6"/>
  <c r="X116" i="6"/>
  <c r="O116" i="6"/>
  <c r="W119" i="6"/>
  <c r="O119" i="6"/>
  <c r="X122" i="6"/>
  <c r="O122" i="6"/>
  <c r="W125" i="6"/>
  <c r="O125" i="6"/>
  <c r="W137" i="6"/>
  <c r="O137" i="6"/>
  <c r="W151" i="6"/>
  <c r="O151" i="6"/>
  <c r="W159" i="6"/>
  <c r="O159" i="6"/>
  <c r="Y161" i="6"/>
  <c r="G26" i="6" s="1"/>
  <c r="O161" i="6"/>
  <c r="W169" i="6"/>
  <c r="O169" i="6"/>
  <c r="W176" i="6"/>
  <c r="O176" i="6"/>
  <c r="W189" i="6"/>
  <c r="O189" i="6"/>
  <c r="W256" i="6"/>
  <c r="O256" i="6"/>
  <c r="W259" i="6"/>
  <c r="W262" i="6"/>
  <c r="O262" i="6"/>
  <c r="W268" i="6"/>
  <c r="O268" i="6"/>
  <c r="X272" i="6"/>
  <c r="O272" i="6"/>
  <c r="W275" i="6"/>
  <c r="O275" i="6"/>
  <c r="W279" i="6"/>
  <c r="O279" i="6"/>
  <c r="X300" i="6"/>
  <c r="O300" i="6"/>
  <c r="X328" i="6"/>
  <c r="O328" i="6"/>
  <c r="O9" i="8"/>
  <c r="M9" i="8"/>
  <c r="T9" i="8"/>
  <c r="R9" i="8"/>
  <c r="O10" i="8"/>
  <c r="M10" i="8"/>
  <c r="T10" i="8"/>
  <c r="R10" i="8"/>
  <c r="O11" i="8"/>
  <c r="M11" i="8"/>
  <c r="T11" i="8"/>
  <c r="R11" i="8"/>
  <c r="O12" i="8"/>
  <c r="M12" i="8"/>
  <c r="T12" i="8"/>
  <c r="R12" i="8"/>
  <c r="O13" i="8"/>
  <c r="M13" i="8"/>
  <c r="T13" i="8"/>
  <c r="R13" i="8"/>
  <c r="O14" i="8"/>
  <c r="M14" i="8"/>
  <c r="T14" i="8"/>
  <c r="R14" i="8"/>
  <c r="O15" i="8"/>
  <c r="M15" i="8"/>
  <c r="T15" i="8"/>
  <c r="R15" i="8"/>
  <c r="O16" i="8"/>
  <c r="F39" i="7" s="1"/>
  <c r="M16" i="8"/>
  <c r="T16" i="8"/>
  <c r="R16" i="8"/>
  <c r="O17" i="8"/>
  <c r="M17" i="8"/>
  <c r="T17" i="8"/>
  <c r="R17" i="8"/>
  <c r="O18" i="8"/>
  <c r="M18" i="8"/>
  <c r="T18" i="8"/>
  <c r="R18" i="8"/>
  <c r="O19" i="8"/>
  <c r="M19" i="8"/>
  <c r="T19" i="8"/>
  <c r="R19" i="8"/>
  <c r="O20" i="8"/>
  <c r="M20" i="8"/>
  <c r="T20" i="8"/>
  <c r="R20" i="8"/>
  <c r="O21" i="8"/>
  <c r="F9" i="7" s="1"/>
  <c r="M21" i="8"/>
  <c r="T21" i="8"/>
  <c r="R21" i="8"/>
  <c r="M22" i="8"/>
  <c r="E34" i="7"/>
  <c r="O22" i="8"/>
  <c r="F34" i="7" s="1"/>
  <c r="T22" i="8"/>
  <c r="M23" i="8"/>
  <c r="E31" i="7"/>
  <c r="O23" i="8"/>
  <c r="F31" i="7" s="1"/>
  <c r="R23" i="8"/>
  <c r="T23" i="8"/>
  <c r="M24" i="8"/>
  <c r="E30" i="7"/>
  <c r="O24" i="8"/>
  <c r="R24" i="8"/>
  <c r="T24" i="8"/>
  <c r="M25" i="8"/>
  <c r="E33" i="7"/>
  <c r="O25" i="8"/>
  <c r="R25" i="8"/>
  <c r="M26" i="8"/>
  <c r="E24" i="7"/>
  <c r="O26" i="8"/>
  <c r="R26" i="8"/>
  <c r="T26" i="8"/>
  <c r="M27" i="8"/>
  <c r="E40" i="7"/>
  <c r="O27" i="8"/>
  <c r="F40" i="7" s="1"/>
  <c r="R27" i="8"/>
  <c r="T27" i="8"/>
  <c r="E23" i="7"/>
  <c r="R28" i="8"/>
  <c r="T28" i="8"/>
  <c r="R29" i="8"/>
  <c r="M30" i="8"/>
  <c r="E25" i="7"/>
  <c r="O30" i="8"/>
  <c r="F25" i="7" s="1"/>
  <c r="R30" i="8"/>
  <c r="M31" i="8"/>
  <c r="T31" i="8"/>
  <c r="M32" i="8"/>
  <c r="E45" i="7"/>
  <c r="O32" i="8"/>
  <c r="F45" i="7" s="1"/>
  <c r="R32" i="8"/>
  <c r="T32" i="8"/>
  <c r="O33" i="8"/>
  <c r="M33" i="8"/>
  <c r="T33" i="8"/>
  <c r="R33" i="8"/>
  <c r="O34" i="8"/>
  <c r="M34" i="8"/>
  <c r="T34" i="8"/>
  <c r="R34" i="8"/>
  <c r="O35" i="8"/>
  <c r="M35" i="8"/>
  <c r="T35" i="8"/>
  <c r="R35" i="8"/>
  <c r="O36" i="8"/>
  <c r="M36" i="8"/>
  <c r="T36" i="8"/>
  <c r="R36" i="8"/>
  <c r="O37" i="8"/>
  <c r="M37" i="8"/>
  <c r="T37" i="8"/>
  <c r="R37" i="8"/>
  <c r="M38" i="8"/>
  <c r="O38" i="8"/>
  <c r="R38" i="8"/>
  <c r="T38" i="8"/>
  <c r="O39" i="8"/>
  <c r="M39" i="8"/>
  <c r="T39" i="8"/>
  <c r="R39" i="8"/>
  <c r="M40" i="8"/>
  <c r="E14" i="7"/>
  <c r="O40" i="8"/>
  <c r="R40" i="8"/>
  <c r="T40" i="8"/>
  <c r="O41" i="8"/>
  <c r="M41" i="8"/>
  <c r="T41" i="8"/>
  <c r="R41" i="8"/>
  <c r="O42" i="8"/>
  <c r="F28" i="7" s="1"/>
  <c r="M42" i="8"/>
  <c r="T42" i="8"/>
  <c r="R42" i="8"/>
  <c r="O43" i="8"/>
  <c r="M43" i="8"/>
  <c r="T43" i="8"/>
  <c r="R43" i="8"/>
  <c r="M44" i="8"/>
  <c r="R44" i="8"/>
  <c r="T44" i="8"/>
  <c r="O45" i="8"/>
  <c r="M45" i="8"/>
  <c r="T45" i="8"/>
  <c r="R45" i="8"/>
  <c r="M46" i="8"/>
  <c r="R46" i="8"/>
  <c r="O48" i="8"/>
  <c r="M48" i="8"/>
  <c r="T48" i="8"/>
  <c r="R48" i="8"/>
  <c r="O49" i="8"/>
  <c r="M49" i="8"/>
  <c r="T49" i="8"/>
  <c r="R49" i="8"/>
  <c r="O50" i="8"/>
  <c r="M50" i="8"/>
  <c r="T50" i="8"/>
  <c r="R50" i="8"/>
  <c r="O51" i="8"/>
  <c r="M51" i="8"/>
  <c r="T51" i="8"/>
  <c r="R51" i="8"/>
  <c r="O52" i="8"/>
  <c r="M52" i="8"/>
  <c r="T52" i="8"/>
  <c r="R52" i="8"/>
  <c r="O53" i="8"/>
  <c r="M53" i="8"/>
  <c r="T53" i="8"/>
  <c r="R53" i="8"/>
  <c r="O54" i="8"/>
  <c r="M54" i="8"/>
  <c r="T54" i="8"/>
  <c r="R54" i="8"/>
  <c r="O55" i="8"/>
  <c r="M55" i="8"/>
  <c r="T55" i="8"/>
  <c r="R55" i="8"/>
  <c r="O56" i="8"/>
  <c r="M56" i="8"/>
  <c r="T56" i="8"/>
  <c r="R56" i="8"/>
  <c r="O57" i="8"/>
  <c r="M57" i="8"/>
  <c r="T57" i="8"/>
  <c r="R57" i="8"/>
  <c r="O58" i="8"/>
  <c r="M58" i="8"/>
  <c r="T58" i="8"/>
  <c r="R58" i="8"/>
  <c r="O59" i="8"/>
  <c r="M59" i="8"/>
  <c r="T59" i="8"/>
  <c r="R59" i="8"/>
  <c r="M60" i="8"/>
  <c r="E32" i="7"/>
  <c r="O60" i="8"/>
  <c r="F32" i="7" s="1"/>
  <c r="R60" i="8"/>
  <c r="T60" i="8"/>
  <c r="O61" i="8"/>
  <c r="R61" i="8"/>
  <c r="T61" i="8"/>
  <c r="M62" i="8"/>
  <c r="O62" i="8"/>
  <c r="R62" i="8"/>
  <c r="T62" i="8"/>
  <c r="M63" i="8"/>
  <c r="O63" i="8"/>
  <c r="R63" i="8"/>
  <c r="T63" i="8"/>
  <c r="M64" i="8"/>
  <c r="E46" i="7"/>
  <c r="O64" i="8"/>
  <c r="F46" i="7" s="1"/>
  <c r="T64" i="8"/>
  <c r="M65" i="8"/>
  <c r="E47" i="7"/>
  <c r="O65" i="8"/>
  <c r="F47" i="7" s="1"/>
  <c r="R65" i="8"/>
  <c r="T65" i="8"/>
  <c r="M66" i="8"/>
  <c r="E36" i="7"/>
  <c r="O66" i="8"/>
  <c r="F36" i="7" s="1"/>
  <c r="R66" i="8"/>
  <c r="M67" i="8"/>
  <c r="E26" i="7"/>
  <c r="O67" i="8"/>
  <c r="F26" i="7" s="1"/>
  <c r="R67" i="8"/>
  <c r="T67" i="8"/>
  <c r="M68" i="8"/>
  <c r="R68" i="8"/>
  <c r="T68" i="8"/>
  <c r="O69" i="8"/>
  <c r="M69" i="8"/>
  <c r="T69" i="8"/>
  <c r="R69" i="8"/>
  <c r="M70" i="8"/>
  <c r="O70" i="8"/>
  <c r="R70" i="8"/>
  <c r="O71" i="8"/>
  <c r="M71" i="8"/>
  <c r="T71" i="8"/>
  <c r="R71" i="8"/>
  <c r="O73" i="8"/>
  <c r="F38" i="7" s="1"/>
  <c r="M73" i="8"/>
  <c r="T73" i="8"/>
  <c r="R73" i="8"/>
  <c r="O74" i="8"/>
  <c r="F37" i="7" s="1"/>
  <c r="M74" i="8"/>
  <c r="T74" i="8"/>
  <c r="R74" i="8"/>
  <c r="O75" i="8"/>
  <c r="M75" i="8"/>
  <c r="T75" i="8"/>
  <c r="R75" i="8"/>
  <c r="O76" i="8"/>
  <c r="M76" i="8"/>
  <c r="T76" i="8"/>
  <c r="R76" i="8"/>
  <c r="O77" i="8"/>
  <c r="F16" i="7" s="1"/>
  <c r="M77" i="8"/>
  <c r="T77" i="8"/>
  <c r="R77" i="8"/>
  <c r="O78" i="8"/>
  <c r="M78" i="8"/>
  <c r="T78" i="8"/>
  <c r="R78" i="8"/>
  <c r="M79" i="8"/>
  <c r="E42" i="7"/>
  <c r="O79" i="8"/>
  <c r="F42" i="7" s="1"/>
  <c r="R79" i="8"/>
  <c r="T79" i="8"/>
  <c r="CM227" i="1"/>
  <c r="BD235" i="1"/>
  <c r="CL227" i="1"/>
  <c r="BC235" i="1"/>
  <c r="CK227" i="1"/>
  <c r="BB235" i="1"/>
  <c r="CI227" i="1"/>
  <c r="AZ235" i="1"/>
  <c r="CG227" i="1"/>
  <c r="AX235" i="1"/>
  <c r="CD227" i="1"/>
  <c r="AU235" i="1"/>
  <c r="BZ227" i="1"/>
  <c r="AQ235" i="1"/>
  <c r="BY227" i="1"/>
  <c r="AP235" i="1"/>
  <c r="BX227" i="1"/>
  <c r="AO235" i="1"/>
  <c r="T235" i="1"/>
  <c r="AF227" i="1"/>
  <c r="S235" i="1"/>
  <c r="AC227" i="1"/>
  <c r="P235" i="1"/>
  <c r="CP233" i="1"/>
  <c r="O233" i="1" s="1"/>
  <c r="AB233" i="1"/>
  <c r="CP232" i="1"/>
  <c r="O232" i="1" s="1"/>
  <c r="AB232" i="1"/>
  <c r="CP231" i="1"/>
  <c r="O231" i="1" s="1"/>
  <c r="AB231" i="1"/>
  <c r="CP230" i="1"/>
  <c r="O230" i="1" s="1"/>
  <c r="AB230" i="1"/>
  <c r="CP229" i="1"/>
  <c r="O229" i="1" s="1"/>
  <c r="AB229" i="1"/>
  <c r="CU127" i="3"/>
  <c r="CV127" i="3"/>
  <c r="CX127" i="3"/>
  <c r="CX128" i="3"/>
  <c r="CW129" i="3"/>
  <c r="CX129" i="3"/>
  <c r="CW130" i="3"/>
  <c r="CX130" i="3"/>
  <c r="CW131" i="3"/>
  <c r="CX131" i="3"/>
  <c r="CX132" i="3"/>
  <c r="CX133" i="3"/>
  <c r="CX134" i="3"/>
  <c r="CX135" i="3"/>
  <c r="CX136" i="3"/>
  <c r="CX137" i="3"/>
  <c r="CX138" i="3"/>
  <c r="CX139" i="3"/>
  <c r="CX140" i="3"/>
  <c r="CM162" i="1"/>
  <c r="BD186" i="1"/>
  <c r="CL162" i="1"/>
  <c r="BC186" i="1"/>
  <c r="CK162" i="1"/>
  <c r="BB186" i="1"/>
  <c r="CI162" i="1"/>
  <c r="AZ186" i="1"/>
  <c r="CG162" i="1"/>
  <c r="AX186" i="1"/>
  <c r="CD162" i="1"/>
  <c r="AU186" i="1"/>
  <c r="BZ162" i="1"/>
  <c r="AQ186" i="1"/>
  <c r="BY162" i="1"/>
  <c r="AP186" i="1"/>
  <c r="BX162" i="1"/>
  <c r="AO186" i="1"/>
  <c r="CP184" i="1"/>
  <c r="O184" i="1" s="1"/>
  <c r="AB184" i="1"/>
  <c r="CU125" i="3"/>
  <c r="CV125" i="3"/>
  <c r="CX125" i="3"/>
  <c r="CX126" i="3"/>
  <c r="CP183" i="1"/>
  <c r="O183" i="1" s="1"/>
  <c r="AB183" i="1"/>
  <c r="CP182" i="1"/>
  <c r="O182" i="1" s="1"/>
  <c r="AB182" i="1"/>
  <c r="CP181" i="1"/>
  <c r="O181" i="1" s="1"/>
  <c r="GM181" i="1" s="1"/>
  <c r="GN181" i="1" s="1"/>
  <c r="AB181" i="1"/>
  <c r="CP180" i="1"/>
  <c r="O180" i="1" s="1"/>
  <c r="AB180" i="1"/>
  <c r="CP179" i="1"/>
  <c r="O179" i="1" s="1"/>
  <c r="AB179" i="1"/>
  <c r="CP178" i="1"/>
  <c r="O178" i="1" s="1"/>
  <c r="CP177" i="1"/>
  <c r="O177" i="1" s="1"/>
  <c r="AB177" i="1"/>
  <c r="CP176" i="1"/>
  <c r="O176" i="1" s="1"/>
  <c r="AB176" i="1"/>
  <c r="CP175" i="1"/>
  <c r="O175" i="1" s="1"/>
  <c r="AB175" i="1"/>
  <c r="AB174" i="1"/>
  <c r="CP173" i="1"/>
  <c r="O173" i="1" s="1"/>
  <c r="AB173" i="1"/>
  <c r="CP172" i="1"/>
  <c r="O172" i="1" s="1"/>
  <c r="AB172" i="1"/>
  <c r="CP171" i="1"/>
  <c r="O171" i="1" s="1"/>
  <c r="GM171" i="1" s="1"/>
  <c r="GN171" i="1" s="1"/>
  <c r="AB171" i="1"/>
  <c r="CP170" i="1"/>
  <c r="O170" i="1" s="1"/>
  <c r="AB170" i="1"/>
  <c r="CP169" i="1"/>
  <c r="O169" i="1" s="1"/>
  <c r="AB169" i="1"/>
  <c r="CP168" i="1"/>
  <c r="O168" i="1" s="1"/>
  <c r="AB168" i="1"/>
  <c r="CP167" i="1"/>
  <c r="O167" i="1" s="1"/>
  <c r="GM167" i="1" s="1"/>
  <c r="GN167" i="1" s="1"/>
  <c r="AB167" i="1"/>
  <c r="AB166" i="1"/>
  <c r="CP165" i="1"/>
  <c r="O165" i="1" s="1"/>
  <c r="CP164" i="1"/>
  <c r="O164" i="1" s="1"/>
  <c r="AB164" i="1"/>
  <c r="CU91" i="3"/>
  <c r="CV91" i="3"/>
  <c r="CX91" i="3"/>
  <c r="CX92" i="3"/>
  <c r="CW93" i="3"/>
  <c r="CX93" i="3"/>
  <c r="CW94" i="3"/>
  <c r="CX94" i="3"/>
  <c r="CW95" i="3"/>
  <c r="CX95" i="3"/>
  <c r="CX96" i="3"/>
  <c r="CX97" i="3"/>
  <c r="CX98" i="3"/>
  <c r="CX99" i="3"/>
  <c r="CX100" i="3"/>
  <c r="CX101" i="3"/>
  <c r="CX102" i="3"/>
  <c r="CM72" i="1"/>
  <c r="BD121" i="1"/>
  <c r="CL72" i="1"/>
  <c r="BC121" i="1"/>
  <c r="CK72" i="1"/>
  <c r="BB121" i="1"/>
  <c r="CG72" i="1"/>
  <c r="AX121" i="1"/>
  <c r="BZ72" i="1"/>
  <c r="AQ121" i="1"/>
  <c r="BX72" i="1"/>
  <c r="AO121" i="1"/>
  <c r="CP119" i="1"/>
  <c r="O119" i="1" s="1"/>
  <c r="GM119" i="1" s="1"/>
  <c r="GP119" i="1" s="1"/>
  <c r="AB119" i="1"/>
  <c r="CU89" i="3"/>
  <c r="CV89" i="3"/>
  <c r="CX89" i="3"/>
  <c r="CU90" i="3"/>
  <c r="CV90" i="3"/>
  <c r="CX90" i="3"/>
  <c r="CP118" i="1"/>
  <c r="O118" i="1" s="1"/>
  <c r="AB118" i="1"/>
  <c r="CP117" i="1"/>
  <c r="O117" i="1" s="1"/>
  <c r="AB117" i="1"/>
  <c r="CP116" i="1"/>
  <c r="O116" i="1" s="1"/>
  <c r="AB116" i="1"/>
  <c r="CP115" i="1"/>
  <c r="O115" i="1" s="1"/>
  <c r="GM115" i="1" s="1"/>
  <c r="GN115" i="1" s="1"/>
  <c r="AB115" i="1"/>
  <c r="CP114" i="1"/>
  <c r="O114" i="1" s="1"/>
  <c r="AB114" i="1"/>
  <c r="CP113" i="1"/>
  <c r="O113" i="1" s="1"/>
  <c r="AB113" i="1"/>
  <c r="CU72" i="3"/>
  <c r="CV72" i="3"/>
  <c r="CX72" i="3"/>
  <c r="CX73" i="3"/>
  <c r="CW74" i="3"/>
  <c r="CX74" i="3"/>
  <c r="CW75" i="3"/>
  <c r="CX75" i="3"/>
  <c r="CW76" i="3"/>
  <c r="CX76" i="3"/>
  <c r="CX77" i="3"/>
  <c r="CX78" i="3"/>
  <c r="CX79" i="3"/>
  <c r="CP112" i="1"/>
  <c r="O112" i="1" s="1"/>
  <c r="AB112" i="1"/>
  <c r="CU71" i="3"/>
  <c r="CV71" i="3"/>
  <c r="CX71" i="3"/>
  <c r="CP111" i="1"/>
  <c r="O111" i="1" s="1"/>
  <c r="AB111" i="1"/>
  <c r="CU70" i="3"/>
  <c r="CV70" i="3"/>
  <c r="CX70" i="3"/>
  <c r="CP109" i="1"/>
  <c r="O109" i="1" s="1"/>
  <c r="AB109" i="1"/>
  <c r="CP108" i="1"/>
  <c r="O108" i="1" s="1"/>
  <c r="AB108" i="1"/>
  <c r="CP107" i="1"/>
  <c r="O107" i="1" s="1"/>
  <c r="GM107" i="1" s="1"/>
  <c r="GN107" i="1" s="1"/>
  <c r="AB107" i="1"/>
  <c r="CP106" i="1"/>
  <c r="O106" i="1" s="1"/>
  <c r="CP105" i="1"/>
  <c r="O105" i="1" s="1"/>
  <c r="AB105" i="1"/>
  <c r="CP104" i="1"/>
  <c r="O104" i="1" s="1"/>
  <c r="GM104" i="1" s="1"/>
  <c r="GN104" i="1" s="1"/>
  <c r="AB104" i="1"/>
  <c r="CP103" i="1"/>
  <c r="O103" i="1" s="1"/>
  <c r="AB103" i="1"/>
  <c r="CP102" i="1"/>
  <c r="O102" i="1" s="1"/>
  <c r="AB102" i="1"/>
  <c r="AB101" i="1"/>
  <c r="CP100" i="1"/>
  <c r="O100" i="1" s="1"/>
  <c r="AB100" i="1"/>
  <c r="CP99" i="1"/>
  <c r="O99" i="1" s="1"/>
  <c r="AB99" i="1"/>
  <c r="CP98" i="1"/>
  <c r="O98" i="1" s="1"/>
  <c r="AB98" i="1"/>
  <c r="CP97" i="1"/>
  <c r="O97" i="1" s="1"/>
  <c r="GM97" i="1" s="1"/>
  <c r="GN97" i="1" s="1"/>
  <c r="AB96" i="1"/>
  <c r="CP95" i="1"/>
  <c r="O95" i="1" s="1"/>
  <c r="AB95" i="1"/>
  <c r="CP94" i="1"/>
  <c r="O94" i="1" s="1"/>
  <c r="AB94" i="1"/>
  <c r="CP93" i="1"/>
  <c r="O93" i="1" s="1"/>
  <c r="AB93" i="1"/>
  <c r="CP92" i="1"/>
  <c r="O92" i="1" s="1"/>
  <c r="AB92" i="1"/>
  <c r="CP91" i="1"/>
  <c r="O91" i="1" s="1"/>
  <c r="AB91" i="1"/>
  <c r="CP90" i="1"/>
  <c r="O90" i="1" s="1"/>
  <c r="AB90" i="1"/>
  <c r="AB89" i="1"/>
  <c r="CP88" i="1"/>
  <c r="O88" i="1" s="1"/>
  <c r="AB88" i="1"/>
  <c r="AB87" i="1"/>
  <c r="CP86" i="1"/>
  <c r="O86" i="1" s="1"/>
  <c r="AB86" i="1"/>
  <c r="CP85" i="1"/>
  <c r="O85" i="1" s="1"/>
  <c r="AB85" i="1"/>
  <c r="AB84" i="1"/>
  <c r="CP83" i="1"/>
  <c r="O83" i="1" s="1"/>
  <c r="AB83" i="1"/>
  <c r="CP82" i="1"/>
  <c r="O82" i="1" s="1"/>
  <c r="AB82" i="1"/>
  <c r="CP81" i="1"/>
  <c r="O81" i="1" s="1"/>
  <c r="AB81" i="1"/>
  <c r="AB80" i="1"/>
  <c r="CP79" i="1"/>
  <c r="O79" i="1" s="1"/>
  <c r="AB79" i="1"/>
  <c r="CP78" i="1"/>
  <c r="O78" i="1" s="1"/>
  <c r="AB78" i="1"/>
  <c r="CP77" i="1"/>
  <c r="O77" i="1" s="1"/>
  <c r="AB77" i="1"/>
  <c r="CP76" i="1"/>
  <c r="O76" i="1" s="1"/>
  <c r="GM76" i="1" s="1"/>
  <c r="GN76" i="1" s="1"/>
  <c r="AB76" i="1"/>
  <c r="AB75" i="1"/>
  <c r="CU12" i="3"/>
  <c r="CV12" i="3"/>
  <c r="CX12" i="3"/>
  <c r="CX13" i="3"/>
  <c r="CW14" i="3"/>
  <c r="CX14" i="3"/>
  <c r="CW15" i="3"/>
  <c r="CX15" i="3"/>
  <c r="CW16" i="3"/>
  <c r="CX16" i="3"/>
  <c r="CX17" i="3"/>
  <c r="CX18" i="3"/>
  <c r="CX19" i="3"/>
  <c r="CX20" i="3"/>
  <c r="CX21" i="3"/>
  <c r="CX22" i="3"/>
  <c r="CX23" i="3"/>
  <c r="CP74" i="1"/>
  <c r="O74" i="1" s="1"/>
  <c r="CM26" i="1"/>
  <c r="BD31" i="1"/>
  <c r="CL26" i="1"/>
  <c r="BC31" i="1"/>
  <c r="CK26" i="1"/>
  <c r="BB31" i="1"/>
  <c r="CJ26" i="1"/>
  <c r="BA31" i="1"/>
  <c r="CI26" i="1"/>
  <c r="AZ31" i="1"/>
  <c r="CH26" i="1"/>
  <c r="AY31" i="1"/>
  <c r="CG26" i="1"/>
  <c r="AX31" i="1"/>
  <c r="CF26" i="1"/>
  <c r="AW31" i="1"/>
  <c r="CE26" i="1"/>
  <c r="AV31" i="1"/>
  <c r="CD26" i="1"/>
  <c r="AU31" i="1"/>
  <c r="BZ26" i="1"/>
  <c r="AQ31" i="1"/>
  <c r="BY26" i="1"/>
  <c r="AP31" i="1"/>
  <c r="BX26" i="1"/>
  <c r="AO31" i="1"/>
  <c r="AJ26" i="1"/>
  <c r="W31" i="1"/>
  <c r="AH26" i="1"/>
  <c r="U31" i="1"/>
  <c r="AG26" i="1"/>
  <c r="T31" i="1"/>
  <c r="AC26" i="1"/>
  <c r="P31" i="1"/>
  <c r="CP29" i="1"/>
  <c r="O29" i="1" s="1"/>
  <c r="AB29" i="1"/>
  <c r="CU5" i="3"/>
  <c r="CV5" i="3"/>
  <c r="CX5" i="3"/>
  <c r="CX6" i="3"/>
  <c r="CP28" i="1"/>
  <c r="O28" i="1" s="1"/>
  <c r="AB28" i="1"/>
  <c r="O265" i="6" l="1"/>
  <c r="O253" i="6"/>
  <c r="H285" i="6"/>
  <c r="G73" i="6"/>
  <c r="W73" i="6" s="1"/>
  <c r="AH162" i="1"/>
  <c r="U186" i="1"/>
  <c r="T294" i="9"/>
  <c r="L298" i="9" s="1"/>
  <c r="T293" i="6"/>
  <c r="K297" i="6" s="1"/>
  <c r="W121" i="1"/>
  <c r="AJ72" i="1"/>
  <c r="AG162" i="1"/>
  <c r="T186" i="1"/>
  <c r="V121" i="1"/>
  <c r="AI72" i="1"/>
  <c r="CJ162" i="1"/>
  <c r="BA186" i="1"/>
  <c r="Q235" i="1"/>
  <c r="Q227" i="1" s="1"/>
  <c r="AD227" i="1"/>
  <c r="CE121" i="1"/>
  <c r="AC72" i="1"/>
  <c r="P121" i="1"/>
  <c r="R121" i="1"/>
  <c r="AE72" i="1"/>
  <c r="O43" i="6"/>
  <c r="W43" i="6"/>
  <c r="BA121" i="1"/>
  <c r="BA72" i="1" s="1"/>
  <c r="CJ72" i="1"/>
  <c r="T164" i="9"/>
  <c r="L167" i="9" s="1"/>
  <c r="T163" i="6"/>
  <c r="K166" i="6" s="1"/>
  <c r="GM96" i="1"/>
  <c r="GN96" i="1" s="1"/>
  <c r="K126" i="9"/>
  <c r="P126" i="9" s="1"/>
  <c r="J125" i="6"/>
  <c r="P125" i="6" s="1"/>
  <c r="T205" i="9"/>
  <c r="L207" i="9" s="1"/>
  <c r="T204" i="6"/>
  <c r="K206" i="6" s="1"/>
  <c r="GM174" i="1"/>
  <c r="GN174" i="1" s="1"/>
  <c r="K260" i="9"/>
  <c r="P260" i="9" s="1"/>
  <c r="J259" i="6"/>
  <c r="P259" i="6" s="1"/>
  <c r="GM94" i="1"/>
  <c r="GN94" i="1" s="1"/>
  <c r="K120" i="9"/>
  <c r="P120" i="9" s="1"/>
  <c r="J119" i="6"/>
  <c r="P119" i="6" s="1"/>
  <c r="GM172" i="1"/>
  <c r="GN172" i="1" s="1"/>
  <c r="K254" i="9"/>
  <c r="P254" i="9" s="1"/>
  <c r="J253" i="6"/>
  <c r="P253" i="6" s="1"/>
  <c r="CY101" i="1"/>
  <c r="X101" i="1" s="1"/>
  <c r="GM101" i="1" s="1"/>
  <c r="GN101" i="1" s="1"/>
  <c r="CZ101" i="1"/>
  <c r="Y101" i="1" s="1"/>
  <c r="DG1" i="3"/>
  <c r="DH1" i="3"/>
  <c r="DF1" i="3"/>
  <c r="DI1" i="3"/>
  <c r="DJ1" i="3" s="1"/>
  <c r="L104" i="9"/>
  <c r="K103" i="6"/>
  <c r="GM113" i="1"/>
  <c r="GO113" i="1" s="1"/>
  <c r="GM117" i="1"/>
  <c r="GN117" i="1" s="1"/>
  <c r="K204" i="9"/>
  <c r="P204" i="9" s="1"/>
  <c r="J203" i="6"/>
  <c r="P203" i="6" s="1"/>
  <c r="GM233" i="1"/>
  <c r="GO233" i="1" s="1"/>
  <c r="CC235" i="1" s="1"/>
  <c r="K329" i="9"/>
  <c r="P329" i="9" s="1"/>
  <c r="J328" i="6"/>
  <c r="P328" i="6" s="1"/>
  <c r="W107" i="6"/>
  <c r="W99" i="9"/>
  <c r="D19" i="7"/>
  <c r="V37" i="9"/>
  <c r="L42" i="9" s="1"/>
  <c r="V36" i="6"/>
  <c r="K41" i="6" s="1"/>
  <c r="J43" i="6" s="1"/>
  <c r="P43" i="6" s="1"/>
  <c r="CY100" i="1"/>
  <c r="X100" i="1" s="1"/>
  <c r="CZ100" i="1"/>
  <c r="Y100" i="1" s="1"/>
  <c r="DH110" i="3"/>
  <c r="DI110" i="3"/>
  <c r="DF110" i="3"/>
  <c r="DJ110" i="3" s="1"/>
  <c r="DG110" i="3"/>
  <c r="H187" i="9"/>
  <c r="I197" i="9"/>
  <c r="CZ116" i="1"/>
  <c r="Y116" i="1" s="1"/>
  <c r="CY116" i="1"/>
  <c r="X116" i="1" s="1"/>
  <c r="I286" i="9"/>
  <c r="H290" i="9" s="1"/>
  <c r="H51" i="9"/>
  <c r="G209" i="6"/>
  <c r="L122" i="9"/>
  <c r="K121" i="6"/>
  <c r="M186" i="9"/>
  <c r="M187" i="9"/>
  <c r="Q187" i="9" s="1"/>
  <c r="L186" i="6"/>
  <c r="Q186" i="6" s="1"/>
  <c r="L185" i="6"/>
  <c r="M325" i="9"/>
  <c r="M326" i="9"/>
  <c r="Q326" i="9" s="1"/>
  <c r="M331" i="9" s="1"/>
  <c r="L324" i="6"/>
  <c r="L325" i="6"/>
  <c r="Q325" i="6" s="1"/>
  <c r="L330" i="6" s="1"/>
  <c r="AH235" i="1"/>
  <c r="H217" i="9"/>
  <c r="L238" i="9"/>
  <c r="K237" i="6"/>
  <c r="AC186" i="1"/>
  <c r="GM90" i="1"/>
  <c r="GN90" i="1" s="1"/>
  <c r="K108" i="9"/>
  <c r="P108" i="9" s="1"/>
  <c r="J107" i="6"/>
  <c r="P107" i="6" s="1"/>
  <c r="GM176" i="1"/>
  <c r="GN176" i="1" s="1"/>
  <c r="K266" i="9"/>
  <c r="P266" i="9" s="1"/>
  <c r="J265" i="6"/>
  <c r="P265" i="6" s="1"/>
  <c r="V164" i="9"/>
  <c r="L168" i="9" s="1"/>
  <c r="V163" i="6"/>
  <c r="K167" i="6" s="1"/>
  <c r="GM114" i="1"/>
  <c r="GN114" i="1" s="1"/>
  <c r="K190" i="9"/>
  <c r="P190" i="9" s="1"/>
  <c r="J189" i="6"/>
  <c r="P189" i="6" s="1"/>
  <c r="O68" i="8"/>
  <c r="F22" i="7" s="1"/>
  <c r="DG3" i="3"/>
  <c r="DJ3" i="3" s="1"/>
  <c r="DH3" i="3"/>
  <c r="DF3" i="3"/>
  <c r="DI3" i="3"/>
  <c r="CY102" i="1"/>
  <c r="X102" i="1" s="1"/>
  <c r="CZ102" i="1"/>
  <c r="Y102" i="1" s="1"/>
  <c r="M152" i="9"/>
  <c r="Q152" i="9" s="1"/>
  <c r="L151" i="6"/>
  <c r="Q151" i="6" s="1"/>
  <c r="T67" i="9"/>
  <c r="L71" i="9" s="1"/>
  <c r="T66" i="6"/>
  <c r="K70" i="6" s="1"/>
  <c r="H74" i="9"/>
  <c r="H170" i="9"/>
  <c r="L244" i="9"/>
  <c r="K243" i="6"/>
  <c r="CZ165" i="1"/>
  <c r="Y165" i="1" s="1"/>
  <c r="CY165" i="1"/>
  <c r="X165" i="1" s="1"/>
  <c r="AI235" i="1"/>
  <c r="G250" i="6"/>
  <c r="AJ235" i="1"/>
  <c r="DF57" i="3"/>
  <c r="DG57" i="3"/>
  <c r="DH57" i="3"/>
  <c r="DI57" i="3"/>
  <c r="DJ57" i="3" s="1"/>
  <c r="M273" i="9"/>
  <c r="Q273" i="9" s="1"/>
  <c r="L272" i="6"/>
  <c r="Q272" i="6" s="1"/>
  <c r="G241" i="6"/>
  <c r="AD186" i="1"/>
  <c r="GM86" i="1"/>
  <c r="GN86" i="1" s="1"/>
  <c r="K96" i="9"/>
  <c r="P96" i="9" s="1"/>
  <c r="J95" i="6"/>
  <c r="P95" i="6" s="1"/>
  <c r="GM106" i="1"/>
  <c r="GN106" i="1" s="1"/>
  <c r="K152" i="9"/>
  <c r="P152" i="9" s="1"/>
  <c r="J151" i="6"/>
  <c r="P151" i="6" s="1"/>
  <c r="GM180" i="1"/>
  <c r="GN180" i="1" s="1"/>
  <c r="K280" i="9"/>
  <c r="P280" i="9" s="1"/>
  <c r="J279" i="6"/>
  <c r="P279" i="6" s="1"/>
  <c r="L98" i="9"/>
  <c r="K97" i="6"/>
  <c r="GM103" i="1"/>
  <c r="GN103" i="1" s="1"/>
  <c r="K138" i="9"/>
  <c r="P138" i="9" s="1"/>
  <c r="J137" i="6"/>
  <c r="P137" i="6" s="1"/>
  <c r="GM169" i="1"/>
  <c r="GN169" i="1" s="1"/>
  <c r="L203" i="9"/>
  <c r="K202" i="6"/>
  <c r="L182" i="9"/>
  <c r="K181" i="6"/>
  <c r="AG121" i="1"/>
  <c r="CZ81" i="1"/>
  <c r="Y81" i="1" s="1"/>
  <c r="CY81" i="1"/>
  <c r="X81" i="1" s="1"/>
  <c r="CZ108" i="1"/>
  <c r="Y108" i="1" s="1"/>
  <c r="GM108" i="1" s="1"/>
  <c r="GN108" i="1" s="1"/>
  <c r="CY108" i="1"/>
  <c r="X108" i="1" s="1"/>
  <c r="L180" i="9"/>
  <c r="CZ113" i="1"/>
  <c r="Y113" i="1" s="1"/>
  <c r="CY113" i="1"/>
  <c r="X113" i="1" s="1"/>
  <c r="K179" i="6"/>
  <c r="L47" i="9"/>
  <c r="K46" i="6"/>
  <c r="CY29" i="1"/>
  <c r="X29" i="1" s="1"/>
  <c r="AF31" i="1"/>
  <c r="CZ29" i="1"/>
  <c r="Y29" i="1" s="1"/>
  <c r="L272" i="9"/>
  <c r="K271" i="6"/>
  <c r="L321" i="9"/>
  <c r="K320" i="6"/>
  <c r="AE235" i="1"/>
  <c r="V67" i="9"/>
  <c r="L72" i="9" s="1"/>
  <c r="V66" i="6"/>
  <c r="K71" i="6" s="1"/>
  <c r="L237" i="9"/>
  <c r="K236" i="6"/>
  <c r="AE186" i="1"/>
  <c r="M280" i="9"/>
  <c r="Q280" i="9" s="1"/>
  <c r="L279" i="6"/>
  <c r="Q279" i="6" s="1"/>
  <c r="L302" i="6" s="1"/>
  <c r="V211" i="9"/>
  <c r="L215" i="9" s="1"/>
  <c r="V210" i="6"/>
  <c r="K214" i="6" s="1"/>
  <c r="GM102" i="1"/>
  <c r="GN102" i="1" s="1"/>
  <c r="DG26" i="3"/>
  <c r="DJ26" i="3" s="1"/>
  <c r="DH26" i="3"/>
  <c r="DF26" i="3"/>
  <c r="DI26" i="3"/>
  <c r="L76" i="9"/>
  <c r="K75" i="6"/>
  <c r="CY75" i="1"/>
  <c r="X75" i="1" s="1"/>
  <c r="CZ75" i="1"/>
  <c r="Y75" i="1" s="1"/>
  <c r="M217" i="9"/>
  <c r="Q217" i="9" s="1"/>
  <c r="M216" i="9"/>
  <c r="L216" i="6"/>
  <c r="Q216" i="6" s="1"/>
  <c r="L215" i="6"/>
  <c r="CP75" i="1"/>
  <c r="O75" i="1" s="1"/>
  <c r="O31" i="8"/>
  <c r="F43" i="7" s="1"/>
  <c r="DG24" i="3"/>
  <c r="DH24" i="3"/>
  <c r="DF24" i="3"/>
  <c r="DI24" i="3"/>
  <c r="DJ24" i="3" s="1"/>
  <c r="GM111" i="1"/>
  <c r="GN111" i="1" s="1"/>
  <c r="GM231" i="1"/>
  <c r="GN231" i="1" s="1"/>
  <c r="O44" i="8"/>
  <c r="F21" i="7" s="1"/>
  <c r="W203" i="6"/>
  <c r="W326" i="9"/>
  <c r="W135" i="9"/>
  <c r="W93" i="9"/>
  <c r="L86" i="9"/>
  <c r="K85" i="6"/>
  <c r="L113" i="9"/>
  <c r="K112" i="6"/>
  <c r="DF114" i="3"/>
  <c r="DJ114" i="3" s="1"/>
  <c r="DI114" i="3"/>
  <c r="DG114" i="3"/>
  <c r="DH114" i="3"/>
  <c r="L256" i="9"/>
  <c r="K255" i="6"/>
  <c r="G29" i="6"/>
  <c r="CZ77" i="1"/>
  <c r="Y77" i="1" s="1"/>
  <c r="CY77" i="1"/>
  <c r="X77" i="1" s="1"/>
  <c r="GM77" i="1" s="1"/>
  <c r="GN77" i="1" s="1"/>
  <c r="CZ82" i="1"/>
  <c r="Y82" i="1" s="1"/>
  <c r="GM82" i="1" s="1"/>
  <c r="GN82" i="1" s="1"/>
  <c r="CY82" i="1"/>
  <c r="X82" i="1" s="1"/>
  <c r="G199" i="6"/>
  <c r="DG122" i="3"/>
  <c r="DJ122" i="3" s="1"/>
  <c r="DH122" i="3"/>
  <c r="DI122" i="3"/>
  <c r="DF122" i="3"/>
  <c r="K44" i="9"/>
  <c r="P44" i="9" s="1"/>
  <c r="M303" i="9"/>
  <c r="CZ184" i="1"/>
  <c r="Y184" i="1" s="1"/>
  <c r="L129" i="9"/>
  <c r="K128" i="6"/>
  <c r="CJ235" i="1"/>
  <c r="L173" i="9"/>
  <c r="K172" i="6"/>
  <c r="CY112" i="1"/>
  <c r="X112" i="1" s="1"/>
  <c r="CZ112" i="1"/>
  <c r="Y112" i="1" s="1"/>
  <c r="D35" i="7"/>
  <c r="AD121" i="1"/>
  <c r="T211" i="9"/>
  <c r="L214" i="9" s="1"/>
  <c r="K217" i="9" s="1"/>
  <c r="P217" i="9" s="1"/>
  <c r="T210" i="6"/>
  <c r="K213" i="6" s="1"/>
  <c r="J216" i="6" s="1"/>
  <c r="P216" i="6" s="1"/>
  <c r="DI85" i="3"/>
  <c r="DF85" i="3"/>
  <c r="DJ85" i="3" s="1"/>
  <c r="DH85" i="3"/>
  <c r="DG85" i="3"/>
  <c r="GM91" i="1"/>
  <c r="GO91" i="1" s="1"/>
  <c r="K111" i="9"/>
  <c r="P111" i="9" s="1"/>
  <c r="J110" i="6"/>
  <c r="P110" i="6" s="1"/>
  <c r="GM165" i="1"/>
  <c r="GN165" i="1" s="1"/>
  <c r="GM177" i="1"/>
  <c r="GN177" i="1" s="1"/>
  <c r="K269" i="9"/>
  <c r="P269" i="9" s="1"/>
  <c r="J268" i="6"/>
  <c r="P268" i="6" s="1"/>
  <c r="R31" i="1"/>
  <c r="V31" i="1"/>
  <c r="GM88" i="1"/>
  <c r="GN88" i="1" s="1"/>
  <c r="K102" i="9"/>
  <c r="P102" i="9" s="1"/>
  <c r="J101" i="6"/>
  <c r="P101" i="6" s="1"/>
  <c r="GM92" i="1"/>
  <c r="GN92" i="1" s="1"/>
  <c r="K114" i="9"/>
  <c r="P114" i="9" s="1"/>
  <c r="J113" i="6"/>
  <c r="P113" i="6" s="1"/>
  <c r="GM100" i="1"/>
  <c r="GN100" i="1" s="1"/>
  <c r="GM178" i="1"/>
  <c r="GO178" i="1" s="1"/>
  <c r="K273" i="9"/>
  <c r="P273" i="9" s="1"/>
  <c r="J272" i="6"/>
  <c r="P272" i="6" s="1"/>
  <c r="AB289" i="9"/>
  <c r="L289" i="9"/>
  <c r="AB288" i="6"/>
  <c r="K288" i="6"/>
  <c r="GM184" i="1"/>
  <c r="GO184" i="1" s="1"/>
  <c r="O29" i="8"/>
  <c r="F41" i="7" s="1"/>
  <c r="O292" i="6"/>
  <c r="O73" i="6"/>
  <c r="O152" i="9"/>
  <c r="O102" i="9"/>
  <c r="DF42" i="3"/>
  <c r="DJ42" i="3" s="1"/>
  <c r="DH42" i="3"/>
  <c r="DI42" i="3"/>
  <c r="DG42" i="3"/>
  <c r="V84" i="9"/>
  <c r="V83" i="6"/>
  <c r="H148" i="9"/>
  <c r="DF118" i="3"/>
  <c r="DG118" i="3"/>
  <c r="DH118" i="3"/>
  <c r="DI118" i="3"/>
  <c r="DJ118" i="3" s="1"/>
  <c r="G82" i="6"/>
  <c r="L110" i="9"/>
  <c r="K109" i="6"/>
  <c r="H88" i="6"/>
  <c r="G92" i="6" s="1"/>
  <c r="CZ78" i="1"/>
  <c r="Y78" i="1" s="1"/>
  <c r="GM78" i="1" s="1"/>
  <c r="GN78" i="1" s="1"/>
  <c r="CY78" i="1"/>
  <c r="X78" i="1" s="1"/>
  <c r="CZ83" i="1"/>
  <c r="Y83" i="1" s="1"/>
  <c r="CY83" i="1"/>
  <c r="X83" i="1" s="1"/>
  <c r="GM83" i="1" s="1"/>
  <c r="GN83" i="1" s="1"/>
  <c r="G186" i="6"/>
  <c r="H286" i="6"/>
  <c r="G289" i="6" s="1"/>
  <c r="DI45" i="3"/>
  <c r="DG45" i="3"/>
  <c r="DJ45" i="3" s="1"/>
  <c r="DF45" i="3"/>
  <c r="DH45" i="3"/>
  <c r="DG68" i="3"/>
  <c r="DJ68" i="3" s="1"/>
  <c r="DH68" i="3"/>
  <c r="DI68" i="3"/>
  <c r="DF68" i="3"/>
  <c r="DF32" i="3"/>
  <c r="DJ32" i="3" s="1"/>
  <c r="DH32" i="3"/>
  <c r="DG32" i="3"/>
  <c r="DI32" i="3"/>
  <c r="K135" i="9"/>
  <c r="P135" i="9" s="1"/>
  <c r="L253" i="9"/>
  <c r="K252" i="6"/>
  <c r="DF64" i="3"/>
  <c r="DG64" i="3"/>
  <c r="DH64" i="3"/>
  <c r="DI64" i="3"/>
  <c r="DJ64" i="3" s="1"/>
  <c r="V127" i="9"/>
  <c r="L133" i="9" s="1"/>
  <c r="V126" i="6"/>
  <c r="K132" i="6" s="1"/>
  <c r="J134" i="6" s="1"/>
  <c r="P134" i="6" s="1"/>
  <c r="CY170" i="1"/>
  <c r="X170" i="1" s="1"/>
  <c r="GM170" i="1" s="1"/>
  <c r="GN170" i="1" s="1"/>
  <c r="CZ170" i="1"/>
  <c r="Y170" i="1" s="1"/>
  <c r="G216" i="6"/>
  <c r="CZ169" i="1"/>
  <c r="Y169" i="1" s="1"/>
  <c r="CY169" i="1"/>
  <c r="X169" i="1" s="1"/>
  <c r="CZ230" i="1"/>
  <c r="Y230" i="1" s="1"/>
  <c r="GM230" i="1" s="1"/>
  <c r="GN230" i="1" s="1"/>
  <c r="CZ118" i="1"/>
  <c r="Y118" i="1" s="1"/>
  <c r="GM118" i="1" s="1"/>
  <c r="GP118" i="1" s="1"/>
  <c r="CD121" i="1" s="1"/>
  <c r="AF121" i="1"/>
  <c r="L151" i="9"/>
  <c r="K150" i="6"/>
  <c r="GM95" i="1"/>
  <c r="GO95" i="1" s="1"/>
  <c r="K123" i="9"/>
  <c r="P123" i="9" s="1"/>
  <c r="J122" i="6"/>
  <c r="P122" i="6" s="1"/>
  <c r="GM116" i="1"/>
  <c r="GN116" i="1" s="1"/>
  <c r="L199" i="9"/>
  <c r="AB199" i="9"/>
  <c r="K198" i="6"/>
  <c r="AB198" i="6"/>
  <c r="GM232" i="1"/>
  <c r="GN232" i="1" s="1"/>
  <c r="D18" i="7"/>
  <c r="DF51" i="3"/>
  <c r="DJ51" i="3" s="1"/>
  <c r="DG51" i="3"/>
  <c r="DH51" i="3"/>
  <c r="DI51" i="3"/>
  <c r="G134" i="6"/>
  <c r="CY98" i="1"/>
  <c r="X98" i="1" s="1"/>
  <c r="GM98" i="1" s="1"/>
  <c r="GN98" i="1" s="1"/>
  <c r="CZ98" i="1"/>
  <c r="Y98" i="1" s="1"/>
  <c r="CZ105" i="1"/>
  <c r="Y105" i="1" s="1"/>
  <c r="CY105" i="1"/>
  <c r="X105" i="1" s="1"/>
  <c r="GM105" i="1" s="1"/>
  <c r="GN105" i="1" s="1"/>
  <c r="L181" i="9"/>
  <c r="K180" i="6"/>
  <c r="L259" i="9"/>
  <c r="K258" i="6"/>
  <c r="AI186" i="1"/>
  <c r="CZ79" i="1"/>
  <c r="Y79" i="1" s="1"/>
  <c r="CY79" i="1"/>
  <c r="X79" i="1" s="1"/>
  <c r="GM79" i="1" s="1"/>
  <c r="GN79" i="1" s="1"/>
  <c r="CZ84" i="1"/>
  <c r="Y84" i="1" s="1"/>
  <c r="CY84" i="1"/>
  <c r="X84" i="1" s="1"/>
  <c r="GM84" i="1" s="1"/>
  <c r="GN84" i="1" s="1"/>
  <c r="AJ186" i="1"/>
  <c r="DG61" i="3"/>
  <c r="DJ61" i="3" s="1"/>
  <c r="DH61" i="3"/>
  <c r="DI61" i="3"/>
  <c r="DF61" i="3"/>
  <c r="D20" i="7"/>
  <c r="L279" i="9"/>
  <c r="K278" i="6"/>
  <c r="CH235" i="1"/>
  <c r="CF235" i="1"/>
  <c r="CE235" i="1"/>
  <c r="J159" i="6"/>
  <c r="P159" i="6" s="1"/>
  <c r="CY168" i="1"/>
  <c r="X168" i="1" s="1"/>
  <c r="CZ168" i="1"/>
  <c r="Y168" i="1" s="1"/>
  <c r="GM168" i="1" s="1"/>
  <c r="GN168" i="1" s="1"/>
  <c r="L119" i="9"/>
  <c r="K118" i="6"/>
  <c r="G325" i="6"/>
  <c r="H177" i="9"/>
  <c r="DF123" i="3"/>
  <c r="DJ123" i="3" s="1"/>
  <c r="DG123" i="3"/>
  <c r="DI123" i="3"/>
  <c r="DH123" i="3"/>
  <c r="CZ229" i="1"/>
  <c r="Y229" i="1" s="1"/>
  <c r="L78" i="9"/>
  <c r="K77" i="6"/>
  <c r="CP87" i="1"/>
  <c r="O87" i="1" s="1"/>
  <c r="GM99" i="1"/>
  <c r="GN99" i="1" s="1"/>
  <c r="GM173" i="1"/>
  <c r="GN173" i="1" s="1"/>
  <c r="K257" i="9"/>
  <c r="P257" i="9" s="1"/>
  <c r="J256" i="6"/>
  <c r="P256" i="6" s="1"/>
  <c r="L92" i="9"/>
  <c r="AB92" i="9"/>
  <c r="AB91" i="6"/>
  <c r="K91" i="6"/>
  <c r="CP89" i="1"/>
  <c r="O89" i="1" s="1"/>
  <c r="GM93" i="1"/>
  <c r="GO93" i="1" s="1"/>
  <c r="K117" i="9"/>
  <c r="P117" i="9" s="1"/>
  <c r="J116" i="6"/>
  <c r="P116" i="6" s="1"/>
  <c r="AB147" i="9"/>
  <c r="L147" i="9"/>
  <c r="AB146" i="6"/>
  <c r="K146" i="6"/>
  <c r="GM109" i="1"/>
  <c r="FR109" i="1" s="1"/>
  <c r="BY121" i="1" s="1"/>
  <c r="K162" i="9"/>
  <c r="P162" i="9" s="1"/>
  <c r="J161" i="6"/>
  <c r="P161" i="6" s="1"/>
  <c r="GM175" i="1"/>
  <c r="GN175" i="1" s="1"/>
  <c r="K263" i="9"/>
  <c r="P263" i="9" s="1"/>
  <c r="J262" i="6"/>
  <c r="P262" i="6" s="1"/>
  <c r="GM179" i="1"/>
  <c r="GN179" i="1" s="1"/>
  <c r="K276" i="9"/>
  <c r="P276" i="9" s="1"/>
  <c r="J275" i="6"/>
  <c r="P275" i="6" s="1"/>
  <c r="GM183" i="1"/>
  <c r="GN183" i="1" s="1"/>
  <c r="K293" i="9"/>
  <c r="P293" i="9" s="1"/>
  <c r="J292" i="6"/>
  <c r="P292" i="6" s="1"/>
  <c r="G147" i="6"/>
  <c r="L39" i="9"/>
  <c r="K38" i="6"/>
  <c r="AD31" i="1"/>
  <c r="CY99" i="1"/>
  <c r="X99" i="1" s="1"/>
  <c r="CZ99" i="1"/>
  <c r="Y99" i="1" s="1"/>
  <c r="CZ80" i="1"/>
  <c r="Y80" i="1" s="1"/>
  <c r="CY80" i="1"/>
  <c r="X80" i="1" s="1"/>
  <c r="GM80" i="1" s="1"/>
  <c r="GN80" i="1" s="1"/>
  <c r="CZ85" i="1"/>
  <c r="Y85" i="1" s="1"/>
  <c r="CY85" i="1"/>
  <c r="X85" i="1" s="1"/>
  <c r="GM85" i="1" s="1"/>
  <c r="GN85" i="1" s="1"/>
  <c r="H200" i="9"/>
  <c r="CZ182" i="1"/>
  <c r="Y182" i="1" s="1"/>
  <c r="CY182" i="1"/>
  <c r="X182" i="1" s="1"/>
  <c r="GM182" i="1" s="1"/>
  <c r="GN182" i="1" s="1"/>
  <c r="DH111" i="3"/>
  <c r="DF111" i="3"/>
  <c r="DJ111" i="3" s="1"/>
  <c r="DG111" i="3"/>
  <c r="DI111" i="3"/>
  <c r="M83" i="9"/>
  <c r="Q83" i="9" s="1"/>
  <c r="M219" i="9" s="1"/>
  <c r="M82" i="9"/>
  <c r="L82" i="6"/>
  <c r="Q82" i="6" s="1"/>
  <c r="L356" i="6" s="1"/>
  <c r="L81" i="6"/>
  <c r="AH121" i="1"/>
  <c r="K160" i="9"/>
  <c r="P160" i="9" s="1"/>
  <c r="L328" i="9"/>
  <c r="K327" i="6"/>
  <c r="DF88" i="3"/>
  <c r="DG88" i="3"/>
  <c r="DH88" i="3"/>
  <c r="DI88" i="3"/>
  <c r="DJ88" i="3" s="1"/>
  <c r="D14" i="7"/>
  <c r="H301" i="9"/>
  <c r="L235" i="9"/>
  <c r="K234" i="6"/>
  <c r="AF186" i="1"/>
  <c r="CY164" i="1"/>
  <c r="X164" i="1" s="1"/>
  <c r="CZ164" i="1"/>
  <c r="Y164" i="1" s="1"/>
  <c r="CY229" i="1"/>
  <c r="X229" i="1" s="1"/>
  <c r="H331" i="9"/>
  <c r="F14" i="7"/>
  <c r="F13" i="7"/>
  <c r="F11" i="7"/>
  <c r="F24" i="7"/>
  <c r="F33" i="7"/>
  <c r="F30" i="7"/>
  <c r="F10" i="7"/>
  <c r="F17" i="7"/>
  <c r="F20" i="7"/>
  <c r="F27" i="7"/>
  <c r="F12" i="7"/>
  <c r="F15" i="7"/>
  <c r="F18" i="7"/>
  <c r="F19" i="7"/>
  <c r="F29" i="7"/>
  <c r="F35" i="7"/>
  <c r="F44" i="7"/>
  <c r="G52" i="6"/>
  <c r="GM28" i="1"/>
  <c r="AB31" i="1"/>
  <c r="DF6" i="3"/>
  <c r="DJ6" i="3" s="1"/>
  <c r="DG6" i="3"/>
  <c r="DH6" i="3"/>
  <c r="DI6" i="3"/>
  <c r="DF5" i="3"/>
  <c r="DG5" i="3"/>
  <c r="DH5" i="3"/>
  <c r="DI5" i="3"/>
  <c r="DJ5" i="3" s="1"/>
  <c r="P26" i="1"/>
  <c r="F34" i="1"/>
  <c r="F63" i="1" s="1"/>
  <c r="R26" i="1"/>
  <c r="F45" i="1"/>
  <c r="F62" i="1" s="1"/>
  <c r="T26" i="1"/>
  <c r="F52" i="1"/>
  <c r="U26" i="1"/>
  <c r="F53" i="1"/>
  <c r="V26" i="1"/>
  <c r="F54" i="1"/>
  <c r="W26" i="1"/>
  <c r="F55" i="1"/>
  <c r="AO26" i="1"/>
  <c r="F35" i="1"/>
  <c r="AO274" i="1"/>
  <c r="AP26" i="1"/>
  <c r="F40" i="1"/>
  <c r="AQ26" i="1"/>
  <c r="F41" i="1"/>
  <c r="AQ274" i="1"/>
  <c r="AU26" i="1"/>
  <c r="F50" i="1"/>
  <c r="AV26" i="1"/>
  <c r="F36" i="1"/>
  <c r="AW26" i="1"/>
  <c r="F37" i="1"/>
  <c r="AX26" i="1"/>
  <c r="F38" i="1"/>
  <c r="AX274" i="1"/>
  <c r="AY26" i="1"/>
  <c r="F39" i="1"/>
  <c r="AZ26" i="1"/>
  <c r="F42" i="1"/>
  <c r="BA26" i="1"/>
  <c r="F51" i="1"/>
  <c r="BB26" i="1"/>
  <c r="F44" i="1"/>
  <c r="BB274" i="1"/>
  <c r="BC26" i="1"/>
  <c r="F47" i="1"/>
  <c r="BC274" i="1"/>
  <c r="BD26" i="1"/>
  <c r="F56" i="1"/>
  <c r="BD274" i="1"/>
  <c r="GM74" i="1"/>
  <c r="AB121" i="1"/>
  <c r="DF23" i="3"/>
  <c r="DJ23" i="3" s="1"/>
  <c r="DG23" i="3"/>
  <c r="DH23" i="3"/>
  <c r="DI23" i="3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J16" i="3" s="1"/>
  <c r="DH16" i="3"/>
  <c r="DI16" i="3"/>
  <c r="DF15" i="3"/>
  <c r="DG15" i="3"/>
  <c r="DJ15" i="3" s="1"/>
  <c r="DH15" i="3"/>
  <c r="DI15" i="3"/>
  <c r="DF14" i="3"/>
  <c r="DG14" i="3"/>
  <c r="DJ14" i="3" s="1"/>
  <c r="DH14" i="3"/>
  <c r="DI14" i="3"/>
  <c r="DF13" i="3"/>
  <c r="DG13" i="3"/>
  <c r="DH13" i="3"/>
  <c r="DI13" i="3"/>
  <c r="DJ13" i="3" s="1"/>
  <c r="DF12" i="3"/>
  <c r="DG12" i="3"/>
  <c r="DH12" i="3"/>
  <c r="DI12" i="3"/>
  <c r="DJ12" i="3" s="1"/>
  <c r="BY72" i="1"/>
  <c r="AP121" i="1"/>
  <c r="CF121" i="1"/>
  <c r="CH121" i="1"/>
  <c r="CI121" i="1"/>
  <c r="DF70" i="3"/>
  <c r="DG70" i="3"/>
  <c r="DH70" i="3"/>
  <c r="DI70" i="3"/>
  <c r="DJ70" i="3" s="1"/>
  <c r="DF71" i="3"/>
  <c r="DG71" i="3"/>
  <c r="DH71" i="3"/>
  <c r="DI71" i="3"/>
  <c r="DJ71" i="3" s="1"/>
  <c r="DF79" i="3"/>
  <c r="DJ79" i="3" s="1"/>
  <c r="DG79" i="3"/>
  <c r="DH79" i="3"/>
  <c r="DI79" i="3"/>
  <c r="DF78" i="3"/>
  <c r="DJ78" i="3" s="1"/>
  <c r="DG78" i="3"/>
  <c r="DH78" i="3"/>
  <c r="DI78" i="3"/>
  <c r="DF77" i="3"/>
  <c r="DJ77" i="3" s="1"/>
  <c r="DG77" i="3"/>
  <c r="DH77" i="3"/>
  <c r="DI77" i="3"/>
  <c r="DF76" i="3"/>
  <c r="DG76" i="3"/>
  <c r="DJ76" i="3" s="1"/>
  <c r="DH76" i="3"/>
  <c r="DI76" i="3"/>
  <c r="DF75" i="3"/>
  <c r="DG75" i="3"/>
  <c r="DJ75" i="3" s="1"/>
  <c r="DH75" i="3"/>
  <c r="DI75" i="3"/>
  <c r="DF74" i="3"/>
  <c r="DG74" i="3"/>
  <c r="DJ74" i="3" s="1"/>
  <c r="DH74" i="3"/>
  <c r="DI74" i="3"/>
  <c r="DF73" i="3"/>
  <c r="DG73" i="3"/>
  <c r="DH73" i="3"/>
  <c r="DI73" i="3"/>
  <c r="DJ73" i="3" s="1"/>
  <c r="DF72" i="3"/>
  <c r="DG72" i="3"/>
  <c r="DH72" i="3"/>
  <c r="DI72" i="3"/>
  <c r="DJ72" i="3" s="1"/>
  <c r="DF90" i="3"/>
  <c r="DG90" i="3"/>
  <c r="DH90" i="3"/>
  <c r="DI90" i="3"/>
  <c r="DJ90" i="3" s="1"/>
  <c r="DF89" i="3"/>
  <c r="DG89" i="3"/>
  <c r="DH89" i="3"/>
  <c r="DI89" i="3"/>
  <c r="DJ89" i="3" s="1"/>
  <c r="P72" i="1"/>
  <c r="F124" i="1"/>
  <c r="F153" i="1" s="1"/>
  <c r="R72" i="1"/>
  <c r="F135" i="1"/>
  <c r="F152" i="1" s="1"/>
  <c r="V72" i="1"/>
  <c r="F144" i="1"/>
  <c r="AO72" i="1"/>
  <c r="F125" i="1"/>
  <c r="AQ72" i="1"/>
  <c r="F131" i="1"/>
  <c r="AX72" i="1"/>
  <c r="F128" i="1"/>
  <c r="BB72" i="1"/>
  <c r="F134" i="1"/>
  <c r="BC72" i="1"/>
  <c r="F137" i="1"/>
  <c r="BD72" i="1"/>
  <c r="F146" i="1"/>
  <c r="DF102" i="3"/>
  <c r="DJ102" i="3" s="1"/>
  <c r="DG102" i="3"/>
  <c r="DH102" i="3"/>
  <c r="DI102" i="3"/>
  <c r="DF101" i="3"/>
  <c r="DJ101" i="3" s="1"/>
  <c r="DG101" i="3"/>
  <c r="DH101" i="3"/>
  <c r="DI101" i="3"/>
  <c r="DF100" i="3"/>
  <c r="DJ100" i="3" s="1"/>
  <c r="DG100" i="3"/>
  <c r="DH100" i="3"/>
  <c r="DI100" i="3"/>
  <c r="DF99" i="3"/>
  <c r="DJ99" i="3" s="1"/>
  <c r="DG99" i="3"/>
  <c r="DH99" i="3"/>
  <c r="DI99" i="3"/>
  <c r="DF98" i="3"/>
  <c r="DJ98" i="3" s="1"/>
  <c r="DG98" i="3"/>
  <c r="DH98" i="3"/>
  <c r="DI98" i="3"/>
  <c r="DF97" i="3"/>
  <c r="DJ97" i="3" s="1"/>
  <c r="DG97" i="3"/>
  <c r="DH97" i="3"/>
  <c r="DI97" i="3"/>
  <c r="DF96" i="3"/>
  <c r="DJ96" i="3" s="1"/>
  <c r="DG96" i="3"/>
  <c r="DH96" i="3"/>
  <c r="DI96" i="3"/>
  <c r="DF95" i="3"/>
  <c r="DG95" i="3"/>
  <c r="DJ95" i="3" s="1"/>
  <c r="DH95" i="3"/>
  <c r="DI95" i="3"/>
  <c r="DF94" i="3"/>
  <c r="DG94" i="3"/>
  <c r="DJ94" i="3" s="1"/>
  <c r="DH94" i="3"/>
  <c r="DI94" i="3"/>
  <c r="DF93" i="3"/>
  <c r="DG93" i="3"/>
  <c r="DJ93" i="3" s="1"/>
  <c r="DH93" i="3"/>
  <c r="DI93" i="3"/>
  <c r="DF92" i="3"/>
  <c r="DG92" i="3"/>
  <c r="DH92" i="3"/>
  <c r="DI92" i="3"/>
  <c r="DJ92" i="3" s="1"/>
  <c r="DF91" i="3"/>
  <c r="DG91" i="3"/>
  <c r="DH91" i="3"/>
  <c r="DI91" i="3"/>
  <c r="DJ91" i="3" s="1"/>
  <c r="GM164" i="1"/>
  <c r="AB186" i="1"/>
  <c r="DF126" i="3"/>
  <c r="DJ126" i="3" s="1"/>
  <c r="DG126" i="3"/>
  <c r="DH126" i="3"/>
  <c r="DI126" i="3"/>
  <c r="DF125" i="3"/>
  <c r="DG125" i="3"/>
  <c r="DH125" i="3"/>
  <c r="DI125" i="3"/>
  <c r="DJ125" i="3" s="1"/>
  <c r="T162" i="1"/>
  <c r="F207" i="1"/>
  <c r="U162" i="1"/>
  <c r="F208" i="1"/>
  <c r="AO162" i="1"/>
  <c r="F190" i="1"/>
  <c r="AP162" i="1"/>
  <c r="F195" i="1"/>
  <c r="AQ162" i="1"/>
  <c r="F196" i="1"/>
  <c r="AU162" i="1"/>
  <c r="F205" i="1"/>
  <c r="AX162" i="1"/>
  <c r="F193" i="1"/>
  <c r="AZ162" i="1"/>
  <c r="F197" i="1"/>
  <c r="BA162" i="1"/>
  <c r="F206" i="1"/>
  <c r="BB162" i="1"/>
  <c r="F199" i="1"/>
  <c r="BC162" i="1"/>
  <c r="F202" i="1"/>
  <c r="BD162" i="1"/>
  <c r="F211" i="1"/>
  <c r="DF140" i="3"/>
  <c r="DJ140" i="3" s="1"/>
  <c r="DG140" i="3"/>
  <c r="DH140" i="3"/>
  <c r="DI140" i="3"/>
  <c r="DF139" i="3"/>
  <c r="DJ139" i="3" s="1"/>
  <c r="DG139" i="3"/>
  <c r="DH139" i="3"/>
  <c r="DI139" i="3"/>
  <c r="DF138" i="3"/>
  <c r="DJ138" i="3" s="1"/>
  <c r="DG138" i="3"/>
  <c r="DH138" i="3"/>
  <c r="DI138" i="3"/>
  <c r="DF137" i="3"/>
  <c r="DJ137" i="3" s="1"/>
  <c r="DG137" i="3"/>
  <c r="DH137" i="3"/>
  <c r="DI137" i="3"/>
  <c r="DF136" i="3"/>
  <c r="DJ136" i="3" s="1"/>
  <c r="DG136" i="3"/>
  <c r="DH136" i="3"/>
  <c r="DI136" i="3"/>
  <c r="DF135" i="3"/>
  <c r="DJ135" i="3" s="1"/>
  <c r="DG135" i="3"/>
  <c r="DH135" i="3"/>
  <c r="DI135" i="3"/>
  <c r="DF134" i="3"/>
  <c r="DJ134" i="3" s="1"/>
  <c r="DG134" i="3"/>
  <c r="DH134" i="3"/>
  <c r="DI134" i="3"/>
  <c r="DF133" i="3"/>
  <c r="DJ133" i="3" s="1"/>
  <c r="DG133" i="3"/>
  <c r="DH133" i="3"/>
  <c r="DI133" i="3"/>
  <c r="DF132" i="3"/>
  <c r="DJ132" i="3" s="1"/>
  <c r="DG132" i="3"/>
  <c r="DH132" i="3"/>
  <c r="DI132" i="3"/>
  <c r="DF131" i="3"/>
  <c r="DG131" i="3"/>
  <c r="DJ131" i="3" s="1"/>
  <c r="DH131" i="3"/>
  <c r="DI131" i="3"/>
  <c r="DF130" i="3"/>
  <c r="DG130" i="3"/>
  <c r="DJ130" i="3" s="1"/>
  <c r="DH130" i="3"/>
  <c r="DI130" i="3"/>
  <c r="DF129" i="3"/>
  <c r="DG129" i="3"/>
  <c r="DJ129" i="3" s="1"/>
  <c r="DH129" i="3"/>
  <c r="DI129" i="3"/>
  <c r="DF128" i="3"/>
  <c r="DG128" i="3"/>
  <c r="DH128" i="3"/>
  <c r="DI128" i="3"/>
  <c r="DJ128" i="3" s="1"/>
  <c r="DF127" i="3"/>
  <c r="DG127" i="3"/>
  <c r="DH127" i="3"/>
  <c r="DI127" i="3"/>
  <c r="DJ127" i="3" s="1"/>
  <c r="AB235" i="1"/>
  <c r="CC227" i="1"/>
  <c r="AT235" i="1"/>
  <c r="P227" i="1"/>
  <c r="F238" i="1"/>
  <c r="F267" i="1" s="1"/>
  <c r="S227" i="1"/>
  <c r="F250" i="1"/>
  <c r="F264" i="1" s="1"/>
  <c r="T227" i="1"/>
  <c r="F256" i="1"/>
  <c r="AO227" i="1"/>
  <c r="F239" i="1"/>
  <c r="AP227" i="1"/>
  <c r="F244" i="1"/>
  <c r="AQ227" i="1"/>
  <c r="F245" i="1"/>
  <c r="AU227" i="1"/>
  <c r="F254" i="1"/>
  <c r="AX227" i="1"/>
  <c r="F242" i="1"/>
  <c r="AZ227" i="1"/>
  <c r="F246" i="1"/>
  <c r="BB227" i="1"/>
  <c r="F248" i="1"/>
  <c r="BC227" i="1"/>
  <c r="F251" i="1"/>
  <c r="BD227" i="1"/>
  <c r="F260" i="1"/>
  <c r="L343" i="6" l="1"/>
  <c r="CD72" i="1"/>
  <c r="AU121" i="1"/>
  <c r="O289" i="6"/>
  <c r="W289" i="6"/>
  <c r="O170" i="9"/>
  <c r="W170" i="9"/>
  <c r="K224" i="9"/>
  <c r="J223" i="6"/>
  <c r="T92" i="9"/>
  <c r="L89" i="9" s="1"/>
  <c r="T91" i="6"/>
  <c r="K88" i="6" s="1"/>
  <c r="F247" i="1"/>
  <c r="F265" i="1" s="1"/>
  <c r="K336" i="9"/>
  <c r="J335" i="6"/>
  <c r="BA274" i="1"/>
  <c r="BA313" i="1" s="1"/>
  <c r="O200" i="9"/>
  <c r="W200" i="9"/>
  <c r="AF72" i="1"/>
  <c r="S121" i="1"/>
  <c r="O186" i="6"/>
  <c r="X186" i="6"/>
  <c r="O82" i="6"/>
  <c r="X82" i="6"/>
  <c r="G25" i="6" s="1"/>
  <c r="M344" i="9"/>
  <c r="T45" i="9"/>
  <c r="L48" i="9" s="1"/>
  <c r="AK31" i="1"/>
  <c r="T44" i="6"/>
  <c r="K47" i="6" s="1"/>
  <c r="AV121" i="1"/>
  <c r="CE72" i="1"/>
  <c r="R186" i="1"/>
  <c r="AE162" i="1"/>
  <c r="V147" i="9"/>
  <c r="L145" i="9" s="1"/>
  <c r="V146" i="6"/>
  <c r="K144" i="6" s="1"/>
  <c r="X301" i="9"/>
  <c r="O301" i="9"/>
  <c r="GM87" i="1"/>
  <c r="GN87" i="1" s="1"/>
  <c r="K99" i="9"/>
  <c r="P99" i="9" s="1"/>
  <c r="J98" i="6"/>
  <c r="P98" i="6" s="1"/>
  <c r="T75" i="9"/>
  <c r="L80" i="9" s="1"/>
  <c r="K83" i="9" s="1"/>
  <c r="P83" i="9" s="1"/>
  <c r="T74" i="6"/>
  <c r="K79" i="6" s="1"/>
  <c r="V92" i="9"/>
  <c r="L90" i="9" s="1"/>
  <c r="V91" i="6"/>
  <c r="K89" i="6" s="1"/>
  <c r="X241" i="6"/>
  <c r="O241" i="6"/>
  <c r="W250" i="6"/>
  <c r="O250" i="6"/>
  <c r="O290" i="9"/>
  <c r="W290" i="9"/>
  <c r="GM29" i="1"/>
  <c r="GO29" i="1" s="1"/>
  <c r="CC31" i="1" s="1"/>
  <c r="O209" i="6"/>
  <c r="Z209" i="6"/>
  <c r="CB186" i="1"/>
  <c r="V75" i="9"/>
  <c r="L81" i="9" s="1"/>
  <c r="V74" i="6"/>
  <c r="K80" i="6" s="1"/>
  <c r="O74" i="9"/>
  <c r="W74" i="9"/>
  <c r="F145" i="1"/>
  <c r="T317" i="9"/>
  <c r="L323" i="9" s="1"/>
  <c r="T316" i="6"/>
  <c r="K322" i="6" s="1"/>
  <c r="AK235" i="1"/>
  <c r="AI162" i="1"/>
  <c r="V186" i="1"/>
  <c r="AD72" i="1"/>
  <c r="Q121" i="1"/>
  <c r="AL121" i="1"/>
  <c r="T121" i="1"/>
  <c r="AG72" i="1"/>
  <c r="AI227" i="1"/>
  <c r="V235" i="1"/>
  <c r="T199" i="9"/>
  <c r="L196" i="9" s="1"/>
  <c r="T198" i="6"/>
  <c r="K195" i="6" s="1"/>
  <c r="J199" i="6" s="1"/>
  <c r="P199" i="6" s="1"/>
  <c r="J169" i="6"/>
  <c r="P169" i="6" s="1"/>
  <c r="K301" i="9"/>
  <c r="P301" i="9" s="1"/>
  <c r="V205" i="9"/>
  <c r="L208" i="9" s="1"/>
  <c r="K210" i="9" s="1"/>
  <c r="P210" i="9" s="1"/>
  <c r="V204" i="6"/>
  <c r="K207" i="6" s="1"/>
  <c r="BA235" i="1"/>
  <c r="CJ227" i="1"/>
  <c r="X51" i="9"/>
  <c r="O51" i="9"/>
  <c r="K58" i="9"/>
  <c r="J57" i="6"/>
  <c r="V233" i="9"/>
  <c r="L240" i="9" s="1"/>
  <c r="V232" i="6"/>
  <c r="K239" i="6" s="1"/>
  <c r="AL186" i="1"/>
  <c r="AH72" i="1"/>
  <c r="U121" i="1"/>
  <c r="GM81" i="1"/>
  <c r="GN81" i="1" s="1"/>
  <c r="CE227" i="1"/>
  <c r="AV235" i="1"/>
  <c r="O134" i="6"/>
  <c r="W134" i="6"/>
  <c r="O216" i="6"/>
  <c r="Z216" i="6"/>
  <c r="O92" i="6"/>
  <c r="W92" i="6"/>
  <c r="M357" i="9"/>
  <c r="GM75" i="1"/>
  <c r="GO75" i="1" s="1"/>
  <c r="CC121" i="1" s="1"/>
  <c r="T178" i="9"/>
  <c r="L184" i="9" s="1"/>
  <c r="T177" i="6"/>
  <c r="K183" i="6" s="1"/>
  <c r="T243" i="9"/>
  <c r="L248" i="9" s="1"/>
  <c r="T242" i="6"/>
  <c r="K247" i="6" s="1"/>
  <c r="AK121" i="1"/>
  <c r="Z217" i="9"/>
  <c r="O217" i="9"/>
  <c r="V199" i="9"/>
  <c r="L197" i="9" s="1"/>
  <c r="V198" i="6"/>
  <c r="K196" i="6" s="1"/>
  <c r="K170" i="9"/>
  <c r="P170" i="9" s="1"/>
  <c r="T147" i="9"/>
  <c r="L144" i="9" s="1"/>
  <c r="K148" i="9" s="1"/>
  <c r="P148" i="9" s="1"/>
  <c r="T146" i="6"/>
  <c r="K143" i="6" s="1"/>
  <c r="J147" i="6" s="1"/>
  <c r="P147" i="6" s="1"/>
  <c r="CE186" i="1"/>
  <c r="CH186" i="1"/>
  <c r="CF186" i="1"/>
  <c r="AC162" i="1"/>
  <c r="P186" i="1"/>
  <c r="K333" i="9"/>
  <c r="J332" i="6"/>
  <c r="Q186" i="1"/>
  <c r="AD162" i="1"/>
  <c r="W72" i="1"/>
  <c r="F141" i="1"/>
  <c r="K223" i="9"/>
  <c r="J222" i="6"/>
  <c r="T233" i="9"/>
  <c r="L239" i="9" s="1"/>
  <c r="K242" i="9" s="1"/>
  <c r="P242" i="9" s="1"/>
  <c r="AK186" i="1"/>
  <c r="T232" i="6"/>
  <c r="K238" i="6" s="1"/>
  <c r="J241" i="6" s="1"/>
  <c r="P241" i="6" s="1"/>
  <c r="T289" i="9"/>
  <c r="L286" i="9" s="1"/>
  <c r="T288" i="6"/>
  <c r="K285" i="6" s="1"/>
  <c r="W177" i="9"/>
  <c r="O177" i="9"/>
  <c r="AW235" i="1"/>
  <c r="CF227" i="1"/>
  <c r="O148" i="9"/>
  <c r="W148" i="9"/>
  <c r="V171" i="9"/>
  <c r="L175" i="9" s="1"/>
  <c r="V170" i="6"/>
  <c r="K174" i="6" s="1"/>
  <c r="V45" i="9"/>
  <c r="L49" i="9" s="1"/>
  <c r="V44" i="6"/>
  <c r="K48" i="6" s="1"/>
  <c r="V178" i="9"/>
  <c r="L185" i="9" s="1"/>
  <c r="V177" i="6"/>
  <c r="K184" i="6" s="1"/>
  <c r="V243" i="9"/>
  <c r="L249" i="9" s="1"/>
  <c r="V242" i="6"/>
  <c r="K248" i="6" s="1"/>
  <c r="J73" i="6"/>
  <c r="P73" i="6" s="1"/>
  <c r="AH227" i="1"/>
  <c r="U235" i="1"/>
  <c r="AL31" i="1"/>
  <c r="J209" i="6"/>
  <c r="P209" i="6" s="1"/>
  <c r="V317" i="9"/>
  <c r="L324" i="9" s="1"/>
  <c r="V316" i="6"/>
  <c r="K323" i="6" s="1"/>
  <c r="AL235" i="1"/>
  <c r="W147" i="6"/>
  <c r="O147" i="6"/>
  <c r="W235" i="1"/>
  <c r="AJ227" i="1"/>
  <c r="GM229" i="1"/>
  <c r="CA235" i="1" s="1"/>
  <c r="K57" i="9"/>
  <c r="J56" i="6"/>
  <c r="AF162" i="1"/>
  <c r="S186" i="1"/>
  <c r="V289" i="9"/>
  <c r="L287" i="9" s="1"/>
  <c r="V288" i="6"/>
  <c r="K286" i="6" s="1"/>
  <c r="Q31" i="1"/>
  <c r="AD26" i="1"/>
  <c r="GM89" i="1"/>
  <c r="GN89" i="1" s="1"/>
  <c r="K105" i="9"/>
  <c r="P105" i="9" s="1"/>
  <c r="J104" i="6"/>
  <c r="P104" i="6" s="1"/>
  <c r="O325" i="6"/>
  <c r="G330" i="6" s="1"/>
  <c r="W325" i="6"/>
  <c r="AY235" i="1"/>
  <c r="CH227" i="1"/>
  <c r="AJ162" i="1"/>
  <c r="W186" i="1"/>
  <c r="W274" i="1" s="1"/>
  <c r="L218" i="6"/>
  <c r="T171" i="9"/>
  <c r="L174" i="9" s="1"/>
  <c r="K177" i="9" s="1"/>
  <c r="P177" i="9" s="1"/>
  <c r="T170" i="6"/>
  <c r="K173" i="6" s="1"/>
  <c r="V294" i="9"/>
  <c r="L299" i="9" s="1"/>
  <c r="V293" i="6"/>
  <c r="K298" i="6" s="1"/>
  <c r="J300" i="6" s="1"/>
  <c r="P300" i="6" s="1"/>
  <c r="W199" i="6"/>
  <c r="O199" i="6"/>
  <c r="AE227" i="1"/>
  <c r="R235" i="1"/>
  <c r="AF26" i="1"/>
  <c r="S31" i="1"/>
  <c r="K74" i="9"/>
  <c r="P74" i="9" s="1"/>
  <c r="O187" i="9"/>
  <c r="X187" i="9"/>
  <c r="GM112" i="1"/>
  <c r="GN112" i="1" s="1"/>
  <c r="E48" i="7"/>
  <c r="AT227" i="1"/>
  <c r="F253" i="1"/>
  <c r="AB227" i="1"/>
  <c r="O235" i="1"/>
  <c r="GN229" i="1"/>
  <c r="CB235" i="1" s="1"/>
  <c r="AB162" i="1"/>
  <c r="O186" i="1"/>
  <c r="GO164" i="1"/>
  <c r="CC186" i="1" s="1"/>
  <c r="CA186" i="1"/>
  <c r="AU72" i="1"/>
  <c r="F140" i="1"/>
  <c r="AU274" i="1"/>
  <c r="CI72" i="1"/>
  <c r="AZ121" i="1"/>
  <c r="CH72" i="1"/>
  <c r="AY121" i="1"/>
  <c r="CF72" i="1"/>
  <c r="AW121" i="1"/>
  <c r="AP72" i="1"/>
  <c r="F130" i="1"/>
  <c r="AP274" i="1"/>
  <c r="AB72" i="1"/>
  <c r="O121" i="1"/>
  <c r="GN74" i="1"/>
  <c r="BD22" i="1"/>
  <c r="F299" i="1"/>
  <c r="BD313" i="1"/>
  <c r="BC22" i="1"/>
  <c r="F290" i="1"/>
  <c r="BC313" i="1"/>
  <c r="BB22" i="1"/>
  <c r="F287" i="1"/>
  <c r="BB313" i="1"/>
  <c r="AX22" i="1"/>
  <c r="F281" i="1"/>
  <c r="AX313" i="1"/>
  <c r="AQ22" i="1"/>
  <c r="F284" i="1"/>
  <c r="AQ313" i="1"/>
  <c r="AO22" i="1"/>
  <c r="F278" i="1"/>
  <c r="AO313" i="1"/>
  <c r="AB26" i="1"/>
  <c r="O31" i="1"/>
  <c r="GN28" i="1"/>
  <c r="CB31" i="1" s="1"/>
  <c r="CA31" i="1"/>
  <c r="G24" i="6" l="1"/>
  <c r="J176" i="6"/>
  <c r="P176" i="6" s="1"/>
  <c r="W22" i="1"/>
  <c r="F298" i="1"/>
  <c r="W313" i="1"/>
  <c r="AK72" i="1"/>
  <c r="X121" i="1"/>
  <c r="F294" i="1"/>
  <c r="F43" i="1"/>
  <c r="F61" i="1" s="1"/>
  <c r="Q26" i="1"/>
  <c r="Q274" i="1"/>
  <c r="Y31" i="1"/>
  <c r="AL26" i="1"/>
  <c r="J250" i="6"/>
  <c r="P250" i="6" s="1"/>
  <c r="J302" i="6" s="1"/>
  <c r="Q72" i="1"/>
  <c r="F133" i="1"/>
  <c r="F151" i="1" s="1"/>
  <c r="AT31" i="1"/>
  <c r="CC26" i="1"/>
  <c r="F126" i="1"/>
  <c r="AV72" i="1"/>
  <c r="AL72" i="1"/>
  <c r="Y121" i="1"/>
  <c r="BA22" i="1"/>
  <c r="K219" i="9"/>
  <c r="AY227" i="1"/>
  <c r="F243" i="1"/>
  <c r="F259" i="1"/>
  <c r="W227" i="1"/>
  <c r="U227" i="1"/>
  <c r="F257" i="1"/>
  <c r="K251" i="9"/>
  <c r="P251" i="9" s="1"/>
  <c r="K303" i="9" s="1"/>
  <c r="H344" i="9"/>
  <c r="H53" i="9"/>
  <c r="H357" i="9"/>
  <c r="H219" i="9"/>
  <c r="J82" i="6"/>
  <c r="P82" i="6" s="1"/>
  <c r="J50" i="6"/>
  <c r="P50" i="6" s="1"/>
  <c r="K334" i="9"/>
  <c r="J333" i="6"/>
  <c r="K326" i="9"/>
  <c r="P326" i="9" s="1"/>
  <c r="K331" i="9" s="1"/>
  <c r="R162" i="1"/>
  <c r="F200" i="1"/>
  <c r="F217" i="1" s="1"/>
  <c r="R274" i="1"/>
  <c r="AV227" i="1"/>
  <c r="F240" i="1"/>
  <c r="S26" i="1"/>
  <c r="F46" i="1"/>
  <c r="F60" i="1" s="1"/>
  <c r="S274" i="1"/>
  <c r="J289" i="6"/>
  <c r="P289" i="6" s="1"/>
  <c r="J186" i="6"/>
  <c r="P186" i="6" s="1"/>
  <c r="U274" i="1"/>
  <c r="U72" i="1"/>
  <c r="F143" i="1"/>
  <c r="K200" i="9"/>
  <c r="P200" i="9" s="1"/>
  <c r="V162" i="1"/>
  <c r="F209" i="1"/>
  <c r="V274" i="1"/>
  <c r="H303" i="9"/>
  <c r="X31" i="1"/>
  <c r="AK26" i="1"/>
  <c r="S72" i="1"/>
  <c r="F136" i="1"/>
  <c r="F150" i="1" s="1"/>
  <c r="J92" i="6"/>
  <c r="P92" i="6" s="1"/>
  <c r="J218" i="6" s="1"/>
  <c r="AW227" i="1"/>
  <c r="F241" i="1"/>
  <c r="CE162" i="1"/>
  <c r="AV186" i="1"/>
  <c r="G356" i="6"/>
  <c r="G23" i="6"/>
  <c r="G218" i="6"/>
  <c r="G343" i="6"/>
  <c r="CA121" i="1"/>
  <c r="AR121" i="1" s="1"/>
  <c r="S162" i="1"/>
  <c r="F201" i="1"/>
  <c r="F215" i="1" s="1"/>
  <c r="K290" i="9"/>
  <c r="P290" i="9" s="1"/>
  <c r="P274" i="1"/>
  <c r="P162" i="1"/>
  <c r="F189" i="1"/>
  <c r="F218" i="1" s="1"/>
  <c r="K187" i="9"/>
  <c r="P187" i="9" s="1"/>
  <c r="F258" i="1"/>
  <c r="V227" i="1"/>
  <c r="K51" i="9"/>
  <c r="P51" i="9" s="1"/>
  <c r="K93" i="9"/>
  <c r="P93" i="9" s="1"/>
  <c r="AY186" i="1"/>
  <c r="CH162" i="1"/>
  <c r="CC72" i="1"/>
  <c r="AT121" i="1"/>
  <c r="R227" i="1"/>
  <c r="F249" i="1"/>
  <c r="F266" i="1" s="1"/>
  <c r="AL227" i="1"/>
  <c r="Y235" i="1"/>
  <c r="Q162" i="1"/>
  <c r="F198" i="1"/>
  <c r="F216" i="1" s="1"/>
  <c r="AL162" i="1"/>
  <c r="Y186" i="1"/>
  <c r="F255" i="1"/>
  <c r="BA227" i="1"/>
  <c r="AK227" i="1"/>
  <c r="X235" i="1"/>
  <c r="CB162" i="1"/>
  <c r="AS186" i="1"/>
  <c r="W162" i="1"/>
  <c r="F210" i="1"/>
  <c r="F142" i="1"/>
  <c r="T72" i="1"/>
  <c r="T274" i="1"/>
  <c r="CB121" i="1"/>
  <c r="CB72" i="1" s="1"/>
  <c r="AK162" i="1"/>
  <c r="X186" i="1"/>
  <c r="CF162" i="1"/>
  <c r="AW186" i="1"/>
  <c r="J325" i="6"/>
  <c r="P325" i="6" s="1"/>
  <c r="J330" i="6" s="1"/>
  <c r="G27" i="6"/>
  <c r="G302" i="6"/>
  <c r="CA26" i="1"/>
  <c r="AR31" i="1"/>
  <c r="CB26" i="1"/>
  <c r="AS31" i="1"/>
  <c r="O26" i="1"/>
  <c r="F33" i="1"/>
  <c r="O274" i="1"/>
  <c r="W18" i="1"/>
  <c r="F337" i="1"/>
  <c r="AO18" i="1"/>
  <c r="F317" i="1"/>
  <c r="AQ18" i="1"/>
  <c r="F323" i="1"/>
  <c r="AX18" i="1"/>
  <c r="F320" i="1"/>
  <c r="BA18" i="1"/>
  <c r="F333" i="1"/>
  <c r="BB18" i="1"/>
  <c r="F326" i="1"/>
  <c r="BC18" i="1"/>
  <c r="F329" i="1"/>
  <c r="BD18" i="1"/>
  <c r="F338" i="1"/>
  <c r="AS121" i="1"/>
  <c r="O72" i="1"/>
  <c r="F123" i="1"/>
  <c r="AP22" i="1"/>
  <c r="F283" i="1"/>
  <c r="AP313" i="1"/>
  <c r="AW72" i="1"/>
  <c r="F127" i="1"/>
  <c r="AW274" i="1"/>
  <c r="AY72" i="1"/>
  <c r="F129" i="1"/>
  <c r="AY274" i="1"/>
  <c r="AZ72" i="1"/>
  <c r="F132" i="1"/>
  <c r="AZ274" i="1"/>
  <c r="AU22" i="1"/>
  <c r="F293" i="1"/>
  <c r="AU313" i="1"/>
  <c r="CA162" i="1"/>
  <c r="AR186" i="1"/>
  <c r="CC162" i="1"/>
  <c r="AT186" i="1"/>
  <c r="O162" i="1"/>
  <c r="F188" i="1"/>
  <c r="CA227" i="1"/>
  <c r="AR235" i="1"/>
  <c r="CB227" i="1"/>
  <c r="AS235" i="1"/>
  <c r="O227" i="1"/>
  <c r="F237" i="1"/>
  <c r="F139" i="1" l="1"/>
  <c r="AT72" i="1"/>
  <c r="K308" i="9"/>
  <c r="J307" i="6"/>
  <c r="K56" i="9"/>
  <c r="J55" i="6"/>
  <c r="K221" i="9"/>
  <c r="AM227" i="9"/>
  <c r="J220" i="6"/>
  <c r="Y72" i="1"/>
  <c r="F148" i="1"/>
  <c r="F155" i="1" s="1"/>
  <c r="K222" i="9"/>
  <c r="J221" i="6"/>
  <c r="H16" i="2"/>
  <c r="H18" i="2" s="1"/>
  <c r="I27" i="6"/>
  <c r="X227" i="1"/>
  <c r="F261" i="1"/>
  <c r="F268" i="1" s="1"/>
  <c r="AY162" i="1"/>
  <c r="F194" i="1"/>
  <c r="F277" i="1"/>
  <c r="F306" i="1" s="1"/>
  <c r="P313" i="1"/>
  <c r="P22" i="1"/>
  <c r="J343" i="6"/>
  <c r="J356" i="6"/>
  <c r="J52" i="6"/>
  <c r="X72" i="1"/>
  <c r="F147" i="1"/>
  <c r="F154" i="1" s="1"/>
  <c r="K306" i="9"/>
  <c r="J305" i="6"/>
  <c r="AT26" i="1"/>
  <c r="F49" i="1"/>
  <c r="CA72" i="1"/>
  <c r="T22" i="1"/>
  <c r="F295" i="1"/>
  <c r="T313" i="1"/>
  <c r="Y227" i="1"/>
  <c r="F262" i="1"/>
  <c r="F269" i="1" s="1"/>
  <c r="K344" i="9"/>
  <c r="K53" i="9"/>
  <c r="K357" i="9"/>
  <c r="AV162" i="1"/>
  <c r="F191" i="1"/>
  <c r="X26" i="1"/>
  <c r="F57" i="1"/>
  <c r="F64" i="1" s="1"/>
  <c r="E61" i="9" s="1"/>
  <c r="X274" i="1"/>
  <c r="F296" i="1"/>
  <c r="U313" i="1"/>
  <c r="U22" i="1"/>
  <c r="R22" i="1"/>
  <c r="F288" i="1"/>
  <c r="F305" i="1" s="1"/>
  <c r="R313" i="1"/>
  <c r="F289" i="1"/>
  <c r="F303" i="1" s="1"/>
  <c r="S22" i="1"/>
  <c r="S313" i="1"/>
  <c r="AS162" i="1"/>
  <c r="F203" i="1"/>
  <c r="K55" i="9"/>
  <c r="J54" i="6"/>
  <c r="G16" i="2"/>
  <c r="G18" i="2" s="1"/>
  <c r="I26" i="6"/>
  <c r="K335" i="9"/>
  <c r="J334" i="6"/>
  <c r="E311" i="9"/>
  <c r="K305" i="9"/>
  <c r="J304" i="6"/>
  <c r="K307" i="9"/>
  <c r="J306" i="6"/>
  <c r="Y274" i="1"/>
  <c r="Y26" i="1"/>
  <c r="F58" i="1"/>
  <c r="F65" i="1" s="1"/>
  <c r="F212" i="1"/>
  <c r="F219" i="1" s="1"/>
  <c r="F221" i="1" s="1"/>
  <c r="X162" i="1"/>
  <c r="AW162" i="1"/>
  <c r="F192" i="1"/>
  <c r="Y162" i="1"/>
  <c r="F213" i="1"/>
  <c r="F220" i="1" s="1"/>
  <c r="F297" i="1"/>
  <c r="V313" i="1"/>
  <c r="V22" i="1"/>
  <c r="AV274" i="1"/>
  <c r="Q22" i="1"/>
  <c r="F286" i="1"/>
  <c r="F304" i="1" s="1"/>
  <c r="Q313" i="1"/>
  <c r="AS227" i="1"/>
  <c r="F252" i="1"/>
  <c r="AR227" i="1"/>
  <c r="F263" i="1"/>
  <c r="AT162" i="1"/>
  <c r="F204" i="1"/>
  <c r="AT274" i="1"/>
  <c r="AR162" i="1"/>
  <c r="F214" i="1"/>
  <c r="AU18" i="1"/>
  <c r="F332" i="1"/>
  <c r="AZ22" i="1"/>
  <c r="F285" i="1"/>
  <c r="AZ313" i="1"/>
  <c r="AY22" i="1"/>
  <c r="F282" i="1"/>
  <c r="AY313" i="1"/>
  <c r="AW22" i="1"/>
  <c r="F280" i="1"/>
  <c r="AW313" i="1"/>
  <c r="AP18" i="1"/>
  <c r="F322" i="1"/>
  <c r="AS72" i="1"/>
  <c r="F138" i="1"/>
  <c r="AR72" i="1"/>
  <c r="F149" i="1"/>
  <c r="O22" i="1"/>
  <c r="F276" i="1"/>
  <c r="O313" i="1"/>
  <c r="AS26" i="1"/>
  <c r="F48" i="1"/>
  <c r="AS274" i="1"/>
  <c r="AR26" i="1"/>
  <c r="F59" i="1"/>
  <c r="AR274" i="1"/>
  <c r="AM312" i="9" l="1"/>
  <c r="K311" i="9"/>
  <c r="E312" i="9"/>
  <c r="J310" i="6"/>
  <c r="AM312" i="6"/>
  <c r="D312" i="6"/>
  <c r="AM311" i="6"/>
  <c r="D311" i="6"/>
  <c r="F222" i="1"/>
  <c r="AM313" i="9" s="1"/>
  <c r="F327" i="1"/>
  <c r="F344" i="1" s="1"/>
  <c r="R18" i="1"/>
  <c r="F334" i="1"/>
  <c r="T18" i="1"/>
  <c r="K226" i="9"/>
  <c r="J225" i="6"/>
  <c r="K348" i="9"/>
  <c r="J347" i="6"/>
  <c r="F325" i="1"/>
  <c r="F343" i="1" s="1"/>
  <c r="Q18" i="1"/>
  <c r="K347" i="9"/>
  <c r="J346" i="6"/>
  <c r="K225" i="9"/>
  <c r="J224" i="6"/>
  <c r="AV22" i="1"/>
  <c r="F279" i="1"/>
  <c r="AV313" i="1"/>
  <c r="K337" i="9"/>
  <c r="J336" i="6"/>
  <c r="F270" i="1"/>
  <c r="AM339" i="9"/>
  <c r="AM338" i="6"/>
  <c r="D338" i="6"/>
  <c r="E339" i="9"/>
  <c r="F156" i="1"/>
  <c r="K59" i="9"/>
  <c r="J58" i="6"/>
  <c r="AM226" i="6"/>
  <c r="K349" i="9"/>
  <c r="J348" i="6"/>
  <c r="K309" i="9"/>
  <c r="J308" i="6"/>
  <c r="F336" i="1"/>
  <c r="V18" i="1"/>
  <c r="K60" i="9"/>
  <c r="J59" i="6"/>
  <c r="AM310" i="6"/>
  <c r="F66" i="1"/>
  <c r="U18" i="1"/>
  <c r="F335" i="1"/>
  <c r="D226" i="6"/>
  <c r="K346" i="9"/>
  <c r="E352" i="9"/>
  <c r="I29" i="6"/>
  <c r="J345" i="6"/>
  <c r="J16" i="2"/>
  <c r="J18" i="2" s="1"/>
  <c r="D60" i="6"/>
  <c r="F328" i="1"/>
  <c r="F342" i="1" s="1"/>
  <c r="S18" i="1"/>
  <c r="I28" i="6"/>
  <c r="G28" i="6" s="1"/>
  <c r="AM61" i="9"/>
  <c r="D310" i="6"/>
  <c r="K310" i="9"/>
  <c r="J309" i="6"/>
  <c r="F301" i="1"/>
  <c r="F308" i="1" s="1"/>
  <c r="Y22" i="1"/>
  <c r="Y313" i="1"/>
  <c r="AM311" i="9"/>
  <c r="AM60" i="6"/>
  <c r="X313" i="1"/>
  <c r="X22" i="1"/>
  <c r="F300" i="1"/>
  <c r="F307" i="1" s="1"/>
  <c r="K338" i="9"/>
  <c r="J337" i="6"/>
  <c r="F316" i="1"/>
  <c r="F345" i="1" s="1"/>
  <c r="P18" i="1"/>
  <c r="E227" i="9"/>
  <c r="AR22" i="1"/>
  <c r="F302" i="1"/>
  <c r="AR313" i="1"/>
  <c r="AS22" i="1"/>
  <c r="F291" i="1"/>
  <c r="AS313" i="1"/>
  <c r="O18" i="1"/>
  <c r="F315" i="1"/>
  <c r="AW18" i="1"/>
  <c r="F319" i="1"/>
  <c r="AY18" i="1"/>
  <c r="F321" i="1"/>
  <c r="AZ18" i="1"/>
  <c r="F324" i="1"/>
  <c r="AT22" i="1"/>
  <c r="F292" i="1"/>
  <c r="AT313" i="1"/>
  <c r="K359" i="9" l="1"/>
  <c r="J358" i="6"/>
  <c r="AM341" i="9"/>
  <c r="AM340" i="9"/>
  <c r="E340" i="9"/>
  <c r="K339" i="9"/>
  <c r="J338" i="6"/>
  <c r="D340" i="6"/>
  <c r="AM339" i="6"/>
  <c r="D339" i="6"/>
  <c r="F271" i="1"/>
  <c r="F272" i="1" s="1"/>
  <c r="K351" i="9"/>
  <c r="J350" i="6"/>
  <c r="K350" i="9"/>
  <c r="J349" i="6"/>
  <c r="F309" i="1"/>
  <c r="AM352" i="9"/>
  <c r="AM228" i="9"/>
  <c r="E228" i="9"/>
  <c r="K227" i="9"/>
  <c r="AM229" i="9"/>
  <c r="E229" i="9"/>
  <c r="AM227" i="6"/>
  <c r="D227" i="6"/>
  <c r="J226" i="6"/>
  <c r="AM228" i="6"/>
  <c r="D228" i="6"/>
  <c r="F157" i="1"/>
  <c r="F158" i="1"/>
  <c r="F318" i="1"/>
  <c r="AV18" i="1"/>
  <c r="K360" i="9"/>
  <c r="J359" i="6"/>
  <c r="K361" i="9"/>
  <c r="J360" i="6"/>
  <c r="F16" i="2"/>
  <c r="F18" i="2" s="1"/>
  <c r="I25" i="6"/>
  <c r="F339" i="1"/>
  <c r="F346" i="1" s="1"/>
  <c r="X18" i="1"/>
  <c r="F223" i="1"/>
  <c r="D351" i="6"/>
  <c r="K312" i="9"/>
  <c r="J311" i="6"/>
  <c r="E16" i="2"/>
  <c r="I24" i="6"/>
  <c r="AM351" i="6"/>
  <c r="K61" i="9"/>
  <c r="E63" i="9"/>
  <c r="AM62" i="9"/>
  <c r="E62" i="9"/>
  <c r="D61" i="6"/>
  <c r="AM62" i="6"/>
  <c r="D62" i="6"/>
  <c r="AM61" i="6"/>
  <c r="J60" i="6"/>
  <c r="F67" i="1"/>
  <c r="F68" i="1" s="1"/>
  <c r="K362" i="9"/>
  <c r="J361" i="6"/>
  <c r="Y18" i="1"/>
  <c r="F340" i="1"/>
  <c r="F347" i="1" s="1"/>
  <c r="E313" i="9"/>
  <c r="AT18" i="1"/>
  <c r="F331" i="1"/>
  <c r="AS18" i="1"/>
  <c r="F330" i="1"/>
  <c r="I16" i="2"/>
  <c r="I18" i="2" s="1"/>
  <c r="E18" i="2"/>
  <c r="AR18" i="1"/>
  <c r="F341" i="1"/>
  <c r="K63" i="9" l="1"/>
  <c r="J62" i="6"/>
  <c r="K341" i="9"/>
  <c r="J340" i="6"/>
  <c r="K363" i="9"/>
  <c r="J362" i="6"/>
  <c r="AM340" i="6"/>
  <c r="AM354" i="9"/>
  <c r="E353" i="9"/>
  <c r="AM353" i="9"/>
  <c r="K352" i="9"/>
  <c r="AM352" i="6"/>
  <c r="E354" i="9"/>
  <c r="J351" i="6"/>
  <c r="AM353" i="6"/>
  <c r="I23" i="6"/>
  <c r="D352" i="6"/>
  <c r="F310" i="1"/>
  <c r="K229" i="9"/>
  <c r="J228" i="6"/>
  <c r="D364" i="6"/>
  <c r="K364" i="9"/>
  <c r="J363" i="6"/>
  <c r="K228" i="9"/>
  <c r="J227" i="6"/>
  <c r="AM364" i="6"/>
  <c r="E365" i="9"/>
  <c r="F348" i="1"/>
  <c r="K340" i="9"/>
  <c r="J339" i="6"/>
  <c r="AM365" i="9"/>
  <c r="K313" i="9"/>
  <c r="J312" i="6"/>
  <c r="K62" i="9"/>
  <c r="J61" i="6"/>
  <c r="AM63" i="9"/>
  <c r="E341" i="9"/>
  <c r="AM366" i="9" l="1"/>
  <c r="E366" i="9"/>
  <c r="K365" i="9"/>
  <c r="J364" i="6"/>
  <c r="AM366" i="6"/>
  <c r="D366" i="6"/>
  <c r="AM365" i="6"/>
  <c r="D365" i="6"/>
  <c r="F349" i="1"/>
  <c r="AM367" i="9" s="1"/>
  <c r="K353" i="9"/>
  <c r="J352" i="6"/>
  <c r="F311" i="1"/>
  <c r="D353" i="6"/>
  <c r="E367" i="9" l="1"/>
  <c r="K366" i="9"/>
  <c r="J365" i="6"/>
  <c r="K354" i="9"/>
  <c r="J353" i="6"/>
  <c r="F350" i="1"/>
  <c r="K367" i="9" l="1"/>
  <c r="J366" i="6"/>
</calcChain>
</file>

<file path=xl/sharedStrings.xml><?xml version="1.0" encoding="utf-8"?>
<sst xmlns="http://schemas.openxmlformats.org/spreadsheetml/2006/main" count="7516" uniqueCount="710">
  <si>
    <t>Smeta.RU  (495) 974-1589</t>
  </si>
  <si>
    <t>_PS_</t>
  </si>
  <si>
    <t>Smeta.RU</t>
  </si>
  <si>
    <t/>
  </si>
  <si>
    <t>ТЕР</t>
  </si>
  <si>
    <t>Установка реклоузеров на КЛ-6 кВ на линии №7 в п. Сосновка, Заволжье</t>
  </si>
  <si>
    <t>Сметные нормы списания</t>
  </si>
  <si>
    <t>Коды ценников</t>
  </si>
  <si>
    <t>Чувашская Республика (редакция 2014)</t>
  </si>
  <si>
    <t>Версия 1.7.1 ГСН (ГЭСН, ФЕР) и ТЕР (Методики НР (812/пр, 636/пр, 611/пр) и СП (774/пр и 317/пр) применять с 08.01.2023 г.)</t>
  </si>
  <si>
    <t>Поправки для НБ 2014 года от 15.06.2021 г. Строительство</t>
  </si>
  <si>
    <t>Территориальные единичные расценки Чувашской Республики, утвержденные приказом Минстроя России от  05.05.2015 № 337/пр</t>
  </si>
  <si>
    <t>Новый раздел</t>
  </si>
  <si>
    <t>Демонтажные работы</t>
  </si>
  <si>
    <t>1</t>
  </si>
  <si>
    <t>33-04-040-3</t>
  </si>
  <si>
    <t>Демонтаж 3-х проводов ВЛ 6-10 кВ</t>
  </si>
  <si>
    <t>1 опора (3 провода)</t>
  </si>
  <si>
    <t>ТЕР Чувашская республика (редакция 2014), 33-04-040-3, Приказ Минстроя России от 05.05.2015 № 337/пр</t>
  </si>
  <si>
    <t>Общестроительные работы</t>
  </si>
  <si>
    <t>Линии электропередачи</t>
  </si>
  <si>
    <t>ФЕР-33</t>
  </si>
  <si>
    <t>Пр/812-027.0-1</t>
  </si>
  <si>
    <t>Пр/774-027.0</t>
  </si>
  <si>
    <t>2</t>
  </si>
  <si>
    <t>м08-02-144-5</t>
  </si>
  <si>
    <t>Отсоединение зажимов жил проводов или кабелей сечением: до 70 мм2</t>
  </si>
  <si>
    <t>100 шт.</t>
  </si>
  <si>
    <t>ТЕРм Чувашская республика (редакция 2014), м08-02-144-5, Приказ Минстроя России от 05.05.2015 № 337/пр</t>
  </si>
  <si>
    <t>Поправка: МР 507/пр Табл.3, п.2  Наименование: Демонтаж: Оборудование, пригодное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т.п.)</t>
  </si>
  <si>
    <t>)*0</t>
  </si>
  <si>
    <t>)*0,6</t>
  </si>
  <si>
    <t>Монтажные работы</t>
  </si>
  <si>
    <t>Электротехнические установки: на других объектах</t>
  </si>
  <si>
    <t>мФЕР-08</t>
  </si>
  <si>
    <t>Поправка: МР 507/пр Табл.3, п.2</t>
  </si>
  <si>
    <t>Пр/812-049.3-1</t>
  </si>
  <si>
    <t>Пр/774-049.3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</si>
  <si>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</si>
  <si>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</si>
  <si>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</si>
  <si>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</si>
  <si>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</si>
  <si>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</si>
  <si>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</si>
  <si>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</si>
  <si>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</si>
  <si>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</si>
  <si>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</si>
  <si>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</si>
  <si>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</si>
  <si>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</si>
  <si>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</si>
  <si>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</si>
  <si>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</si>
  <si>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</si>
  <si>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</si>
  <si>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</si>
  <si>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</si>
  <si>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</si>
  <si>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</si>
  <si>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</si>
  <si>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</si>
  <si>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</si>
  <si>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</si>
  <si>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</si>
  <si>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</si>
  <si>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</si>
  <si>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</si>
  <si>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</si>
  <si>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</si>
  <si>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</si>
  <si>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</si>
  <si>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</si>
  <si>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</si>
  <si>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</si>
  <si>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</si>
  <si>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</si>
  <si>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</si>
  <si>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</si>
  <si>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</si>
  <si>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</si>
  <si>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</si>
  <si>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</si>
  <si>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</si>
  <si>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</si>
  <si>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</si>
  <si>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</si>
  <si>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</si>
  <si>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</si>
  <si>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</si>
  <si>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</si>
  <si>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З</t>
  </si>
  <si>
    <t>Э</t>
  </si>
  <si>
    <t>ЭММ, в т.ч. ЗПМ</t>
  </si>
  <si>
    <t>О</t>
  </si>
  <si>
    <t>ЗПМ (справочно)</t>
  </si>
  <si>
    <t>М</t>
  </si>
  <si>
    <t>Стоимость материалов</t>
  </si>
  <si>
    <t>Н</t>
  </si>
  <si>
    <t>С</t>
  </si>
  <si>
    <t>СП</t>
  </si>
  <si>
    <t>И</t>
  </si>
  <si>
    <t>Итого</t>
  </si>
  <si>
    <t>НДС</t>
  </si>
  <si>
    <t>НДС 20%</t>
  </si>
  <si>
    <t>В</t>
  </si>
  <si>
    <t>Всего с НДС</t>
  </si>
  <si>
    <t>Монтаж реклоузера</t>
  </si>
  <si>
    <t>3</t>
  </si>
  <si>
    <t>33-04-016-2</t>
  </si>
  <si>
    <t>Развозка конструкций и материалов опор ВЛ 0,38-10 кВ по трассе одностоечных железобетонных опор</t>
  </si>
  <si>
    <t>1 ОПОРА</t>
  </si>
  <si>
    <t>ТЕР Чувашская республика (редакция 2014), 33-04-016-2, Приказ Минстроя России от 05.05.2015 № 337/пр</t>
  </si>
  <si>
    <t>4</t>
  </si>
  <si>
    <t>м08-01-087-3</t>
  </si>
  <si>
    <t>Металлические конструкции</t>
  </si>
  <si>
    <t>1 Т</t>
  </si>
  <si>
    <t>ТЕРм Чувашская республика (редакция 2014), м08-01-087-3, Приказ Минстроя России от 05.05.2015 № 337/пр</t>
  </si>
  <si>
    <t>5</t>
  </si>
  <si>
    <t>33-04-003-2</t>
  </si>
  <si>
    <t>Установка железобетонных опор ВЛ 0,38; 6-10 кВ с траверсами без приставок: одностоечных с одним подкосом</t>
  </si>
  <si>
    <t>ТЕР Чувашская республика (редакция 2014), 33-04-003-2, Приказ Минстроя России от 05.05.2015 № 337/пр</t>
  </si>
  <si>
    <t>5,1</t>
  </si>
  <si>
    <t>101-1714</t>
  </si>
  <si>
    <t>Болты с гайками и шайбами строительные</t>
  </si>
  <si>
    <t>т</t>
  </si>
  <si>
    <t>ТССЦ Чувашская республика (редакция 2014), 101-1714, Приказ Минстроя России от 05.05.2015 № 337/пр</t>
  </si>
  <si>
    <t>5,2</t>
  </si>
  <si>
    <t>101-9341</t>
  </si>
  <si>
    <t>Сталь стержневая диаметром до 10 мм</t>
  </si>
  <si>
    <t>ТССЦ Чувашская республика (редакция 2014), 101-9341, Приказ Минстроя России от 05.05.2015 № 337/пр</t>
  </si>
  <si>
    <t>5,3</t>
  </si>
  <si>
    <t>110-9030</t>
  </si>
  <si>
    <t>Изоляторы штыревые</t>
  </si>
  <si>
    <t>шт.</t>
  </si>
  <si>
    <t>ТССЦ Чувашская республика (редакция 2014), 110-9030, Приказ Минстроя России от 05.05.2015 № 337/пр</t>
  </si>
  <si>
    <t>5,4</t>
  </si>
  <si>
    <t>110-9091</t>
  </si>
  <si>
    <t>Штыри</t>
  </si>
  <si>
    <t>ТССЦ Чувашская республика (редакция 2014), 110-9091, Приказ Минстроя России от 05.05.2015 № 337/пр</t>
  </si>
  <si>
    <t>5,5</t>
  </si>
  <si>
    <t>110-9126</t>
  </si>
  <si>
    <t>Металлические плакаты</t>
  </si>
  <si>
    <t>ТССЦ Чувашская республика (редакция 2014), 110-9126, Приказ Минстроя России от 05.05.2015 № 337/пр</t>
  </si>
  <si>
    <t>5,6</t>
  </si>
  <si>
    <t>201-9261</t>
  </si>
  <si>
    <t>Детали крепления стальные</t>
  </si>
  <si>
    <t>кг</t>
  </si>
  <si>
    <t>ТССЦ Чувашская республика (редакция 2014), 201-9261, Приказ Минстроя России от 05.05.2015 № 337/пр</t>
  </si>
  <si>
    <t>5,7</t>
  </si>
  <si>
    <t>201-9266</t>
  </si>
  <si>
    <t>Хомуты стальные</t>
  </si>
  <si>
    <t>ТССЦ Чувашская республика (редакция 2014), 201-9266, Приказ Минстроя России от 05.05.2015 № 337/пр</t>
  </si>
  <si>
    <t>5,8</t>
  </si>
  <si>
    <t>201-9285</t>
  </si>
  <si>
    <t>Траверсы стальные</t>
  </si>
  <si>
    <t>ТССЦ Чувашская республика (редакция 2014), 201-9285, Приказ Минстроя России от 05.05.2015 № 337/пр</t>
  </si>
  <si>
    <t>5,9</t>
  </si>
  <si>
    <t>403-1180</t>
  </si>
  <si>
    <t>Стойка железобетонная вибрированная для опор</t>
  </si>
  <si>
    <t>ТССЦ Чувашская республика (редакция 2014), 403-1180, Приказ Минстроя России от 05.05.2015 № 337/пр</t>
  </si>
  <si>
    <t>6</t>
  </si>
  <si>
    <t>403-2127</t>
  </si>
  <si>
    <t>Стойка опоры СВ 110-3,5 /бетон В30 (М400), объем 0,45 м3, расход ар-ры 66,8 кг/ (серия 3.407.1-143 вып.7)</t>
  </si>
  <si>
    <t>ТССЦ Чувашская республика (редакция 2014), 403-2127, Приказ Минстроя России от 05.05.2015 № 337/пр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</si>
  <si>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</si>
  <si>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</si>
  <si>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</si>
  <si>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7</t>
  </si>
  <si>
    <t>201-8113</t>
  </si>
  <si>
    <t>Траверсы стальные (Траверса ТМ-71 21,76 кг и траверса ТМ-66 6,7 кг)</t>
  </si>
  <si>
    <t>ТССЦ Чувашская республика (редакция 2014), 201-8113, Приказ Минстроя России от 05.05.2015 № 337/пр</t>
  </si>
  <si>
    <t>8</t>
  </si>
  <si>
    <t>201-0856</t>
  </si>
  <si>
    <t>Хомуты стальные (Хомут Х-12 1,18 кг)</t>
  </si>
  <si>
    <t>ТССЦ Чувашская республика (редакция 2014), 201-0856, Приказ Минстроя России от 05.05.2015 № 337/пр</t>
  </si>
  <si>
    <t>9</t>
  </si>
  <si>
    <t>204-0003</t>
  </si>
  <si>
    <t>Горячекатаная арматурная сталь гладкая класса А-I, диаметром 10 мм</t>
  </si>
  <si>
    <t>ТССЦ Чувашская республика (редакция 2014), 204-0003, Приказ Минстроя России от 05.05.2015 № 337/пр</t>
  </si>
  <si>
    <t>10</t>
  </si>
  <si>
    <t>110-0318</t>
  </si>
  <si>
    <t>Изоляторы линейные штыревые высоковольтные ШФ 20-Г (прим. Изолятор ШФ-20)</t>
  </si>
  <si>
    <t>ТССЦ Чувашская республика (редакция 2014), 110-0318, Приказ Минстроя России от 05.05.2015 № 337/пр</t>
  </si>
  <si>
    <t>11</t>
  </si>
  <si>
    <t>509-1714</t>
  </si>
  <si>
    <t>Зажим натяжной болтовый НБ-2-6</t>
  </si>
  <si>
    <t>ТССЦ Чувашская республика (редакция 2014), 509-1714, Приказ Минстроя России от 05.05.2015 № 337/пр</t>
  </si>
  <si>
    <t>Материалы монтажные</t>
  </si>
  <si>
    <t>Материалы и конструкции ( монтажные )  по ценникам и каталогам</t>
  </si>
  <si>
    <t>ФССЦм</t>
  </si>
  <si>
    <t>12</t>
  </si>
  <si>
    <t>110-0316</t>
  </si>
  <si>
    <t>Звено промежуточное трехлапчатое ПРТ-7-1</t>
  </si>
  <si>
    <t>ТССЦ Чувашская республика (редакция 2014), 110-0316, Приказ Минстроя России от 05.05.2015 № 337/пр</t>
  </si>
  <si>
    <t>13</t>
  </si>
  <si>
    <t>509-1771</t>
  </si>
  <si>
    <t>Ушко однолапчатое У1-7-16</t>
  </si>
  <si>
    <t>ТССЦ Чувашская республика (редакция 2014), 509-1771, Приказ Минстроя России от 05.05.2015 № 337/пр</t>
  </si>
  <si>
    <t>14</t>
  </si>
  <si>
    <t>110-0345</t>
  </si>
  <si>
    <t>Изоляторы линейные подвесные стеклянные ПСД-70Е  (прим. Изолятор ПС-70)</t>
  </si>
  <si>
    <t>ТССЦ Чувашская республика (редакция 2014), 110-0345, Приказ Минстроя России от 05.05.2015 № 337/пр</t>
  </si>
  <si>
    <t>15</t>
  </si>
  <si>
    <t>509-5944</t>
  </si>
  <si>
    <t>Зажим аппаратный прессуемый А1А-70-2</t>
  </si>
  <si>
    <t>ТССЦ Чувашская республика (редакция 2014), 509-5944, Приказ Минстроя России от 05.05.2015 № 337/пр</t>
  </si>
  <si>
    <t>16</t>
  </si>
  <si>
    <t>Прайс-лист</t>
  </si>
  <si>
    <t>Узел крепления У-1</t>
  </si>
  <si>
    <t>Материалы, изделия и конструкции</t>
  </si>
  <si>
    <t>материалы (03)</t>
  </si>
  <si>
    <t>[700 / 1,2]</t>
  </si>
  <si>
    <t>0</t>
  </si>
  <si>
    <t>17</t>
  </si>
  <si>
    <t>33-04-030-1</t>
  </si>
  <si>
    <t>Установка разрядников с помощью механизмов</t>
  </si>
  <si>
    <t>1 КОМПЛ.</t>
  </si>
  <si>
    <t>ТЕР Чувашская республика (редакция 2014), 33-04-030-1, Приказ Минстроя России от 05.05.2015 № 337/пр</t>
  </si>
  <si>
    <t>17,1</t>
  </si>
  <si>
    <t>17,2</t>
  </si>
  <si>
    <t>17,3</t>
  </si>
  <si>
    <t>17,4</t>
  </si>
  <si>
    <t>17,5</t>
  </si>
  <si>
    <t>18</t>
  </si>
  <si>
    <t>19</t>
  </si>
  <si>
    <t>33-03-004-1</t>
  </si>
  <si>
    <t>Забивка вертикальных заземлителей механизированная на глубину до 5 м</t>
  </si>
  <si>
    <t>1 заземлитель</t>
  </si>
  <si>
    <t>ТЕР Чувашская республика (редакция 2014), 33-03-004-1, Приказ Минстроя России от 05.05.2015 № 337/пр</t>
  </si>
  <si>
    <t>19,1</t>
  </si>
  <si>
    <t>204-0004</t>
  </si>
  <si>
    <t>Горячекатаная арматурная сталь гладкая класса А-I, диаметром 12 мм</t>
  </si>
  <si>
    <t>ТССЦ Чувашская республика (редакция 2014), 204-0004, Приказ Минстроя России от 05.05.2015 № 337/пр</t>
  </si>
  <si>
    <t>20</t>
  </si>
  <si>
    <t>101-1641</t>
  </si>
  <si>
    <t>Сталь угловая равнополочная, марка стали ВСт3кп2, размером 50x50x5 мм</t>
  </si>
  <si>
    <t>ТССЦ Чувашская республика (редакция 2014), 101-1641, Приказ Минстроя России от 05.05.2015 № 337/пр</t>
  </si>
  <si>
    <t>21</t>
  </si>
  <si>
    <t>33-04-031-3</t>
  </si>
  <si>
    <t>Установка оборудования пунктов секционирования на железобетонных стойках опор ВЛ</t>
  </si>
  <si>
    <t>1 ПУНКТ</t>
  </si>
  <si>
    <t>ТЕР Чувашская республика (редакция 2014), 33-04-031-3, Приказ Минстроя России от 05.05.2015 № 337/пр</t>
  </si>
  <si>
    <t>21,1</t>
  </si>
  <si>
    <t>22</t>
  </si>
  <si>
    <t>Оборудование Заказчика</t>
  </si>
  <si>
    <t>Комплект вакуумного реклоузера</t>
  </si>
  <si>
    <t>компл.</t>
  </si>
  <si>
    <t>оборудование</t>
  </si>
  <si>
    <t>Оборудование</t>
  </si>
  <si>
    <t>оборудование (03)</t>
  </si>
  <si>
    <t>Устройство контура заземления</t>
  </si>
  <si>
    <t>23</t>
  </si>
  <si>
    <t>01-02-057-2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</si>
  <si>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</si>
  <si>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</si>
  <si>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 Чувашская республика (редакция 2014), 01-02-057-2, Приказ Минстроя России от 05.05.2015 № 337/пр</t>
  </si>
  <si>
    <t>Земляные работы</t>
  </si>
  <si>
    <t>Земляные работы, выполняемые: ручным способом</t>
  </si>
  <si>
    <t>ФЕР-01</t>
  </si>
  <si>
    <t>Пр/812-001.2-1</t>
  </si>
  <si>
    <t>Пр/774-001.2</t>
  </si>
  <si>
    <t>24</t>
  </si>
  <si>
    <t>01-02-061-2</t>
  </si>
  <si>
    <t>Засыпка вручную траншей, пазух котлованов и ям, группа грунтов 2</t>
  </si>
  <si>
    <t>ТЕР Чувашская республика (редакция 2014), 01-02-061-2, Приказ Минстроя России от 05.05.2015 № 337/пр</t>
  </si>
  <si>
    <t>25</t>
  </si>
  <si>
    <t>м08-02-472-2</t>
  </si>
  <si>
    <t>Заземлитель горизонтальный из стали полосовой сечением 160 мм2</t>
  </si>
  <si>
    <t>100 м</t>
  </si>
  <si>
    <t>ТЕРм Чувашская республика (редакция 2014), м08-02-472-2, Приказ Минстроя России от 05.05.2015 № 337/пр</t>
  </si>
  <si>
    <t>26</t>
  </si>
  <si>
    <t>101-2548</t>
  </si>
  <si>
    <t>Сталь полосовая 40х4 мм</t>
  </si>
  <si>
    <t>ТССЦ Чувашская республика (редакция 2014), 101-2548, Приказ Минстроя России от 05.05.2015 № 337/пр</t>
  </si>
  <si>
    <t>27</t>
  </si>
  <si>
    <t>27,1</t>
  </si>
  <si>
    <t>28</t>
  </si>
  <si>
    <t>29</t>
  </si>
  <si>
    <t>п01-11-010-1</t>
  </si>
  <si>
    <t>Измерение сопротивления растеканию тока заземлителя</t>
  </si>
  <si>
    <t>1 измерение</t>
  </si>
  <si>
    <t>ТЕРп Чувашская республика (редакция 2014), п01-11-010-1, Приказ Минстроя России от 05.05.2015 № 337/пр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</si>
  <si>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</si>
  <si>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</si>
  <si>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</si>
  <si>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</si>
  <si>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</si>
  <si>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30</t>
  </si>
  <si>
    <t>п01-11-011-1</t>
  </si>
  <si>
    <t>Проверка наличия цепи между заземлителями и заземленными элементами</t>
  </si>
  <si>
    <t>100 точек</t>
  </si>
  <si>
    <t>ТЕРп Чувашская республика (редакция 2014), п01-11-011-1, Приказ Минстроя России от 05.05.2015 № 337/пр</t>
  </si>
  <si>
    <t>Монтаж разъединителя</t>
  </si>
  <si>
    <t>31</t>
  </si>
  <si>
    <t>32</t>
  </si>
  <si>
    <t>33-04-030-3</t>
  </si>
  <si>
    <t>Установка разъединителей с помощью механизмов</t>
  </si>
  <si>
    <t>ТЕР Чувашская республика (редакция 2014), 33-04-030-3, Приказ Минстроя России от 05.05.2015 № 337/пр</t>
  </si>
  <si>
    <t>32,1</t>
  </si>
  <si>
    <t>32,2</t>
  </si>
  <si>
    <t>32,3</t>
  </si>
  <si>
    <t>32,4</t>
  </si>
  <si>
    <t>32,5</t>
  </si>
  <si>
    <t>32,6</t>
  </si>
  <si>
    <t>502-9079</t>
  </si>
  <si>
    <t>Провода неизолированные</t>
  </si>
  <si>
    <t>ТССЦ Чувашская республика (редакция 2014), 502-9079, Приказ Минстроя России от 05.05.2015 № 337/пр</t>
  </si>
  <si>
    <t>33</t>
  </si>
  <si>
    <t>Траверсы металлические высоковольтные (Траверса ТМ-3 22,66 кг)</t>
  </si>
  <si>
    <t>34</t>
  </si>
  <si>
    <t>35</t>
  </si>
  <si>
    <t>36</t>
  </si>
  <si>
    <t>37</t>
  </si>
  <si>
    <t>Разъединитель РЛНД с приводом ПРНЗ</t>
  </si>
  <si>
    <t>[12 500 / 1,2]</t>
  </si>
  <si>
    <t>38</t>
  </si>
  <si>
    <t>Комплект крепления  разъединителя РЛНД на опору (траверса под разъединитель, траверса крепления привода)</t>
  </si>
  <si>
    <t>[12 000 / 1,2]</t>
  </si>
  <si>
    <t>39</t>
  </si>
  <si>
    <t>502-0860</t>
  </si>
  <si>
    <t>Провода самонесущие изолированные для воздушных линий электропередачи с алюминиевыми жилами марки СИП-3 1х70-20</t>
  </si>
  <si>
    <t>1000 м</t>
  </si>
  <si>
    <t>ТССЦ Чувашская республика (редакция 2014), 502-0860, Приказ Минстроя России от 05.05.2015 № 337/пр</t>
  </si>
  <si>
    <t>1000 М</t>
  </si>
  <si>
    <t>40</t>
  </si>
  <si>
    <t>111-3249</t>
  </si>
  <si>
    <t>Наконечник изолированный алюминиевый с медной клеммой (СИП) CPTAU 70</t>
  </si>
  <si>
    <t>ТССЦ Чувашская республика (редакция 2014), 111-3249, Приказ Минстроя России от 05.05.2015 № 337/пр</t>
  </si>
  <si>
    <t>41</t>
  </si>
  <si>
    <t>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</si>
  <si>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</t>
  </si>
  <si>
    <t>м</t>
  </si>
  <si>
    <t>ТССЦ Чувашская республика (редакция 2014), 103-0015, Приказ Минстроя России от 05.05.2015 № 337/пр</t>
  </si>
  <si>
    <t>42</t>
  </si>
  <si>
    <t>42,1</t>
  </si>
  <si>
    <t>43</t>
  </si>
  <si>
    <t>44</t>
  </si>
  <si>
    <t>Присоединение к зажимам жил проводов или кабелей сечением до 70 мм2</t>
  </si>
  <si>
    <t>Подвеска провода</t>
  </si>
  <si>
    <t>45</t>
  </si>
  <si>
    <t>33-04-009-2</t>
  </si>
  <si>
    <t>Подвеска проводов ВЛ 6-10 кВ в ненаселенной местности сечением свыше 35 мм2 с помощью механизмов</t>
  </si>
  <si>
    <t>1 км линии (3 провода) при 10 опорах</t>
  </si>
  <si>
    <t>ТЕР Чувашская республика (редакция 2014), 33-04-009-2, Приказ Минстроя России от 05.05.2015 № 337/пр</t>
  </si>
  <si>
    <t>45,1</t>
  </si>
  <si>
    <t>110-9009</t>
  </si>
  <si>
    <t>Арматура линейная</t>
  </si>
  <si>
    <t>ТССЦ Чувашская республика (редакция 2014), 110-9009, Приказ Минстроя России от 05.05.2015 № 337/пр</t>
  </si>
  <si>
    <t>45,2</t>
  </si>
  <si>
    <t>110-9032</t>
  </si>
  <si>
    <t>Изоляторы линейные подвесные тарельчатые</t>
  </si>
  <si>
    <t>ТССЦ Чувашская республика (редакция 2014), 110-9032, Приказ Минстроя России от 05.05.2015 № 337/пр</t>
  </si>
  <si>
    <t>45,3</t>
  </si>
  <si>
    <t>46</t>
  </si>
  <si>
    <t>509-5892</t>
  </si>
  <si>
    <t>Зажим плашечный соединительный ПА 2-2</t>
  </si>
  <si>
    <t>ТССЦ Чувашская республика (редакция 2014), 509-5892, Приказ Минстроя России от 05.05.2015 № 337/пр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</si>
  <si>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</si>
  <si>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</si>
  <si>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</si>
  <si>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</si>
  <si>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</si>
  <si>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</si>
  <si>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</si>
  <si>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</si>
  <si>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</si>
  <si>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</si>
  <si>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</si>
  <si>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</si>
  <si>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</si>
  <si>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</si>
  <si>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</si>
  <si>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</si>
  <si>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</si>
  <si>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</si>
  <si>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</si>
  <si>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</si>
  <si>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</si>
  <si>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</si>
  <si>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</si>
  <si>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</si>
  <si>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</si>
  <si>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</si>
  <si>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</si>
  <si>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</si>
  <si>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</si>
  <si>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</si>
  <si>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</si>
  <si>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</si>
  <si>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</si>
  <si>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</si>
  <si>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</si>
  <si>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</si>
  <si>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</si>
  <si>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</si>
  <si>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</si>
  <si>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</si>
  <si>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</si>
  <si>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</si>
  <si>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</si>
  <si>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</si>
  <si>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</si>
  <si>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</si>
  <si>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</si>
  <si>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</si>
  <si>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</si>
  <si>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</si>
  <si>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</si>
  <si>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</si>
  <si>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</si>
  <si>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</si>
  <si>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</si>
  <si>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</si>
  <si>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</si>
  <si>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</si>
  <si>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</si>
  <si>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</si>
  <si>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</si>
  <si>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</si>
  <si>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</si>
  <si>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</si>
  <si>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</si>
  <si>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</si>
  <si>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Сборник индексов</t>
  </si>
  <si>
    <t>ТСН Чувашской республики (редакция 2014 г)</t>
  </si>
  <si>
    <t>_OBSM_</t>
  </si>
  <si>
    <t>1-1030-21</t>
  </si>
  <si>
    <t>Рабочий строитель среднего разряда 3</t>
  </si>
  <si>
    <t>чел.-ч</t>
  </si>
  <si>
    <t>Затраты труда машинистов</t>
  </si>
  <si>
    <t>чел.час</t>
  </si>
  <si>
    <t>031001</t>
  </si>
  <si>
    <t>ТСЭМ Чувашская республика (редакция 2014), 031001, Приказ Минстроя России от 05.05.2015 № 337/пр</t>
  </si>
  <si>
    <t>Автогидроподъемники высотой подъема 12 м</t>
  </si>
  <si>
    <t>маш.-ч</t>
  </si>
  <si>
    <t>400001</t>
  </si>
  <si>
    <t>ТСЭМ Чувашская республика (редакция 2014), 400001, Приказ Минстроя России от 05.05.2015 № 337/пр</t>
  </si>
  <si>
    <t>Автомобили бортовые, грузоподъемность до 5 т</t>
  </si>
  <si>
    <t>1-2040-21</t>
  </si>
  <si>
    <t>Рабочий монтажник среднего разряда 4</t>
  </si>
  <si>
    <t>999-9950</t>
  </si>
  <si>
    <t>ТССЦ Чувашская республика (редакция 2014), 999-9950, Приказ Минстроя России от 05.05.2015 № 337/пр</t>
  </si>
  <si>
    <t>Вспомогательные ненормируемые материалы (2% от ОЗП)</t>
  </si>
  <si>
    <t>РУБ</t>
  </si>
  <si>
    <t>1-1025-21</t>
  </si>
  <si>
    <t>Рабочий строитель среднего разряда 2,5</t>
  </si>
  <si>
    <t>010201</t>
  </si>
  <si>
    <t>ТСЭМ Чувашская республика (редакция 2014), 010201, Приказ Минстроя России от 05.05.2015 № 337/пр</t>
  </si>
  <si>
    <t>Прицепы тракторные 2 т</t>
  </si>
  <si>
    <t>010410</t>
  </si>
  <si>
    <t>ТСЭМ Чувашская республика (редакция 2014), 010410, Приказ Минстроя России от 05.05.2015 № 337/пр</t>
  </si>
  <si>
    <t>Тракторы на пневмоколесном ходу при работе на других видах строительства 59 кВт (80 л.с.)</t>
  </si>
  <si>
    <t>021141</t>
  </si>
  <si>
    <t>ТСЭМ Чувашская республика (редакция 2014), 021141, Приказ Минстроя России от 05.05.2015 № 337/пр</t>
  </si>
  <si>
    <t>Краны на автомобильном ходу при работе на других видах строительства 10 т</t>
  </si>
  <si>
    <t>021102</t>
  </si>
  <si>
    <t>ТСЭМ Чувашская республика (редакция 2014), 021102, Приказ Минстроя России от 05.05.2015 № 337/пр</t>
  </si>
  <si>
    <t>Краны на автомобильном ходу при работе на монтаже технологического оборудования 10 т</t>
  </si>
  <si>
    <t>040502</t>
  </si>
  <si>
    <t>ТСЭМ Чувашская республика (редакция 2014), 040502, Приказ Минстроя России от 05.05.2015 № 337/пр</t>
  </si>
  <si>
    <t>Установки для сварки ручной дуговой (постоянного тока)</t>
  </si>
  <si>
    <t>101-1306</t>
  </si>
  <si>
    <t>ТССЦ Чувашская республика (редакция 2014), 101-1306, Приказ Минстроя России от 05.05.2015 № 337/пр</t>
  </si>
  <si>
    <t>Портландцемент общестроительного назначения бездобавочный, марки 500</t>
  </si>
  <si>
    <t>101-1728</t>
  </si>
  <si>
    <t>ТССЦ Чувашская республика (редакция 2014), 101-1728, Приказ Минстроя России от 05.05.2015 № 337/пр</t>
  </si>
  <si>
    <t>Дюбели распорные с гайкой</t>
  </si>
  <si>
    <t>101-1924</t>
  </si>
  <si>
    <t>ТССЦ Чувашская республика (редакция 2014), 101-1924, Приказ Минстроя России от 05.05.2015 № 337/пр</t>
  </si>
  <si>
    <t>Электроды диаметром 4 мм Э42А</t>
  </si>
  <si>
    <t>101-1977</t>
  </si>
  <si>
    <t>ТССЦ Чувашская республика (редакция 2014), 101-1977, Приказ Минстроя России от 05.05.2015 № 337/пр</t>
  </si>
  <si>
    <t>201-0843</t>
  </si>
  <si>
    <t>ТССЦ Чувашская республика (редакция 2014), 201-0843, Приказ Минстроя России от 05.05.2015 № 337/пр</t>
  </si>
  <si>
    <t>Конструкции стальные индивидуальные решетчатые сварные массой до 0,1 т</t>
  </si>
  <si>
    <t>408-0141</t>
  </si>
  <si>
    <t>ТССЦ Чувашская республика (редакция 2014), 408-0141, Приказ Минстроя России от 05.05.2015 № 337/пр</t>
  </si>
  <si>
    <t>Песок природный для строительных растворов средний</t>
  </si>
  <si>
    <t>м3</t>
  </si>
  <si>
    <t>1-1033-21</t>
  </si>
  <si>
    <t>Рабочий строитель среднего разряда 3,3</t>
  </si>
  <si>
    <t>160402</t>
  </si>
  <si>
    <t>ТСЭМ Чувашская республика (редакция 2014), 160402, Приказ Минстроя России от 05.05.2015 № 337/пр</t>
  </si>
  <si>
    <t>Машины бурильно-крановые на автомобиле, глубина бурения 3,5 м</t>
  </si>
  <si>
    <t>101-0404</t>
  </si>
  <si>
    <t>ТССЦ Чувашская республика (редакция 2014), 101-0404, Приказ Минстроя России от 05.05.2015 № 337/пр</t>
  </si>
  <si>
    <t>Краска для наружных работ черная, марок МА-015, ПФ-014</t>
  </si>
  <si>
    <t>101-0962</t>
  </si>
  <si>
    <t>ТССЦ Чувашская республика (редакция 2014), 101-0962, Приказ Минстроя России от 05.05.2015 № 337/пр</t>
  </si>
  <si>
    <t>Смазка солидол жировой марки «Ж»</t>
  </si>
  <si>
    <t>101-1757</t>
  </si>
  <si>
    <t>ТССЦ Чувашская республика (редакция 2014), 101-1757, Приказ Минстроя России от 05.05.2015 № 337/пр</t>
  </si>
  <si>
    <t>Ветошь</t>
  </si>
  <si>
    <t>101-2349</t>
  </si>
  <si>
    <t>ТССЦ Чувашская республика (редакция 2014), 101-2349, Приказ Минстроя России от 05.05.2015 № 337/пр</t>
  </si>
  <si>
    <t>Смазка ЗЭС</t>
  </si>
  <si>
    <t>113-0079</t>
  </si>
  <si>
    <t>ТССЦ Чувашская республика (редакция 2014), 113-0079, Приказ Минстроя России от 05.05.2015 № 337/пр</t>
  </si>
  <si>
    <t>Лак БТ-577</t>
  </si>
  <si>
    <t>509-1073</t>
  </si>
  <si>
    <t>ТССЦ Чувашская республика (редакция 2014), 509-1073, Приказ Минстроя России от 05.05.2015 № 337/пр</t>
  </si>
  <si>
    <t>Колпачки полиэтиленовые</t>
  </si>
  <si>
    <t>101-1292</t>
  </si>
  <si>
    <t>ТССЦ Чувашская республика (редакция 2014), 101-1292, Приказ Минстроя России от 05.05.2015 № 337/пр</t>
  </si>
  <si>
    <t>Уайт-спирит</t>
  </si>
  <si>
    <t>1-1029-21</t>
  </si>
  <si>
    <t>Рабочий строитель среднего разряда 2,9</t>
  </si>
  <si>
    <t>040202</t>
  </si>
  <si>
    <t>ТСЭМ Чувашская республика (редакция 2014), 040202, Приказ Минстроя России от 05.05.2015 № 337/пр</t>
  </si>
  <si>
    <t>Агрегаты сварочные передвижные с номинальным сварочным током 250-400 А с дизельным двигателем</t>
  </si>
  <si>
    <t>050101</t>
  </si>
  <si>
    <t>ТСЭМ Чувашская республика (редакция 2014), 050101, Приказ Минстроя России от 05.05.2015 № 337/пр</t>
  </si>
  <si>
    <t>Компрессоры передвижные с двигателем внутреннего сгорания давлением до 686 кПа (7 ат), производительность  до 5 м3/мин</t>
  </si>
  <si>
    <t>331481</t>
  </si>
  <si>
    <t>ТСЭМ Чувашская республика (редакция 2014), 331481, Приказ Минстроя России от 05.05.2015 № 337/пр</t>
  </si>
  <si>
    <t>Машины пневматические ПУМ-3</t>
  </si>
  <si>
    <t>101-1513</t>
  </si>
  <si>
    <t>ТССЦ Чувашская республика (редакция 2014), 101-1513, Приказ Минстроя России от 05.05.2015 № 337/пр</t>
  </si>
  <si>
    <t>Электроды диаметром 4 мм Э42</t>
  </si>
  <si>
    <t>1-1040-21</t>
  </si>
  <si>
    <t>Рабочий строитель среднего разряда 4</t>
  </si>
  <si>
    <t>1-1020-21</t>
  </si>
  <si>
    <t>Рабочий строитель среднего разряда 2</t>
  </si>
  <si>
    <t>1-1015-21</t>
  </si>
  <si>
    <t>Рабочий строитель среднего разряда 1,5</t>
  </si>
  <si>
    <t>1-2038-21</t>
  </si>
  <si>
    <t>Рабочий монтажник среднего разряда 3,8</t>
  </si>
  <si>
    <t>113-1786</t>
  </si>
  <si>
    <t>ТССЦ Чувашская республика (редакция 2014), 113-1786, Приказ Минстроя России от 05.05.2015 № 337/пр</t>
  </si>
  <si>
    <t>Лак битумный БТ-123</t>
  </si>
  <si>
    <t>0-3306-21</t>
  </si>
  <si>
    <t>Электромонтажник-наладчик 6 разряда</t>
  </si>
  <si>
    <t>2-0023-21</t>
  </si>
  <si>
    <t>Инженер по наладке и испытаниям III категории</t>
  </si>
  <si>
    <t>1-1043-21</t>
  </si>
  <si>
    <t>Рабочий строитель среднего разряда 4,3</t>
  </si>
  <si>
    <t>1-1037-21</t>
  </si>
  <si>
    <t>Рабочий строитель среднего разряда 3,7</t>
  </si>
  <si>
    <t>101-1745</t>
  </si>
  <si>
    <t>ТССЦ Чувашская республика (редакция 2014), 101-1745, Приказ Минстроя России от 05.05.2015 № 337/пр</t>
  </si>
  <si>
    <t>Бензин растворитель</t>
  </si>
  <si>
    <t>506-0853</t>
  </si>
  <si>
    <t>ТССЦ Чувашская республика (редакция 2014), 506-0853, Приказ Минстроя России от 05.05.2015 № 337/пр</t>
  </si>
  <si>
    <t>Проволока из алюминия диаметром 3 мм</t>
  </si>
  <si>
    <t>509-0455</t>
  </si>
  <si>
    <t>ТССЦ Чувашская республика (редакция 2014), 509-0455, Приказ Минстроя России от 05.05.2015 № 337/пр</t>
  </si>
  <si>
    <t>Соединитель алюминиевых и сталеалюминиевых проводов (СОАС) 062-3</t>
  </si>
  <si>
    <t>"_____"________________ 2024 г.</t>
  </si>
  <si>
    <t xml:space="preserve">  на</t>
  </si>
  <si>
    <t>(наименование работ и затрат, наименование объекта)</t>
  </si>
  <si>
    <t>базовая цена</t>
  </si>
  <si>
    <t>текущая цена</t>
  </si>
  <si>
    <t>Сметная стоимость</t>
  </si>
  <si>
    <t>тыс.руб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</si>
  <si>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</si>
  <si>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</si>
  <si>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</si>
  <si>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</si>
  <si>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</si>
  <si>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</si>
  <si>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</si>
  <si>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</si>
  <si>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</si>
  <si>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изме-рения</t>
  </si>
  <si>
    <t>Кол-во единиц</t>
  </si>
  <si>
    <t>Цена на ед. изм. руб.</t>
  </si>
  <si>
    <t>попра-вочные коэффиц.</t>
  </si>
  <si>
    <t>Стоимость в ценах 2001г.</t>
  </si>
  <si>
    <t>Пункт коэффиц. пересчета</t>
  </si>
  <si>
    <t>Коэфф. пересчета</t>
  </si>
  <si>
    <t>Стоимость в текущих ценах</t>
  </si>
  <si>
    <t>ЗТР всего чел.-час</t>
  </si>
  <si>
    <t>Составлена в ценах ТСН Чувашской республики (редакция 2014 г) июнь 2024 года</t>
  </si>
  <si>
    <t>Зарплата</t>
  </si>
  <si>
    <t>в т.ч. зарплата машинистов</t>
  </si>
  <si>
    <t>НР от ФОТ</t>
  </si>
  <si>
    <t>%</t>
  </si>
  <si>
    <t>СП от ФОТ</t>
  </si>
  <si>
    <t>Затраты труда</t>
  </si>
  <si>
    <t>чел-ч</t>
  </si>
  <si>
    <t>Материальные ресурсы</t>
  </si>
  <si>
    <r>
      <t>Узел крепления У-1</t>
    </r>
    <r>
      <rPr>
        <i/>
        <sz val="10"/>
        <rFont val="Arial"/>
        <family val="2"/>
        <charset val="204"/>
      </rPr>
      <t xml:space="preserve">
583,33 = [700 / 1,2]</t>
    </r>
  </si>
  <si>
    <t>Исключен
Горячекатаная арматурная сталь гладкая класса А-I, диаметром 12 мм</t>
  </si>
  <si>
    <r>
      <t>Разъединитель РЛНД с приводом ПРНЗ</t>
    </r>
    <r>
      <rPr>
        <i/>
        <sz val="10"/>
        <rFont val="Arial"/>
        <family val="2"/>
        <charset val="204"/>
      </rPr>
      <t xml:space="preserve">
10 416,67 = [12 500 / 1,2]</t>
    </r>
  </si>
  <si>
    <r>
      <t>Комплект крепления  разъединителя РЛНД на опору (траверса под разъединитель, траверса крепления привода)</t>
    </r>
    <r>
      <rPr>
        <i/>
        <sz val="10"/>
        <rFont val="Arial"/>
        <family val="2"/>
        <charset val="204"/>
      </rPr>
      <t xml:space="preserve">
10 000,00 = [12 000 / 1,2]</t>
    </r>
  </si>
  <si>
    <t>Составил</t>
  </si>
  <si>
    <t>Должность</t>
  </si>
  <si>
    <t>Подпись</t>
  </si>
  <si>
    <t>Ф.И.О.</t>
  </si>
  <si>
    <t>М.П.</t>
  </si>
  <si>
    <t>Проверил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</si>
  <si>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</si>
  <si>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</si>
  <si>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</si>
  <si>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</si>
  <si>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</si>
  <si>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</si>
  <si>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</si>
  <si>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</si>
  <si>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</si>
  <si>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</si>
  <si>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</si>
  <si>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</si>
  <si>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</si>
  <si>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</si>
  <si>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</si>
  <si>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</si>
  <si>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</si>
  <si>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</si>
  <si>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</si>
  <si>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</si>
  <si>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</si>
  <si>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</si>
  <si>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</si>
  <si>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</si>
  <si>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</si>
  <si>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</si>
  <si>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</si>
  <si>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</si>
  <si>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</si>
  <si>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</si>
  <si>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</si>
  <si>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</si>
  <si>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</si>
  <si>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</si>
  <si>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</si>
  <si>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</si>
  <si>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</si>
  <si>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</si>
  <si>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</si>
  <si>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</si>
  <si>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</si>
  <si>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</si>
  <si>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</si>
  <si>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</si>
  <si>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Установка реклоузеров на КЛ-6 кВ на линии №7 в п. Сосновка, Заволжье</t>
  </si>
  <si>
    <t>Обоснование</t>
  </si>
  <si>
    <t>Наименование</t>
  </si>
  <si>
    <t>Единица измерения</t>
  </si>
  <si>
    <t>Объем</t>
  </si>
  <si>
    <t>Текущая</t>
  </si>
  <si>
    <t>цена</t>
  </si>
  <si>
    <t>стоимость</t>
  </si>
  <si>
    <t xml:space="preserve">Материальные ресурсы </t>
  </si>
  <si>
    <t xml:space="preserve">Итого материальные ресурсы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</si>
  <si>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</si>
  <si>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</si>
  <si>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</si>
  <si>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</si>
  <si>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</si>
  <si>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0322005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</si>
  <si>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</si>
  <si>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</si>
  <si>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</si>
  <si>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</si>
  <si>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</si>
  <si>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</si>
  <si>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</si>
  <si>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</si>
  <si>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</si>
  <si>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 xml:space="preserve">Вид деятельности по ОКДП  </t>
  </si>
  <si>
    <t xml:space="preserve">Договор подряда  </t>
  </si>
  <si>
    <t>номер</t>
  </si>
  <si>
    <t>дата</t>
  </si>
  <si>
    <t xml:space="preserve">Вид операции  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</si>
  <si>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</si>
  <si>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</si>
  <si>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</si>
  <si>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</si>
  <si>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</si>
  <si>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</si>
  <si>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</si>
  <si>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Номер</t>
  </si>
  <si>
    <t>поз. по сме-те</t>
  </si>
  <si>
    <t>Составлен(а) в ценах 2001 г. с учетом коэффициентов пересчета к базисной стоимости СМР в текущий уровень цен базисно-индексным методом за ТСН Чувашской республики (редакция 2014 г) июнь 2024 года</t>
  </si>
  <si>
    <t>Сдал</t>
  </si>
  <si>
    <t>Принял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</si>
  <si>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</si>
  <si>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</si>
  <si>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</si>
  <si>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</si>
  <si>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</si>
  <si>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</si>
  <si>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</si>
  <si>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</si>
  <si>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Вид операции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</si>
  <si>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</si>
  <si>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</si>
  <si>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</si>
  <si>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</si>
  <si>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</si>
  <si>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</si>
  <si>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</si>
  <si>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</si>
  <si>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</si>
  <si>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</si>
  <si>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</si>
  <si>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</si>
  <si>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</si>
  <si>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</si>
  <si>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</si>
  <si>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Установка реклоузеров на ВЛ-6 кВ на линии №11 в п. Сосновка, Заволжье</t>
  </si>
  <si>
    <t>Зам. директора по инвестиционной деятельности</t>
  </si>
  <si>
    <t>и учету электрической энергии</t>
  </si>
  <si>
    <t xml:space="preserve">ГУП Чувашской Республики "ЧГЭС" </t>
  </si>
  <si>
    <t>Минпромэнерго Чувашии</t>
  </si>
  <si>
    <t>_______________________ П.Н. Порфирьев</t>
  </si>
  <si>
    <t>Приложение № 2 к Сводной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</si>
</sst>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\ #,##0.00"/>
  </numFmts>
  <fonts count="2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sz val="14"/>
      <name val="Arial"/>
      <family val="2"/>
      <charset val="204"/>
    </font>
    <font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1"/>
      <color rgb="FFFF0000"/>
      <name val="Arial"/>
      <family val="2"/>
      <charset val="204"/>
    </font>
    <font>
      <i/>
      <sz val="11"/>
      <color rgb="FF00800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16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0" fillId="0" borderId="0" xfId="0" applyNumberFormat="1"/>
    <xf numFmtId="164" fontId="20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9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right" wrapText="1"/>
    </xf>
    <xf numFmtId="0" fontId="22" fillId="0" borderId="2" xfId="0" applyFont="1" applyBorder="1" applyAlignment="1">
      <alignment horizontal="right"/>
    </xf>
    <xf numFmtId="164" fontId="22" fillId="0" borderId="2" xfId="0" applyNumberFormat="1" applyFont="1" applyBorder="1" applyAlignment="1">
      <alignment horizontal="right"/>
    </xf>
    <xf numFmtId="0" fontId="22" fillId="0" borderId="2" xfId="0" quotePrefix="1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2" xfId="0" applyFont="1" applyBorder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2" fillId="0" borderId="3" xfId="0" quotePrefix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24" fillId="0" borderId="0" xfId="0" applyFont="1"/>
    <xf numFmtId="0" fontId="24" fillId="0" borderId="2" xfId="0" applyFont="1" applyBorder="1"/>
    <xf numFmtId="0" fontId="24" fillId="0" borderId="0" xfId="0" applyFont="1" applyAlignment="1">
      <alignment horizontal="right"/>
    </xf>
    <xf numFmtId="0" fontId="11" fillId="0" borderId="13" xfId="0" applyFont="1" applyBorder="1" applyAlignment="1">
      <alignment horizontal="center"/>
    </xf>
    <xf numFmtId="14" fontId="11" fillId="0" borderId="0" xfId="0" applyNumberFormat="1" applyFont="1"/>
    <xf numFmtId="0" fontId="11" fillId="0" borderId="6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wrapText="1" shrinkToFit="1"/>
    </xf>
    <xf numFmtId="0" fontId="11" fillId="0" borderId="4" xfId="0" applyFont="1" applyBorder="1" applyAlignment="1">
      <alignment horizontal="center" vertical="center" wrapText="1" shrinkToFi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9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left"/>
    </xf>
    <xf numFmtId="0" fontId="12" fillId="0" borderId="0" xfId="0" applyFont="1" applyAlignment="1">
      <alignment horizontal="center" wrapText="1"/>
    </xf>
    <xf numFmtId="0" fontId="21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0" fillId="0" borderId="0" xfId="0"/>
    <xf numFmtId="0" fontId="11" fillId="0" borderId="3" xfId="0" quotePrefix="1" applyFont="1" applyBorder="1" applyAlignment="1">
      <alignment horizontal="center"/>
    </xf>
    <xf numFmtId="0" fontId="11" fillId="0" borderId="15" xfId="0" applyFont="1" applyBorder="1" applyAlignment="1">
      <alignment horizontal="right"/>
    </xf>
    <xf numFmtId="14" fontId="11" fillId="0" borderId="3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0" fillId="0" borderId="2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" xfId="0" applyFont="1" applyBorder="1"/>
    <xf numFmtId="0" fontId="11" fillId="0" borderId="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6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14" fontId="11" fillId="0" borderId="6" xfId="0" applyNumberFormat="1" applyFont="1" applyBorder="1" applyAlignment="1">
      <alignment horizontal="center"/>
    </xf>
    <xf numFmtId="14" fontId="11" fillId="0" borderId="13" xfId="0" applyNumberFormat="1" applyFont="1" applyBorder="1" applyAlignment="1">
      <alignment horizontal="center"/>
    </xf>
    <xf numFmtId="0" fontId="11" fillId="0" borderId="4" xfId="0" applyFont="1" applyBorder="1"/>
    <xf numFmtId="0" fontId="11" fillId="0" borderId="8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right" vertical="center" wrapText="1" shrinkToFit="1"/>
    </xf>
    <xf numFmtId="164" fontId="11" fillId="0" borderId="4" xfId="0" applyNumberFormat="1" applyFont="1" applyBorder="1" applyAlignment="1">
      <alignment horizontal="right" vertical="center" wrapText="1" shrinkToFit="1"/>
    </xf>
    <xf numFmtId="0" fontId="11" fillId="0" borderId="8" xfId="0" applyFont="1" applyBorder="1" applyAlignment="1">
      <alignment horizontal="right" vertical="center" wrapText="1" shrinkToFit="1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justify" vertical="top" wrapText="1" shrinkToFit="1"/>
    </xf>
    <xf numFmtId="0" fontId="11" fillId="0" borderId="1" xfId="0" applyFont="1" applyBorder="1" applyAlignment="1">
      <alignment horizontal="justify" vertical="top" wrapText="1" shrinkToFit="1"/>
    </xf>
    <xf numFmtId="164" fontId="11" fillId="0" borderId="6" xfId="0" applyNumberFormat="1" applyFont="1" applyBorder="1" applyAlignment="1">
      <alignment horizontal="right" wrapText="1" shrinkToFit="1"/>
    </xf>
    <xf numFmtId="0" fontId="11" fillId="0" borderId="1" xfId="0" applyFont="1" applyBorder="1" applyAlignment="1">
      <alignment horizontal="right" wrapText="1" shrinkToFit="1"/>
    </xf>
    <xf numFmtId="0" fontId="11" fillId="0" borderId="13" xfId="0" applyFont="1" applyBorder="1" applyAlignment="1">
      <alignment horizontal="right" wrapText="1" shrinkToFit="1"/>
    </xf>
    <xf numFmtId="0" fontId="11" fillId="0" borderId="4" xfId="0" applyFont="1" applyBorder="1" applyAlignment="1">
      <alignment horizontal="justify" vertical="top" wrapText="1" shrinkToFit="1"/>
    </xf>
    <xf numFmtId="0" fontId="11" fillId="0" borderId="7" xfId="0" applyFont="1" applyBorder="1" applyAlignment="1">
      <alignment horizontal="justify" vertical="top" wrapText="1" shrinkToFit="1"/>
    </xf>
    <xf numFmtId="0" fontId="11" fillId="0" borderId="13" xfId="0" applyFont="1" applyBorder="1" applyAlignment="1">
      <alignment horizontal="justify" vertical="top" wrapText="1" shrinkToFit="1"/>
    </xf>
    <xf numFmtId="0" fontId="11" fillId="0" borderId="13" xfId="0" applyFont="1" applyBorder="1" applyAlignment="1">
      <alignment horizontal="right"/>
    </xf>
    <xf numFmtId="164" fontId="11" fillId="0" borderId="6" xfId="0" applyNumberFormat="1" applyFont="1" applyBorder="1" applyAlignment="1">
      <alignment horizontal="right"/>
    </xf>
    <xf numFmtId="164" fontId="11" fillId="0" borderId="6" xfId="0" applyNumberFormat="1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0" xfId="0" applyFont="1" applyAlignment="1">
      <alignment horizontal="right" vertical="center" shrinkToFit="1"/>
    </xf>
    <xf numFmtId="0" fontId="11" fillId="0" borderId="2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7;%20&#8470;1%20&#1059;&#1089;&#1090;&#1072;&#1085;&#1086;&#1074;&#1082;&#1072;%20&#1088;&#1077;&#1082;&#1083;&#1086;&#1091;&#1079;&#1077;&#1088;&#1086;&#1074;%20&#1085;&#1072;%20&#1042;&#1051;-6%20&#1082;&#1042;%20&#1085;&#1072;%20&#1083;&#1080;&#1085;&#1080;&#1080;%20&#8470;1%20&#1074;%20&#1087;.%20&#1057;&#1086;&#1089;&#1085;&#1086;&#1074;&#1082;&#1072;,%20&#1047;&#1072;&#1074;&#1086;&#1083;&#1078;&#110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для ТЕР ЧР"/>
      <sheetName val="RV_DATA"/>
      <sheetName val="Расчет стоимости ресурсов"/>
      <sheetName val="Акт КС-2 для ТЕР ЧР"/>
      <sheetName val="Макет форма-3"/>
      <sheetName val="Source"/>
      <sheetName val="SourceObSm"/>
      <sheetName val="SmtRes"/>
      <sheetName val="EtalonRes"/>
      <sheetName val="SrcKA"/>
    </sheetNames>
    <sheetDataSet>
      <sheetData sheetId="0"/>
      <sheetData sheetId="1"/>
      <sheetData sheetId="2"/>
      <sheetData sheetId="3"/>
      <sheetData sheetId="4"/>
      <sheetData sheetId="5">
        <row r="12">
          <cell r="AL12" t="str">
            <v/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5B14-2EF8-42F0-8F90-F5D7B2F053FE}">
  <dimension ref="A1:AM376"/>
  <sheetViews>
    <sheetView tabSelected="1" view="pageBreakPreview" zoomScale="115" zoomScaleNormal="131" zoomScaleSheetLayoutView="115" workbookViewId="0">
      <selection activeCell="B16" sqref="B16:K16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8.7109375" customWidth="1"/>
    <col min="15" max="29" width="0" hidden="1" customWidth="1"/>
    <col min="30" max="30" width="147.7109375" hidden="1" customWidth="1"/>
    <col min="31" max="31" width="160.7109375" hidden="1" customWidth="1"/>
    <col min="32" max="32" width="144.7109375" hidden="1" customWidth="1"/>
    <col min="33" max="33" width="91.7109375" hidden="1" customWidth="1"/>
    <col min="34" max="38" width="0" hidden="1" customWidth="1"/>
    <col min="39" max="39" width="76.7109375" hidden="1" customWidth="1"/>
  </cols>
  <sheetData>
    <row r="1" spans="1:30" x14ac:dyDescent="0.2">
      <c r="A1" s="9"/>
      <c r="H1" s="80" t="s">
        <v>709</v>
      </c>
    </row>
    <row r="2" spans="1:3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</row>
    <row r="3" spans="1:30" ht="16.5" x14ac:dyDescent="0.25">
      <c r="A3" s="12"/>
      <c r="B3" s="85" t="s">
        <v>657</v>
      </c>
      <c r="C3" s="85"/>
      <c r="D3" s="85"/>
      <c r="E3" s="85"/>
      <c r="F3" s="11"/>
      <c r="G3" s="11"/>
      <c r="H3" s="85" t="s">
        <v>656</v>
      </c>
      <c r="I3" s="85"/>
      <c r="J3" s="85"/>
      <c r="K3" s="85"/>
      <c r="L3" s="85"/>
    </row>
    <row r="4" spans="1:30" ht="14.25" x14ac:dyDescent="0.2">
      <c r="A4" s="11"/>
      <c r="B4" s="82"/>
      <c r="C4" s="82"/>
      <c r="D4" s="82"/>
      <c r="E4" s="82"/>
      <c r="F4" s="11"/>
      <c r="G4" s="11"/>
      <c r="H4" s="82" t="s">
        <v>704</v>
      </c>
      <c r="I4" s="82"/>
      <c r="J4" s="82"/>
      <c r="K4" s="82"/>
      <c r="L4" s="82"/>
    </row>
    <row r="5" spans="1:30" ht="14.25" x14ac:dyDescent="0.2">
      <c r="A5" s="11"/>
      <c r="B5" s="11"/>
      <c r="C5" s="13"/>
      <c r="D5" s="13"/>
      <c r="E5" s="13"/>
      <c r="F5" s="11"/>
      <c r="G5" s="11"/>
      <c r="H5" s="82" t="s">
        <v>705</v>
      </c>
      <c r="I5" s="83"/>
      <c r="J5" s="83"/>
      <c r="K5" s="83"/>
      <c r="L5" s="83"/>
    </row>
    <row r="6" spans="1:30" ht="14.25" x14ac:dyDescent="0.2">
      <c r="A6" s="13"/>
      <c r="B6" s="11"/>
      <c r="C6" s="13"/>
      <c r="D6" s="13"/>
      <c r="E6" s="13"/>
      <c r="F6" s="11"/>
      <c r="G6" s="11"/>
      <c r="H6" s="82" t="s">
        <v>706</v>
      </c>
      <c r="I6" s="83"/>
      <c r="J6" s="83"/>
      <c r="K6" s="83"/>
      <c r="L6" s="83"/>
    </row>
    <row r="7" spans="1:30" ht="14.25" customHeight="1" x14ac:dyDescent="0.2">
      <c r="A7" s="14"/>
      <c r="B7" s="11"/>
      <c r="C7" s="13"/>
      <c r="D7" s="13"/>
      <c r="E7" s="13"/>
      <c r="F7" s="11"/>
      <c r="G7" s="11"/>
      <c r="H7" s="82" t="s">
        <v>707</v>
      </c>
      <c r="I7" s="83"/>
      <c r="J7" s="83"/>
      <c r="K7" s="83"/>
      <c r="L7" s="83"/>
    </row>
    <row r="8" spans="1:30" ht="14.25" x14ac:dyDescent="0.2">
      <c r="B8" s="11"/>
      <c r="C8" s="13"/>
      <c r="D8" s="13"/>
      <c r="E8" s="13"/>
      <c r="F8" s="11"/>
      <c r="G8" s="11"/>
      <c r="H8" s="13"/>
      <c r="I8" s="79"/>
      <c r="J8" s="79"/>
      <c r="K8" s="79"/>
      <c r="L8" s="79"/>
    </row>
    <row r="9" spans="1:30" ht="14.25" x14ac:dyDescent="0.2">
      <c r="B9" s="82" t="str">
        <f>CONCATENATE("______________________ ", IF([1]Source!AL12&lt;&gt;"", [1]Source!AL12, ""))</f>
        <v xml:space="preserve">______________________ </v>
      </c>
      <c r="C9" s="82"/>
      <c r="D9" s="82"/>
      <c r="E9" s="82"/>
      <c r="F9" s="11"/>
      <c r="G9" s="11"/>
      <c r="H9" s="82" t="s">
        <v>708</v>
      </c>
      <c r="I9" s="82"/>
      <c r="J9" s="82"/>
      <c r="K9" s="82"/>
      <c r="L9" s="82"/>
    </row>
    <row r="10" spans="1:30" ht="14.25" x14ac:dyDescent="0.2">
      <c r="A10" s="14"/>
      <c r="B10" s="86" t="s">
        <v>549</v>
      </c>
      <c r="C10" s="86"/>
      <c r="D10" s="86"/>
      <c r="E10" s="86"/>
      <c r="F10" s="81"/>
      <c r="G10" s="81"/>
      <c r="H10" s="86" t="s">
        <v>549</v>
      </c>
      <c r="I10" s="86"/>
      <c r="J10" s="86"/>
      <c r="K10" s="86"/>
      <c r="L10" s="86"/>
    </row>
    <row r="11" spans="1:30" ht="14.25" x14ac:dyDescent="0.2">
      <c r="A11" s="11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14"/>
    </row>
    <row r="12" spans="1:30" ht="15.75" x14ac:dyDescent="0.25">
      <c r="A12" s="17"/>
      <c r="B12" s="91" t="str">
        <f>CONCATENATE("ЛОКАЛЬНАЯ СМЕТА № 2", Source!F20)</f>
        <v>ЛОКАЛЬНАЯ СМЕТА № 2</v>
      </c>
      <c r="C12" s="91"/>
      <c r="D12" s="91"/>
      <c r="E12" s="91"/>
      <c r="F12" s="91"/>
      <c r="G12" s="91"/>
      <c r="H12" s="91"/>
      <c r="I12" s="91"/>
      <c r="J12" s="91"/>
      <c r="K12" s="91"/>
      <c r="L12" s="17"/>
    </row>
    <row r="13" spans="1:30" ht="14.25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30" ht="15.75" hidden="1" x14ac:dyDescent="0.25">
      <c r="A14" s="11"/>
      <c r="B14" s="91" t="str">
        <f>Source!G20</f>
        <v/>
      </c>
      <c r="C14" s="91"/>
      <c r="D14" s="91"/>
      <c r="E14" s="91"/>
      <c r="F14" s="91"/>
      <c r="G14" s="91"/>
      <c r="H14" s="91"/>
      <c r="I14" s="91"/>
      <c r="J14" s="91"/>
      <c r="K14" s="91"/>
      <c r="L14" s="14"/>
      <c r="AD14" s="18" t="str">
        <f>Source!G20</f>
        <v/>
      </c>
    </row>
    <row r="15" spans="1:30" ht="14.25" hidden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30" ht="18" x14ac:dyDescent="0.25">
      <c r="A16" s="11" t="s">
        <v>550</v>
      </c>
      <c r="B16" s="92" t="str">
        <f>Source!G12</f>
        <v>Установка реклоузеров на ВЛ-6 кВ на линии №11 в п. Сосновка, Заволжье</v>
      </c>
      <c r="C16" s="92"/>
      <c r="D16" s="92"/>
      <c r="E16" s="92"/>
      <c r="F16" s="92"/>
      <c r="G16" s="92"/>
      <c r="H16" s="92"/>
      <c r="I16" s="92"/>
      <c r="J16" s="92"/>
      <c r="K16" s="92"/>
      <c r="L16" s="20"/>
      <c r="AD16" s="19" t="str">
        <f>Source!G12</f>
        <v>Установка реклоузеров на ВЛ-6 кВ на линии №11 в п. Сосновка, Заволжье</v>
      </c>
    </row>
    <row r="17" spans="1:31" ht="14.25" x14ac:dyDescent="0.2">
      <c r="A17" s="11"/>
      <c r="B17" s="84" t="s">
        <v>551</v>
      </c>
      <c r="C17" s="84"/>
      <c r="D17" s="84"/>
      <c r="E17" s="84"/>
      <c r="F17" s="84"/>
      <c r="G17" s="84"/>
      <c r="H17" s="84"/>
      <c r="I17" s="84"/>
      <c r="J17" s="84"/>
      <c r="K17" s="84"/>
      <c r="L17" s="14"/>
    </row>
    <row r="18" spans="1:31" ht="14.25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31" ht="14.25" hidden="1" x14ac:dyDescent="0.2">
      <c r="A19" s="93" t="str">
        <f>CONCATENATE("Основание: ", Source!J20)</f>
        <v xml:space="preserve">Основание: 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AE19" s="15" t="str">
        <f>CONCATENATE("Основание: ", Source!J20)</f>
        <v xml:space="preserve">Основание: </v>
      </c>
    </row>
    <row r="20" spans="1:31" ht="14.25" hidden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31" ht="14.25" hidden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31" ht="14.25" x14ac:dyDescent="0.2">
      <c r="A22" s="11"/>
      <c r="B22" s="11"/>
      <c r="C22" s="11"/>
      <c r="D22" s="11"/>
      <c r="E22" s="21"/>
      <c r="F22" s="21"/>
      <c r="G22" s="94" t="s">
        <v>552</v>
      </c>
      <c r="H22" s="94"/>
      <c r="I22" s="94" t="s">
        <v>553</v>
      </c>
      <c r="J22" s="94"/>
      <c r="K22" s="11"/>
      <c r="L22" s="11"/>
    </row>
    <row r="23" spans="1:31" ht="15" x14ac:dyDescent="0.25">
      <c r="A23" s="11"/>
      <c r="B23" s="11"/>
      <c r="C23" s="87" t="s">
        <v>554</v>
      </c>
      <c r="D23" s="87"/>
      <c r="E23" s="87"/>
      <c r="F23" s="87"/>
      <c r="G23" s="88">
        <f>SUM(O34:O344)/1000</f>
        <v>33.669440000000002</v>
      </c>
      <c r="H23" s="88"/>
      <c r="I23" s="88">
        <f>ROUND((Source!F309/1000), 2)</f>
        <v>219.57</v>
      </c>
      <c r="J23" s="88"/>
      <c r="K23" s="89" t="s">
        <v>555</v>
      </c>
      <c r="L23" s="89"/>
    </row>
    <row r="24" spans="1:31" ht="14.25" x14ac:dyDescent="0.2">
      <c r="A24" s="11"/>
      <c r="B24" s="11"/>
      <c r="C24" s="90" t="s">
        <v>556</v>
      </c>
      <c r="D24" s="90"/>
      <c r="E24" s="90"/>
      <c r="F24" s="90"/>
      <c r="G24" s="88">
        <f>SUM(W34:W344)/1000</f>
        <v>31.554139999999997</v>
      </c>
      <c r="H24" s="88"/>
      <c r="I24" s="88">
        <f>ROUND((Source!F291)/1000, 2)</f>
        <v>191.04</v>
      </c>
      <c r="J24" s="88"/>
      <c r="K24" s="89" t="s">
        <v>555</v>
      </c>
      <c r="L24" s="89"/>
    </row>
    <row r="25" spans="1:31" ht="14.25" x14ac:dyDescent="0.2">
      <c r="A25" s="11"/>
      <c r="B25" s="11"/>
      <c r="C25" s="90" t="s">
        <v>557</v>
      </c>
      <c r="D25" s="90"/>
      <c r="E25" s="90"/>
      <c r="F25" s="90"/>
      <c r="G25" s="88">
        <f>SUM(X34:X344)/1000</f>
        <v>1.8010300000000001</v>
      </c>
      <c r="H25" s="88"/>
      <c r="I25" s="88">
        <f>ROUND((Source!F292)/1000, 2)</f>
        <v>17.45</v>
      </c>
      <c r="J25" s="88"/>
      <c r="K25" s="89" t="s">
        <v>555</v>
      </c>
      <c r="L25" s="89"/>
    </row>
    <row r="26" spans="1:31" ht="14.25" x14ac:dyDescent="0.2">
      <c r="A26" s="11"/>
      <c r="B26" s="11"/>
      <c r="C26" s="90" t="s">
        <v>558</v>
      </c>
      <c r="D26" s="90"/>
      <c r="E26" s="90"/>
      <c r="F26" s="90"/>
      <c r="G26" s="88">
        <f>SUM(Y34:Y344)/1000</f>
        <v>0</v>
      </c>
      <c r="H26" s="88"/>
      <c r="I26" s="88">
        <f>ROUND((Source!F283)/1000, 2)</f>
        <v>0</v>
      </c>
      <c r="J26" s="88"/>
      <c r="K26" s="89" t="s">
        <v>555</v>
      </c>
      <c r="L26" s="89"/>
    </row>
    <row r="27" spans="1:31" ht="14.25" x14ac:dyDescent="0.2">
      <c r="A27" s="11"/>
      <c r="B27" s="11"/>
      <c r="C27" s="90" t="s">
        <v>559</v>
      </c>
      <c r="D27" s="90"/>
      <c r="E27" s="90"/>
      <c r="F27" s="90"/>
      <c r="G27" s="88">
        <f>SUM(Z34:Z344)/1000</f>
        <v>0.31426999999999999</v>
      </c>
      <c r="H27" s="88"/>
      <c r="I27" s="88">
        <f>ROUND((Source!F293+Source!F294)/1000, 2)</f>
        <v>11.08</v>
      </c>
      <c r="J27" s="88"/>
      <c r="K27" s="89" t="s">
        <v>555</v>
      </c>
      <c r="L27" s="89"/>
    </row>
    <row r="28" spans="1:31" ht="15" x14ac:dyDescent="0.25">
      <c r="A28" s="11"/>
      <c r="B28" s="11"/>
      <c r="C28" s="87" t="s">
        <v>560</v>
      </c>
      <c r="D28" s="87"/>
      <c r="E28" s="87"/>
      <c r="F28" s="87"/>
      <c r="G28" s="88">
        <f>I28</f>
        <v>102.07676280000001</v>
      </c>
      <c r="H28" s="88"/>
      <c r="I28" s="88">
        <f>(Source!F296+Source!F297)</f>
        <v>102.07676280000001</v>
      </c>
      <c r="J28" s="88"/>
      <c r="K28" s="89" t="s">
        <v>430</v>
      </c>
      <c r="L28" s="89"/>
    </row>
    <row r="29" spans="1:31" ht="15" x14ac:dyDescent="0.25">
      <c r="A29" s="11"/>
      <c r="B29" s="11"/>
      <c r="C29" s="87" t="s">
        <v>561</v>
      </c>
      <c r="D29" s="87"/>
      <c r="E29" s="87"/>
      <c r="F29" s="87"/>
      <c r="G29" s="88">
        <f>SUM(R34:R344)/1000</f>
        <v>0.94518000000000002</v>
      </c>
      <c r="H29" s="88"/>
      <c r="I29" s="88">
        <f>(Source!F303+ Source!F305)/1000</f>
        <v>33.336320000000001</v>
      </c>
      <c r="J29" s="88"/>
      <c r="K29" s="89" t="s">
        <v>555</v>
      </c>
      <c r="L29" s="89"/>
    </row>
    <row r="30" spans="1:31" ht="14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31" ht="14.25" x14ac:dyDescent="0.2">
      <c r="A31" s="97" t="s">
        <v>574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31" ht="57" x14ac:dyDescent="0.2">
      <c r="A32" s="24" t="s">
        <v>562</v>
      </c>
      <c r="B32" s="24" t="s">
        <v>563</v>
      </c>
      <c r="C32" s="24" t="s">
        <v>564</v>
      </c>
      <c r="D32" s="24" t="s">
        <v>565</v>
      </c>
      <c r="E32" s="24" t="s">
        <v>566</v>
      </c>
      <c r="F32" s="24" t="s">
        <v>567</v>
      </c>
      <c r="G32" s="24" t="s">
        <v>568</v>
      </c>
      <c r="H32" s="24" t="s">
        <v>569</v>
      </c>
      <c r="I32" s="24" t="s">
        <v>570</v>
      </c>
      <c r="J32" s="24" t="s">
        <v>571</v>
      </c>
      <c r="K32" s="24" t="s">
        <v>572</v>
      </c>
      <c r="L32" s="24" t="s">
        <v>573</v>
      </c>
    </row>
    <row r="33" spans="1:31" ht="14.25" x14ac:dyDescent="0.2">
      <c r="A33" s="25">
        <v>1</v>
      </c>
      <c r="B33" s="25">
        <v>2</v>
      </c>
      <c r="C33" s="25">
        <v>3</v>
      </c>
      <c r="D33" s="25">
        <v>4</v>
      </c>
      <c r="E33" s="25">
        <v>5</v>
      </c>
      <c r="F33" s="25">
        <v>6</v>
      </c>
      <c r="G33" s="25">
        <v>7</v>
      </c>
      <c r="H33" s="25">
        <v>8</v>
      </c>
      <c r="I33" s="25">
        <v>9</v>
      </c>
      <c r="J33" s="25">
        <v>10</v>
      </c>
      <c r="K33" s="25">
        <v>11</v>
      </c>
      <c r="L33" s="26">
        <v>12</v>
      </c>
    </row>
    <row r="35" spans="1:31" ht="16.5" x14ac:dyDescent="0.25">
      <c r="A35" s="98" t="str">
        <f>CONCATENATE("Раздел: ", Source!G24)</f>
        <v>Раздел: Демонтажные работы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AE35" s="27" t="str">
        <f>CONCATENATE("Раздел: ", Source!G24)</f>
        <v>Раздел: Демонтажные работы</v>
      </c>
    </row>
    <row r="36" spans="1:31" ht="42.75" x14ac:dyDescent="0.2">
      <c r="A36" s="28" t="str">
        <f>Source!E28</f>
        <v>1</v>
      </c>
      <c r="B36" s="29" t="str">
        <f>Source!F28</f>
        <v>33-04-040-3</v>
      </c>
      <c r="C36" s="15" t="str">
        <f>Source!G28</f>
        <v>Демонтаж 3-х проводов ВЛ 6-10 кВ</v>
      </c>
      <c r="D36" s="31" t="str">
        <f>Source!H28</f>
        <v>1 опора (3 провода)</v>
      </c>
      <c r="E36" s="10">
        <f>Source!I28</f>
        <v>1</v>
      </c>
      <c r="F36" s="22">
        <f>IF(Source!AK28&lt;&gt; 0, Source!AK28,Source!AL28 + Source!AM28 + Source!AO28)</f>
        <v>63.89</v>
      </c>
      <c r="G36" s="16"/>
      <c r="H36" s="22"/>
      <c r="I36" s="16" t="str">
        <f>Source!BO28</f>
        <v>33-04-040-3</v>
      </c>
      <c r="J36" s="16"/>
      <c r="K36" s="22"/>
      <c r="L36" s="32"/>
      <c r="S36">
        <f>ROUND((Source!FX28/100)*((ROUND(Source!AF28*Source!I28, 2)+ROUND(Source!AE28*Source!I28, 2))), 2)</f>
        <v>20.84</v>
      </c>
      <c r="T36">
        <f>Source!X28</f>
        <v>734.92</v>
      </c>
      <c r="U36">
        <f>ROUND((Source!FY28/100)*((ROUND(Source!AF28*Source!I28, 2)+ROUND(Source!AE28*Source!I28, 2))), 2)</f>
        <v>12.14</v>
      </c>
      <c r="V36">
        <f>Source!Y28</f>
        <v>428.11</v>
      </c>
    </row>
    <row r="37" spans="1:31" ht="14.25" x14ac:dyDescent="0.2">
      <c r="A37" s="28"/>
      <c r="B37" s="29"/>
      <c r="C37" s="15" t="s">
        <v>575</v>
      </c>
      <c r="D37" s="31"/>
      <c r="E37" s="10"/>
      <c r="F37" s="22">
        <f>Source!AO28</f>
        <v>16.18</v>
      </c>
      <c r="G37" s="16" t="str">
        <f>Source!DG28</f>
        <v/>
      </c>
      <c r="H37" s="22">
        <f>ROUND(Source!AF28*Source!I28, 2)</f>
        <v>16.18</v>
      </c>
      <c r="I37" s="16"/>
      <c r="J37" s="16">
        <f>IF(Source!BA28&lt;&gt; 0, Source!BA28, 1)</f>
        <v>35.270000000000003</v>
      </c>
      <c r="K37" s="22">
        <f>Source!S28</f>
        <v>570.66999999999996</v>
      </c>
      <c r="L37" s="32"/>
      <c r="R37">
        <f>H37</f>
        <v>16.18</v>
      </c>
    </row>
    <row r="38" spans="1:31" ht="14.25" x14ac:dyDescent="0.2">
      <c r="A38" s="28"/>
      <c r="B38" s="29"/>
      <c r="C38" s="15" t="s">
        <v>59</v>
      </c>
      <c r="D38" s="31"/>
      <c r="E38" s="10"/>
      <c r="F38" s="22">
        <f>Source!AM28</f>
        <v>47.71</v>
      </c>
      <c r="G38" s="16" t="str">
        <f>Source!DE28</f>
        <v/>
      </c>
      <c r="H38" s="22">
        <f>ROUND((((Source!ET28)-(Source!EU28))+Source!AE28)*Source!I28, 2)</f>
        <v>47.71</v>
      </c>
      <c r="I38" s="16"/>
      <c r="J38" s="16">
        <f>IF(Source!BB28&lt;&gt; 0, Source!BB28, 1)</f>
        <v>11.21</v>
      </c>
      <c r="K38" s="22">
        <f>Source!Q28</f>
        <v>534.83000000000004</v>
      </c>
      <c r="L38" s="32"/>
    </row>
    <row r="39" spans="1:31" ht="14.25" x14ac:dyDescent="0.2">
      <c r="A39" s="28"/>
      <c r="B39" s="29"/>
      <c r="C39" s="15" t="s">
        <v>576</v>
      </c>
      <c r="D39" s="31"/>
      <c r="E39" s="10"/>
      <c r="F39" s="22">
        <f>Source!AN28</f>
        <v>4.05</v>
      </c>
      <c r="G39" s="16" t="str">
        <f>Source!DF28</f>
        <v/>
      </c>
      <c r="H39" s="22">
        <f>ROUND(Source!AE28*Source!I28, 2)</f>
        <v>4.05</v>
      </c>
      <c r="I39" s="16"/>
      <c r="J39" s="16">
        <f>IF(Source!BS28&lt;&gt; 0, Source!BS28, 1)</f>
        <v>35.270000000000003</v>
      </c>
      <c r="K39" s="22">
        <f>Source!R28</f>
        <v>142.84</v>
      </c>
      <c r="L39" s="32"/>
      <c r="R39">
        <f>H39</f>
        <v>4.05</v>
      </c>
    </row>
    <row r="40" spans="1:31" ht="14.25" x14ac:dyDescent="0.2">
      <c r="A40" s="28"/>
      <c r="B40" s="29"/>
      <c r="C40" s="15" t="s">
        <v>577</v>
      </c>
      <c r="D40" s="31" t="s">
        <v>578</v>
      </c>
      <c r="E40" s="10">
        <f>Source!BZ28</f>
        <v>103</v>
      </c>
      <c r="F40" s="33"/>
      <c r="G40" s="16"/>
      <c r="H40" s="22">
        <f>SUM(S36:S42)</f>
        <v>20.84</v>
      </c>
      <c r="I40" s="34"/>
      <c r="J40" s="15">
        <f>Source!AT28</f>
        <v>103</v>
      </c>
      <c r="K40" s="22">
        <f>SUM(T36:T42)</f>
        <v>734.92</v>
      </c>
      <c r="L40" s="32"/>
    </row>
    <row r="41" spans="1:31" ht="14.25" x14ac:dyDescent="0.2">
      <c r="A41" s="28"/>
      <c r="B41" s="29"/>
      <c r="C41" s="15" t="s">
        <v>579</v>
      </c>
      <c r="D41" s="31" t="s">
        <v>578</v>
      </c>
      <c r="E41" s="10">
        <f>Source!CA28</f>
        <v>60</v>
      </c>
      <c r="F41" s="33"/>
      <c r="G41" s="16"/>
      <c r="H41" s="22">
        <f>SUM(U36:U42)</f>
        <v>12.14</v>
      </c>
      <c r="I41" s="34"/>
      <c r="J41" s="15">
        <f>Source!AU28</f>
        <v>60</v>
      </c>
      <c r="K41" s="22">
        <f>SUM(V36:V42)</f>
        <v>428.11</v>
      </c>
      <c r="L41" s="32"/>
    </row>
    <row r="42" spans="1:31" ht="14.25" x14ac:dyDescent="0.2">
      <c r="A42" s="38"/>
      <c r="B42" s="39"/>
      <c r="C42" s="40" t="s">
        <v>580</v>
      </c>
      <c r="D42" s="41" t="s">
        <v>581</v>
      </c>
      <c r="E42" s="42">
        <f>Source!AQ28</f>
        <v>2.0299999999999998</v>
      </c>
      <c r="F42" s="43"/>
      <c r="G42" s="44" t="str">
        <f>Source!DI28</f>
        <v/>
      </c>
      <c r="H42" s="43"/>
      <c r="I42" s="44"/>
      <c r="J42" s="44"/>
      <c r="K42" s="43"/>
      <c r="L42" s="45">
        <f>Source!U28</f>
        <v>2.0299999999999998</v>
      </c>
    </row>
    <row r="43" spans="1:31" ht="15" x14ac:dyDescent="0.25">
      <c r="G43" s="96">
        <f>ROUND(Source!AC28*Source!I28, 2)+ROUND(Source!AF28*Source!I28, 2)+ROUND((((Source!ET28)-(Source!EU28))+Source!AE28)*Source!I28, 2)+SUM(H40:H41)</f>
        <v>96.87</v>
      </c>
      <c r="H43" s="96"/>
      <c r="J43" s="96">
        <f>Source!O28+SUM(K40:K41)</f>
        <v>2268.5299999999997</v>
      </c>
      <c r="K43" s="96"/>
      <c r="L43" s="37">
        <f>Source!U28</f>
        <v>2.0299999999999998</v>
      </c>
      <c r="O43" s="36">
        <f>G43</f>
        <v>96.87</v>
      </c>
      <c r="P43" s="36">
        <f>J43</f>
        <v>2268.5299999999997</v>
      </c>
      <c r="Q43" s="36">
        <f>L43</f>
        <v>2.0299999999999998</v>
      </c>
      <c r="W43">
        <f>IF(Source!BI28&lt;=1,G43, 0)</f>
        <v>96.87</v>
      </c>
      <c r="X43">
        <f>IF(Source!BI28=2,G43, 0)</f>
        <v>0</v>
      </c>
      <c r="Y43">
        <f>IF(Source!BI28=3,G43, 0)</f>
        <v>0</v>
      </c>
      <c r="Z43">
        <f>IF(Source!BI28=4,G43, 0)</f>
        <v>0</v>
      </c>
    </row>
    <row r="44" spans="1:31" ht="28.5" x14ac:dyDescent="0.2">
      <c r="A44" s="28" t="str">
        <f>Source!E29</f>
        <v>2</v>
      </c>
      <c r="B44" s="29" t="str">
        <f>Source!F29</f>
        <v>м08-02-144-5</v>
      </c>
      <c r="C44" s="15" t="str">
        <f>Source!G29</f>
        <v>Отсоединение зажимов жил проводов или кабелей сечением: до 70 мм2</v>
      </c>
      <c r="D44" s="31" t="str">
        <f>Source!H29</f>
        <v>100 шт.</v>
      </c>
      <c r="E44" s="10">
        <f>Source!I29</f>
        <v>0.03</v>
      </c>
      <c r="F44" s="22">
        <f>IF(Source!AK29&lt;&gt; 0, Source!AK29,Source!AL29 + Source!AM29 + Source!AO29)</f>
        <v>138.65</v>
      </c>
      <c r="G44" s="16"/>
      <c r="H44" s="22"/>
      <c r="I44" s="16" t="str">
        <f>Source!BO29</f>
        <v>м08-02-144-5</v>
      </c>
      <c r="J44" s="16"/>
      <c r="K44" s="22"/>
      <c r="L44" s="32"/>
      <c r="S44">
        <f>ROUND((Source!FX29/100)*((ROUND(Source!AF29*Source!I29, 2)+ROUND(Source!AE29*Source!I29, 2))), 2)</f>
        <v>2.38</v>
      </c>
      <c r="T44">
        <f>Source!X29</f>
        <v>83.71</v>
      </c>
      <c r="U44">
        <f>ROUND((Source!FY29/100)*((ROUND(Source!AF29*Source!I29, 2)+ROUND(Source!AE29*Source!I29, 2))), 2)</f>
        <v>1.25</v>
      </c>
      <c r="V44">
        <f>Source!Y29</f>
        <v>44.01</v>
      </c>
    </row>
    <row r="45" spans="1:31" x14ac:dyDescent="0.2">
      <c r="C45" s="46" t="str">
        <f>"Объем: "&amp;Source!I29&amp;"=3/"&amp;"100"</f>
        <v>Объем: 0,03=3/100</v>
      </c>
    </row>
    <row r="46" spans="1:31" ht="14.25" x14ac:dyDescent="0.2">
      <c r="A46" s="28"/>
      <c r="B46" s="29"/>
      <c r="C46" s="15" t="s">
        <v>575</v>
      </c>
      <c r="D46" s="31"/>
      <c r="E46" s="10"/>
      <c r="F46" s="22">
        <f>Source!AO29</f>
        <v>135.93</v>
      </c>
      <c r="G46" s="16" t="str">
        <f>Source!DG29</f>
        <v>)*0,6</v>
      </c>
      <c r="H46" s="22">
        <f>ROUND(Source!AF29*Source!I29, 2)</f>
        <v>2.4500000000000002</v>
      </c>
      <c r="I46" s="16"/>
      <c r="J46" s="16">
        <f>IF(Source!BA29&lt;&gt; 0, Source!BA29, 1)</f>
        <v>35.270000000000003</v>
      </c>
      <c r="K46" s="22">
        <f>Source!S29</f>
        <v>86.3</v>
      </c>
      <c r="L46" s="32"/>
      <c r="R46">
        <f>H46</f>
        <v>2.4500000000000002</v>
      </c>
    </row>
    <row r="47" spans="1:31" ht="14.25" x14ac:dyDescent="0.2">
      <c r="A47" s="28"/>
      <c r="B47" s="29"/>
      <c r="C47" s="15" t="s">
        <v>577</v>
      </c>
      <c r="D47" s="31" t="s">
        <v>578</v>
      </c>
      <c r="E47" s="10">
        <f>Source!BZ29</f>
        <v>97</v>
      </c>
      <c r="F47" s="33"/>
      <c r="G47" s="16"/>
      <c r="H47" s="22">
        <f>SUM(S44:S49)</f>
        <v>2.38</v>
      </c>
      <c r="I47" s="34"/>
      <c r="J47" s="15">
        <f>Source!AT29</f>
        <v>97</v>
      </c>
      <c r="K47" s="22">
        <f>SUM(T44:T49)</f>
        <v>83.71</v>
      </c>
      <c r="L47" s="32"/>
    </row>
    <row r="48" spans="1:31" ht="14.25" x14ac:dyDescent="0.2">
      <c r="A48" s="28"/>
      <c r="B48" s="29"/>
      <c r="C48" s="15" t="s">
        <v>579</v>
      </c>
      <c r="D48" s="31" t="s">
        <v>578</v>
      </c>
      <c r="E48" s="10">
        <f>Source!CA29</f>
        <v>51</v>
      </c>
      <c r="F48" s="33"/>
      <c r="G48" s="16"/>
      <c r="H48" s="22">
        <f>SUM(U44:U49)</f>
        <v>1.25</v>
      </c>
      <c r="I48" s="34"/>
      <c r="J48" s="15">
        <f>Source!AU29</f>
        <v>51</v>
      </c>
      <c r="K48" s="22">
        <f>SUM(V44:V49)</f>
        <v>44.01</v>
      </c>
      <c r="L48" s="32"/>
    </row>
    <row r="49" spans="1:39" ht="14.25" x14ac:dyDescent="0.2">
      <c r="A49" s="38"/>
      <c r="B49" s="39"/>
      <c r="C49" s="40" t="s">
        <v>580</v>
      </c>
      <c r="D49" s="41" t="s">
        <v>581</v>
      </c>
      <c r="E49" s="42">
        <f>Source!AQ29</f>
        <v>15.12</v>
      </c>
      <c r="F49" s="43"/>
      <c r="G49" s="44" t="str">
        <f>Source!DI29</f>
        <v>)*0,6</v>
      </c>
      <c r="H49" s="43"/>
      <c r="I49" s="44"/>
      <c r="J49" s="44"/>
      <c r="K49" s="43"/>
      <c r="L49" s="45">
        <f>Source!U29</f>
        <v>0.27215999999999996</v>
      </c>
    </row>
    <row r="50" spans="1:39" ht="15" x14ac:dyDescent="0.25">
      <c r="G50" s="96">
        <f>ROUND(Source!AC29*Source!I29, 2)+ROUND(Source!AF29*Source!I29, 2)+ROUND(((((Source!ET29*0.6))-((Source!EU29*0.6)))+Source!AE29)*Source!I29, 2)+SUM(H47:H48)</f>
        <v>6.08</v>
      </c>
      <c r="H50" s="96"/>
      <c r="J50" s="96">
        <f>Source!O29+SUM(K47:K48)</f>
        <v>214.01999999999998</v>
      </c>
      <c r="K50" s="96"/>
      <c r="L50" s="37">
        <f>Source!U29</f>
        <v>0.27215999999999996</v>
      </c>
      <c r="O50" s="36">
        <f>G50</f>
        <v>6.08</v>
      </c>
      <c r="P50" s="36">
        <f>J50</f>
        <v>214.01999999999998</v>
      </c>
      <c r="Q50" s="36">
        <f>L50</f>
        <v>0.27215999999999996</v>
      </c>
      <c r="W50">
        <f>IF(Source!BI29&lt;=1,G50, 0)</f>
        <v>0</v>
      </c>
      <c r="X50">
        <f>IF(Source!BI29=2,G50, 0)</f>
        <v>6.08</v>
      </c>
      <c r="Y50">
        <f>IF(Source!BI29=3,G50, 0)</f>
        <v>0</v>
      </c>
      <c r="Z50">
        <f>IF(Source!BI29=4,G50, 0)</f>
        <v>0</v>
      </c>
    </row>
    <row r="52" spans="1:39" ht="15" x14ac:dyDescent="0.25">
      <c r="A52" s="95" t="str">
        <f>CONCATENATE("Итого по разделу: ", Source!G31)</f>
        <v>Итого по разделу: Демонтажные работы</v>
      </c>
      <c r="B52" s="95"/>
      <c r="C52" s="95"/>
      <c r="D52" s="95"/>
      <c r="E52" s="95"/>
      <c r="F52" s="95"/>
      <c r="G52" s="96">
        <f>SUM(O35:O51)</f>
        <v>102.95</v>
      </c>
      <c r="H52" s="87"/>
      <c r="I52" s="47"/>
      <c r="J52" s="96">
        <f>SUM(P35:P51)</f>
        <v>2482.5499999999997</v>
      </c>
      <c r="K52" s="87"/>
      <c r="L52" s="37">
        <f>SUM(Q35:Q51)</f>
        <v>2.3021599999999998</v>
      </c>
      <c r="AG52" s="48" t="str">
        <f>CONCATENATE("Итого по разделу: ", Source!G31)</f>
        <v>Итого по разделу: Демонтажные работы</v>
      </c>
    </row>
    <row r="54" spans="1:39" ht="14.25" x14ac:dyDescent="0.2">
      <c r="C54" s="15" t="str">
        <f>Source!H60</f>
        <v>ОЗП</v>
      </c>
      <c r="J54" s="88">
        <f>Source!F60</f>
        <v>656.97</v>
      </c>
      <c r="K54" s="88"/>
    </row>
    <row r="55" spans="1:39" ht="14.25" x14ac:dyDescent="0.2">
      <c r="C55" s="15" t="str">
        <f>Source!H61</f>
        <v>ЭММ, в т.ч. ЗПМ</v>
      </c>
      <c r="J55" s="88">
        <f>Source!F61</f>
        <v>534.83000000000004</v>
      </c>
      <c r="K55" s="88"/>
    </row>
    <row r="56" spans="1:39" ht="14.25" x14ac:dyDescent="0.2">
      <c r="C56" s="15" t="str">
        <f>Source!H62</f>
        <v>ЗПМ (справочно)</v>
      </c>
      <c r="J56" s="88">
        <f>Source!F62</f>
        <v>142.84</v>
      </c>
      <c r="K56" s="88"/>
    </row>
    <row r="57" spans="1:39" ht="14.25" x14ac:dyDescent="0.2">
      <c r="C57" s="15" t="str">
        <f>Source!H63</f>
        <v>Стоимость материалов</v>
      </c>
      <c r="J57" s="88">
        <f>Source!F63</f>
        <v>0</v>
      </c>
      <c r="K57" s="88"/>
    </row>
    <row r="58" spans="1:39" ht="14.25" x14ac:dyDescent="0.2">
      <c r="C58" s="15" t="str">
        <f>Source!H64</f>
        <v>НР</v>
      </c>
      <c r="J58" s="88">
        <f>Source!F64</f>
        <v>818.63</v>
      </c>
      <c r="K58" s="88"/>
    </row>
    <row r="59" spans="1:39" ht="14.25" x14ac:dyDescent="0.2">
      <c r="C59" s="15" t="str">
        <f>Source!H65</f>
        <v>СП</v>
      </c>
      <c r="J59" s="88">
        <f>Source!F65</f>
        <v>472.12</v>
      </c>
      <c r="K59" s="88"/>
    </row>
    <row r="60" spans="1:39" ht="14.25" x14ac:dyDescent="0.2">
      <c r="C60" s="15" t="str">
        <f>Source!H66</f>
        <v>Итого</v>
      </c>
      <c r="D60" s="99" t="str">
        <f>"="&amp;Source!F60&amp;"+"&amp;""&amp;Source!F61&amp;"+"&amp;""&amp;Source!F63&amp;"+"&amp;""&amp;Source!F64&amp;"+"&amp;""&amp;Source!F65&amp;""</f>
        <v>=656,97+534,83+0+818,63+472,12</v>
      </c>
      <c r="E60" s="93"/>
      <c r="F60" s="93"/>
      <c r="G60" s="93"/>
      <c r="H60" s="93"/>
      <c r="I60" s="93"/>
      <c r="J60" s="88">
        <f>Source!F66</f>
        <v>2482.5500000000002</v>
      </c>
      <c r="K60" s="88"/>
      <c r="AM60" s="49" t="str">
        <f>"="&amp;Source!F60&amp;"+"&amp;""&amp;Source!F61&amp;"+"&amp;""&amp;Source!F63&amp;"+"&amp;""&amp;Source!F64&amp;"+"&amp;""&amp;Source!F65&amp;""</f>
        <v>=656,97+534,83+0+818,63+472,12</v>
      </c>
    </row>
    <row r="61" spans="1:39" ht="14.25" x14ac:dyDescent="0.2">
      <c r="C61" s="15" t="str">
        <f>Source!H67</f>
        <v>НДС 20%</v>
      </c>
      <c r="D61" s="99" t="str">
        <f>"="&amp;Source!F66&amp;"*"&amp;"0,2"</f>
        <v>=2482,55*0,2</v>
      </c>
      <c r="E61" s="93"/>
      <c r="F61" s="93"/>
      <c r="G61" s="93"/>
      <c r="H61" s="93"/>
      <c r="I61" s="93"/>
      <c r="J61" s="88">
        <f>Source!F67</f>
        <v>496.51</v>
      </c>
      <c r="K61" s="88"/>
      <c r="AM61" s="49" t="str">
        <f>"="&amp;Source!F66&amp;"*"&amp;"0,2"</f>
        <v>=2482,55*0,2</v>
      </c>
    </row>
    <row r="62" spans="1:39" ht="14.25" x14ac:dyDescent="0.2">
      <c r="C62" s="15" t="str">
        <f>Source!H68</f>
        <v>Всего с НДС</v>
      </c>
      <c r="D62" s="99" t="str">
        <f>"="&amp;Source!F66&amp;"+"&amp;""&amp;Source!F67&amp;""</f>
        <v>=2482,55+496,51</v>
      </c>
      <c r="E62" s="93"/>
      <c r="F62" s="93"/>
      <c r="G62" s="93"/>
      <c r="H62" s="93"/>
      <c r="I62" s="93"/>
      <c r="J62" s="88">
        <f>Source!F68</f>
        <v>2979.06</v>
      </c>
      <c r="K62" s="88"/>
      <c r="AM62" s="49" t="str">
        <f>"="&amp;Source!F66&amp;"+"&amp;""&amp;Source!F67&amp;""</f>
        <v>=2482,55+496,51</v>
      </c>
    </row>
    <row r="65" spans="1:31" ht="16.5" x14ac:dyDescent="0.25">
      <c r="A65" s="98" t="str">
        <f>CONCATENATE("Раздел: ", Source!G70)</f>
        <v>Раздел: Монтаж реклоузера</v>
      </c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AE65" s="27" t="str">
        <f>CONCATENATE("Раздел: ", Source!G70)</f>
        <v>Раздел: Монтаж реклоузера</v>
      </c>
    </row>
    <row r="66" spans="1:31" ht="42.75" x14ac:dyDescent="0.2">
      <c r="A66" s="28" t="str">
        <f>Source!E74</f>
        <v>3</v>
      </c>
      <c r="B66" s="29" t="str">
        <f>Source!F74</f>
        <v>33-04-016-2</v>
      </c>
      <c r="C66" s="15" t="str">
        <f>Source!G74</f>
        <v>Развозка конструкций и материалов опор ВЛ 0,38-10 кВ по трассе одностоечных железобетонных опор</v>
      </c>
      <c r="D66" s="31" t="str">
        <f>Source!H74</f>
        <v>1 ОПОРА</v>
      </c>
      <c r="E66" s="10">
        <f>Source!I74</f>
        <v>2</v>
      </c>
      <c r="F66" s="22">
        <f>IF(Source!AK74&lt;&gt; 0, Source!AK74,Source!AL74 + Source!AM74 + Source!AO74)</f>
        <v>51.54</v>
      </c>
      <c r="G66" s="16"/>
      <c r="H66" s="22"/>
      <c r="I66" s="16" t="str">
        <f>Source!BO74</f>
        <v>33-04-016-2</v>
      </c>
      <c r="J66" s="16"/>
      <c r="K66" s="22"/>
      <c r="L66" s="32"/>
      <c r="S66">
        <f>ROUND((Source!FX74/100)*((ROUND(Source!AF74*Source!I74, 2)+ROUND(Source!AE74*Source!I74, 2))), 2)</f>
        <v>18.89</v>
      </c>
      <c r="T66">
        <f>Source!X74</f>
        <v>666.26</v>
      </c>
      <c r="U66">
        <f>ROUND((Source!FY74/100)*((ROUND(Source!AF74*Source!I74, 2)+ROUND(Source!AE74*Source!I74, 2))), 2)</f>
        <v>11</v>
      </c>
      <c r="V66">
        <f>Source!Y74</f>
        <v>388.11</v>
      </c>
    </row>
    <row r="67" spans="1:31" ht="14.25" x14ac:dyDescent="0.2">
      <c r="A67" s="28"/>
      <c r="B67" s="29"/>
      <c r="C67" s="15" t="s">
        <v>575</v>
      </c>
      <c r="D67" s="31"/>
      <c r="E67" s="10"/>
      <c r="F67" s="22">
        <f>Source!AO74</f>
        <v>3.36</v>
      </c>
      <c r="G67" s="16" t="str">
        <f>Source!DG74</f>
        <v/>
      </c>
      <c r="H67" s="22">
        <f>ROUND(Source!AF74*Source!I74, 2)</f>
        <v>6.72</v>
      </c>
      <c r="I67" s="16"/>
      <c r="J67" s="16">
        <f>IF(Source!BA74&lt;&gt; 0, Source!BA74, 1)</f>
        <v>35.270000000000003</v>
      </c>
      <c r="K67" s="22">
        <f>Source!S74</f>
        <v>237.01</v>
      </c>
      <c r="L67" s="32"/>
      <c r="R67">
        <f>H67</f>
        <v>6.72</v>
      </c>
    </row>
    <row r="68" spans="1:31" ht="14.25" x14ac:dyDescent="0.2">
      <c r="A68" s="28"/>
      <c r="B68" s="29"/>
      <c r="C68" s="15" t="s">
        <v>59</v>
      </c>
      <c r="D68" s="31"/>
      <c r="E68" s="10"/>
      <c r="F68" s="22">
        <f>Source!AM74</f>
        <v>48.18</v>
      </c>
      <c r="G68" s="16" t="str">
        <f>Source!DE74</f>
        <v/>
      </c>
      <c r="H68" s="22">
        <f>ROUND((((Source!ET74)-(Source!EU74))+Source!AE74)*Source!I74, 2)</f>
        <v>96.36</v>
      </c>
      <c r="I68" s="16"/>
      <c r="J68" s="16">
        <f>IF(Source!BB74&lt;&gt; 0, Source!BB74, 1)</f>
        <v>12.39</v>
      </c>
      <c r="K68" s="22">
        <f>Source!Q74</f>
        <v>1193.9000000000001</v>
      </c>
      <c r="L68" s="32"/>
    </row>
    <row r="69" spans="1:31" ht="14.25" x14ac:dyDescent="0.2">
      <c r="A69" s="28"/>
      <c r="B69" s="29"/>
      <c r="C69" s="15" t="s">
        <v>576</v>
      </c>
      <c r="D69" s="31"/>
      <c r="E69" s="10"/>
      <c r="F69" s="22">
        <f>Source!AN74</f>
        <v>5.81</v>
      </c>
      <c r="G69" s="16" t="str">
        <f>Source!DF74</f>
        <v/>
      </c>
      <c r="H69" s="22">
        <f>ROUND(Source!AE74*Source!I74, 2)</f>
        <v>11.62</v>
      </c>
      <c r="I69" s="16"/>
      <c r="J69" s="16">
        <f>IF(Source!BS74&lt;&gt; 0, Source!BS74, 1)</f>
        <v>35.270000000000003</v>
      </c>
      <c r="K69" s="22">
        <f>Source!R74</f>
        <v>409.84</v>
      </c>
      <c r="L69" s="32"/>
      <c r="R69">
        <f>H69</f>
        <v>11.62</v>
      </c>
    </row>
    <row r="70" spans="1:31" ht="14.25" x14ac:dyDescent="0.2">
      <c r="A70" s="28"/>
      <c r="B70" s="29"/>
      <c r="C70" s="15" t="s">
        <v>577</v>
      </c>
      <c r="D70" s="31" t="s">
        <v>578</v>
      </c>
      <c r="E70" s="10">
        <f>Source!BZ74</f>
        <v>103</v>
      </c>
      <c r="F70" s="33"/>
      <c r="G70" s="16"/>
      <c r="H70" s="22">
        <f>SUM(S66:S72)</f>
        <v>18.89</v>
      </c>
      <c r="I70" s="34"/>
      <c r="J70" s="15">
        <f>Source!AT74</f>
        <v>103</v>
      </c>
      <c r="K70" s="22">
        <f>SUM(T66:T72)</f>
        <v>666.26</v>
      </c>
      <c r="L70" s="32"/>
    </row>
    <row r="71" spans="1:31" ht="14.25" x14ac:dyDescent="0.2">
      <c r="A71" s="28"/>
      <c r="B71" s="29"/>
      <c r="C71" s="15" t="s">
        <v>579</v>
      </c>
      <c r="D71" s="31" t="s">
        <v>578</v>
      </c>
      <c r="E71" s="10">
        <f>Source!CA74</f>
        <v>60</v>
      </c>
      <c r="F71" s="33"/>
      <c r="G71" s="16"/>
      <c r="H71" s="22">
        <f>SUM(U66:U72)</f>
        <v>11</v>
      </c>
      <c r="I71" s="34"/>
      <c r="J71" s="15">
        <f>Source!AU74</f>
        <v>60</v>
      </c>
      <c r="K71" s="22">
        <f>SUM(V66:V72)</f>
        <v>388.11</v>
      </c>
      <c r="L71" s="32"/>
    </row>
    <row r="72" spans="1:31" ht="14.25" x14ac:dyDescent="0.2">
      <c r="A72" s="38"/>
      <c r="B72" s="39"/>
      <c r="C72" s="40" t="s">
        <v>580</v>
      </c>
      <c r="D72" s="41" t="s">
        <v>581</v>
      </c>
      <c r="E72" s="42">
        <f>Source!AQ74</f>
        <v>0.44</v>
      </c>
      <c r="F72" s="43"/>
      <c r="G72" s="44" t="str">
        <f>Source!DI74</f>
        <v/>
      </c>
      <c r="H72" s="43"/>
      <c r="I72" s="44"/>
      <c r="J72" s="44"/>
      <c r="K72" s="43"/>
      <c r="L72" s="45">
        <f>Source!U74</f>
        <v>0.88</v>
      </c>
    </row>
    <row r="73" spans="1:31" ht="15" x14ac:dyDescent="0.25">
      <c r="G73" s="96">
        <f>ROUND(Source!AC74*Source!I74, 2)+ROUND(Source!AF74*Source!I74, 2)+ROUND((((Source!ET74)-(Source!EU74))+Source!AE74)*Source!I74, 2)+SUM(H70:H71)</f>
        <v>132.97</v>
      </c>
      <c r="H73" s="96"/>
      <c r="J73" s="96">
        <f>Source!O74+SUM(K70:K71)</f>
        <v>2485.2799999999997</v>
      </c>
      <c r="K73" s="96"/>
      <c r="L73" s="37">
        <f>Source!U74</f>
        <v>0.88</v>
      </c>
      <c r="O73" s="36">
        <f>G73</f>
        <v>132.97</v>
      </c>
      <c r="P73" s="36">
        <f>J73</f>
        <v>2485.2799999999997</v>
      </c>
      <c r="Q73" s="36">
        <f>L73</f>
        <v>0.88</v>
      </c>
      <c r="W73">
        <f>IF(Source!BI74&lt;=1,G73, 0)</f>
        <v>132.97</v>
      </c>
      <c r="X73">
        <f>IF(Source!BI74=2,G73, 0)</f>
        <v>0</v>
      </c>
      <c r="Y73">
        <f>IF(Source!BI74=3,G73, 0)</f>
        <v>0</v>
      </c>
      <c r="Z73">
        <f>IF(Source!BI74=4,G73, 0)</f>
        <v>0</v>
      </c>
    </row>
    <row r="74" spans="1:31" ht="28.5" x14ac:dyDescent="0.2">
      <c r="A74" s="28" t="str">
        <f>Source!E75</f>
        <v>4</v>
      </c>
      <c r="B74" s="29" t="str">
        <f>Source!F75</f>
        <v>м08-01-087-3</v>
      </c>
      <c r="C74" s="15" t="str">
        <f>Source!G75</f>
        <v>Металлические конструкции</v>
      </c>
      <c r="D74" s="31" t="str">
        <f>Source!H75</f>
        <v>1 Т</v>
      </c>
      <c r="E74" s="10">
        <f>Source!I75</f>
        <v>2.8459999999999999E-2</v>
      </c>
      <c r="F74" s="22">
        <f>IF(Source!AK75&lt;&gt; 0, Source!AK75,Source!AL75 + Source!AM75 + Source!AO75)</f>
        <v>13270.76</v>
      </c>
      <c r="G74" s="16"/>
      <c r="H74" s="22"/>
      <c r="I74" s="16" t="str">
        <f>Source!BO75</f>
        <v>м08-01-087-3</v>
      </c>
      <c r="J74" s="16"/>
      <c r="K74" s="22"/>
      <c r="L74" s="32"/>
      <c r="S74">
        <f>ROUND((Source!FX75/100)*((ROUND(Source!AF75*Source!I75, 2)+ROUND(Source!AE75*Source!I75, 2))), 2)</f>
        <v>16.010000000000002</v>
      </c>
      <c r="T74">
        <f>Source!X75</f>
        <v>564.96</v>
      </c>
      <c r="U74">
        <f>ROUND((Source!FY75/100)*((ROUND(Source!AF75*Source!I75, 2)+ROUND(Source!AE75*Source!I75, 2))), 2)</f>
        <v>8.42</v>
      </c>
      <c r="V74">
        <f>Source!Y75</f>
        <v>297.04000000000002</v>
      </c>
    </row>
    <row r="75" spans="1:31" ht="14.25" x14ac:dyDescent="0.2">
      <c r="A75" s="28"/>
      <c r="B75" s="29"/>
      <c r="C75" s="15" t="s">
        <v>575</v>
      </c>
      <c r="D75" s="31"/>
      <c r="E75" s="10"/>
      <c r="F75" s="22">
        <f>Source!AO75</f>
        <v>559.17999999999995</v>
      </c>
      <c r="G75" s="16" t="str">
        <f>Source!DG75</f>
        <v/>
      </c>
      <c r="H75" s="22">
        <f>ROUND(Source!AF75*Source!I75, 2)</f>
        <v>15.91</v>
      </c>
      <c r="I75" s="16"/>
      <c r="J75" s="16">
        <f>IF(Source!BA75&lt;&gt; 0, Source!BA75, 1)</f>
        <v>35.270000000000003</v>
      </c>
      <c r="K75" s="22">
        <f>Source!S75</f>
        <v>561.29999999999995</v>
      </c>
      <c r="L75" s="32"/>
      <c r="R75">
        <f>H75</f>
        <v>15.91</v>
      </c>
    </row>
    <row r="76" spans="1:31" ht="14.25" x14ac:dyDescent="0.2">
      <c r="A76" s="28"/>
      <c r="B76" s="29"/>
      <c r="C76" s="15" t="s">
        <v>59</v>
      </c>
      <c r="D76" s="31"/>
      <c r="E76" s="10"/>
      <c r="F76" s="22">
        <f>Source!AM75</f>
        <v>514.73</v>
      </c>
      <c r="G76" s="16" t="str">
        <f>Source!DE75</f>
        <v/>
      </c>
      <c r="H76" s="22">
        <f>ROUND((((Source!ET75)-(Source!EU75))+Source!AE75)*Source!I75, 2)</f>
        <v>14.65</v>
      </c>
      <c r="I76" s="16"/>
      <c r="J76" s="16">
        <f>IF(Source!BB75&lt;&gt; 0, Source!BB75, 1)</f>
        <v>10.91</v>
      </c>
      <c r="K76" s="22">
        <f>Source!Q75</f>
        <v>159.82</v>
      </c>
      <c r="L76" s="32"/>
    </row>
    <row r="77" spans="1:31" ht="14.25" x14ac:dyDescent="0.2">
      <c r="A77" s="28"/>
      <c r="B77" s="29"/>
      <c r="C77" s="15" t="s">
        <v>576</v>
      </c>
      <c r="D77" s="31"/>
      <c r="E77" s="10"/>
      <c r="F77" s="22">
        <f>Source!AN75</f>
        <v>21.05</v>
      </c>
      <c r="G77" s="16" t="str">
        <f>Source!DF75</f>
        <v/>
      </c>
      <c r="H77" s="22">
        <f>ROUND(Source!AE75*Source!I75, 2)</f>
        <v>0.6</v>
      </c>
      <c r="I77" s="16"/>
      <c r="J77" s="16">
        <f>IF(Source!BS75&lt;&gt; 0, Source!BS75, 1)</f>
        <v>35.270000000000003</v>
      </c>
      <c r="K77" s="22">
        <f>Source!R75</f>
        <v>21.13</v>
      </c>
      <c r="L77" s="32"/>
      <c r="R77">
        <f>H77</f>
        <v>0.6</v>
      </c>
    </row>
    <row r="78" spans="1:31" ht="14.25" x14ac:dyDescent="0.2">
      <c r="A78" s="28"/>
      <c r="B78" s="29"/>
      <c r="C78" s="15" t="s">
        <v>582</v>
      </c>
      <c r="D78" s="31"/>
      <c r="E78" s="10"/>
      <c r="F78" s="22">
        <f>Source!AL75</f>
        <v>12196.85</v>
      </c>
      <c r="G78" s="16" t="str">
        <f>Source!DD75</f>
        <v/>
      </c>
      <c r="H78" s="22">
        <f>ROUND(Source!AC75*Source!I75, 2)</f>
        <v>347.12</v>
      </c>
      <c r="I78" s="16"/>
      <c r="J78" s="16">
        <f>IF(Source!BC75&lt;&gt; 0, Source!BC75, 1)</f>
        <v>11.17</v>
      </c>
      <c r="K78" s="22">
        <f>Source!P75</f>
        <v>3877.36</v>
      </c>
      <c r="L78" s="32"/>
    </row>
    <row r="79" spans="1:31" ht="14.25" x14ac:dyDescent="0.2">
      <c r="A79" s="28"/>
      <c r="B79" s="29"/>
      <c r="C79" s="15" t="s">
        <v>577</v>
      </c>
      <c r="D79" s="31" t="s">
        <v>578</v>
      </c>
      <c r="E79" s="10">
        <f>Source!BZ75</f>
        <v>97</v>
      </c>
      <c r="F79" s="33"/>
      <c r="G79" s="16"/>
      <c r="H79" s="22">
        <f>SUM(S74:S81)</f>
        <v>16.010000000000002</v>
      </c>
      <c r="I79" s="34"/>
      <c r="J79" s="15">
        <f>Source!AT75</f>
        <v>97</v>
      </c>
      <c r="K79" s="22">
        <f>SUM(T74:T81)</f>
        <v>564.96</v>
      </c>
      <c r="L79" s="32"/>
    </row>
    <row r="80" spans="1:31" ht="14.25" x14ac:dyDescent="0.2">
      <c r="A80" s="28"/>
      <c r="B80" s="29"/>
      <c r="C80" s="15" t="s">
        <v>579</v>
      </c>
      <c r="D80" s="31" t="s">
        <v>578</v>
      </c>
      <c r="E80" s="10">
        <f>Source!CA75</f>
        <v>51</v>
      </c>
      <c r="F80" s="33"/>
      <c r="G80" s="16"/>
      <c r="H80" s="22">
        <f>SUM(U74:U81)</f>
        <v>8.42</v>
      </c>
      <c r="I80" s="34"/>
      <c r="J80" s="15">
        <f>Source!AU75</f>
        <v>51</v>
      </c>
      <c r="K80" s="22">
        <f>SUM(V74:V81)</f>
        <v>297.04000000000002</v>
      </c>
      <c r="L80" s="32"/>
    </row>
    <row r="81" spans="1:28" ht="14.25" x14ac:dyDescent="0.2">
      <c r="A81" s="38"/>
      <c r="B81" s="39"/>
      <c r="C81" s="40" t="s">
        <v>580</v>
      </c>
      <c r="D81" s="41" t="s">
        <v>581</v>
      </c>
      <c r="E81" s="42">
        <f>Source!AQ75</f>
        <v>62.2</v>
      </c>
      <c r="F81" s="43"/>
      <c r="G81" s="44" t="str">
        <f>Source!DI75</f>
        <v/>
      </c>
      <c r="H81" s="43"/>
      <c r="I81" s="44"/>
      <c r="J81" s="44"/>
      <c r="K81" s="43"/>
      <c r="L81" s="45">
        <f>Source!U75</f>
        <v>1.7702120000000001</v>
      </c>
    </row>
    <row r="82" spans="1:28" ht="15" x14ac:dyDescent="0.25">
      <c r="G82" s="96">
        <f>ROUND(Source!AC75*Source!I75, 2)+ROUND(Source!AF75*Source!I75, 2)+ROUND((((Source!ET75)-(Source!EU75))+Source!AE75)*Source!I75, 2)+SUM(H79:H80)</f>
        <v>402.11</v>
      </c>
      <c r="H82" s="96"/>
      <c r="J82" s="96">
        <f>Source!O75+SUM(K79:K80)</f>
        <v>5460.48</v>
      </c>
      <c r="K82" s="96"/>
      <c r="L82" s="37">
        <f>Source!U75</f>
        <v>1.7702120000000001</v>
      </c>
      <c r="O82" s="36">
        <f>G82</f>
        <v>402.11</v>
      </c>
      <c r="P82" s="36">
        <f>J82</f>
        <v>5460.48</v>
      </c>
      <c r="Q82" s="36">
        <f>L82</f>
        <v>1.7702120000000001</v>
      </c>
      <c r="W82">
        <f>IF(Source!BI75&lt;=1,G82, 0)</f>
        <v>0</v>
      </c>
      <c r="X82">
        <f>IF(Source!BI75=2,G82, 0)</f>
        <v>402.11</v>
      </c>
      <c r="Y82">
        <f>IF(Source!BI75=3,G82, 0)</f>
        <v>0</v>
      </c>
      <c r="Z82">
        <f>IF(Source!BI75=4,G82, 0)</f>
        <v>0</v>
      </c>
    </row>
    <row r="83" spans="1:28" ht="57" x14ac:dyDescent="0.2">
      <c r="A83" s="28" t="str">
        <f>Source!E76</f>
        <v>5</v>
      </c>
      <c r="B83" s="29" t="str">
        <f>Source!F76</f>
        <v>33-04-003-2</v>
      </c>
      <c r="C83" s="15" t="str">
        <f>Source!G76</f>
        <v>Установка железобетонных опор ВЛ 0,38; 6-10 кВ с траверсами без приставок: одностоечных с одним подкосом</v>
      </c>
      <c r="D83" s="31" t="str">
        <f>Source!H76</f>
        <v>1 ОПОРА</v>
      </c>
      <c r="E83" s="10">
        <f>Source!I76</f>
        <v>1</v>
      </c>
      <c r="F83" s="22">
        <f>IF(Source!AK76&lt;&gt; 0, Source!AK76,Source!AL76 + Source!AM76 + Source!AO76)</f>
        <v>378.82</v>
      </c>
      <c r="G83" s="16"/>
      <c r="H83" s="22"/>
      <c r="I83" s="16" t="str">
        <f>Source!BO76</f>
        <v>33-04-003-2</v>
      </c>
      <c r="J83" s="16"/>
      <c r="K83" s="22"/>
      <c r="L83" s="32"/>
      <c r="S83">
        <f>ROUND((Source!FX76/100)*((ROUND(Source!AF76*Source!I76, 2)+ROUND(Source!AE76*Source!I76, 2))), 2)</f>
        <v>87.2</v>
      </c>
      <c r="T83">
        <f>Source!X76</f>
        <v>3075.54</v>
      </c>
      <c r="U83">
        <f>ROUND((Source!FY76/100)*((ROUND(Source!AF76*Source!I76, 2)+ROUND(Source!AE76*Source!I76, 2))), 2)</f>
        <v>50.8</v>
      </c>
      <c r="V83">
        <f>Source!Y76</f>
        <v>1791.58</v>
      </c>
    </row>
    <row r="84" spans="1:28" ht="14.25" x14ac:dyDescent="0.2">
      <c r="A84" s="28"/>
      <c r="B84" s="29"/>
      <c r="C84" s="15" t="s">
        <v>575</v>
      </c>
      <c r="D84" s="31"/>
      <c r="E84" s="10"/>
      <c r="F84" s="22">
        <f>Source!AO76</f>
        <v>65.41</v>
      </c>
      <c r="G84" s="16" t="str">
        <f>Source!DG76</f>
        <v/>
      </c>
      <c r="H84" s="22">
        <f>ROUND(Source!AF76*Source!I76, 2)</f>
        <v>65.41</v>
      </c>
      <c r="I84" s="16"/>
      <c r="J84" s="16">
        <f>IF(Source!BA76&lt;&gt; 0, Source!BA76, 1)</f>
        <v>35.270000000000003</v>
      </c>
      <c r="K84" s="22">
        <f>Source!S76</f>
        <v>2307.0100000000002</v>
      </c>
      <c r="L84" s="32"/>
      <c r="R84">
        <f>H84</f>
        <v>65.41</v>
      </c>
    </row>
    <row r="85" spans="1:28" ht="14.25" x14ac:dyDescent="0.2">
      <c r="A85" s="28"/>
      <c r="B85" s="29"/>
      <c r="C85" s="15" t="s">
        <v>59</v>
      </c>
      <c r="D85" s="31"/>
      <c r="E85" s="10"/>
      <c r="F85" s="22">
        <f>Source!AM76</f>
        <v>267.08</v>
      </c>
      <c r="G85" s="16" t="str">
        <f>Source!DE76</f>
        <v/>
      </c>
      <c r="H85" s="22">
        <f>ROUND((((Source!ET76)-(Source!EU76))+Source!AE76)*Source!I76, 2)</f>
        <v>267.08</v>
      </c>
      <c r="I85" s="16"/>
      <c r="J85" s="16">
        <f>IF(Source!BB76&lt;&gt; 0, Source!BB76, 1)</f>
        <v>16.920000000000002</v>
      </c>
      <c r="K85" s="22">
        <f>Source!Q76</f>
        <v>4518.99</v>
      </c>
      <c r="L85" s="32"/>
    </row>
    <row r="86" spans="1:28" ht="14.25" x14ac:dyDescent="0.2">
      <c r="A86" s="28"/>
      <c r="B86" s="29"/>
      <c r="C86" s="15" t="s">
        <v>576</v>
      </c>
      <c r="D86" s="31"/>
      <c r="E86" s="10"/>
      <c r="F86" s="22">
        <f>Source!AN76</f>
        <v>19.25</v>
      </c>
      <c r="G86" s="16" t="str">
        <f>Source!DF76</f>
        <v/>
      </c>
      <c r="H86" s="22">
        <f>ROUND(Source!AE76*Source!I76, 2)</f>
        <v>19.25</v>
      </c>
      <c r="I86" s="16"/>
      <c r="J86" s="16">
        <f>IF(Source!BS76&lt;&gt; 0, Source!BS76, 1)</f>
        <v>35.270000000000003</v>
      </c>
      <c r="K86" s="22">
        <f>Source!R76</f>
        <v>678.95</v>
      </c>
      <c r="L86" s="32"/>
      <c r="R86">
        <f>H86</f>
        <v>19.25</v>
      </c>
    </row>
    <row r="87" spans="1:28" ht="14.25" x14ac:dyDescent="0.2">
      <c r="A87" s="28"/>
      <c r="B87" s="29"/>
      <c r="C87" s="15" t="s">
        <v>582</v>
      </c>
      <c r="D87" s="31"/>
      <c r="E87" s="10"/>
      <c r="F87" s="22">
        <f>Source!AL76</f>
        <v>46.33</v>
      </c>
      <c r="G87" s="16" t="str">
        <f>Source!DD76</f>
        <v/>
      </c>
      <c r="H87" s="22">
        <f>ROUND(Source!AC76*Source!I76, 2)</f>
        <v>46.33</v>
      </c>
      <c r="I87" s="16"/>
      <c r="J87" s="16">
        <f>IF(Source!BC76&lt;&gt; 0, Source!BC76, 1)</f>
        <v>3.5</v>
      </c>
      <c r="K87" s="22">
        <f>Source!P76</f>
        <v>162.16</v>
      </c>
      <c r="L87" s="32"/>
    </row>
    <row r="88" spans="1:28" ht="14.25" x14ac:dyDescent="0.2">
      <c r="A88" s="28"/>
      <c r="B88" s="29"/>
      <c r="C88" s="15" t="s">
        <v>577</v>
      </c>
      <c r="D88" s="31" t="s">
        <v>578</v>
      </c>
      <c r="E88" s="10">
        <f>Source!BZ76</f>
        <v>103</v>
      </c>
      <c r="F88" s="33"/>
      <c r="G88" s="16"/>
      <c r="H88" s="22">
        <f>SUM(S83:S91)</f>
        <v>87.2</v>
      </c>
      <c r="I88" s="34"/>
      <c r="J88" s="15">
        <f>Source!AT76</f>
        <v>103</v>
      </c>
      <c r="K88" s="22">
        <f>SUM(T83:T91)</f>
        <v>3075.54</v>
      </c>
      <c r="L88" s="32"/>
    </row>
    <row r="89" spans="1:28" ht="14.25" x14ac:dyDescent="0.2">
      <c r="A89" s="28"/>
      <c r="B89" s="29"/>
      <c r="C89" s="15" t="s">
        <v>579</v>
      </c>
      <c r="D89" s="31" t="s">
        <v>578</v>
      </c>
      <c r="E89" s="10">
        <f>Source!CA76</f>
        <v>60</v>
      </c>
      <c r="F89" s="33"/>
      <c r="G89" s="16"/>
      <c r="H89" s="22">
        <f>SUM(U83:U91)</f>
        <v>50.8</v>
      </c>
      <c r="I89" s="34"/>
      <c r="J89" s="15">
        <f>Source!AU76</f>
        <v>60</v>
      </c>
      <c r="K89" s="22">
        <f>SUM(V83:V91)</f>
        <v>1791.58</v>
      </c>
      <c r="L89" s="32"/>
    </row>
    <row r="90" spans="1:28" ht="14.25" x14ac:dyDescent="0.2">
      <c r="A90" s="28"/>
      <c r="B90" s="29"/>
      <c r="C90" s="15" t="s">
        <v>580</v>
      </c>
      <c r="D90" s="31" t="s">
        <v>581</v>
      </c>
      <c r="E90" s="10">
        <f>Source!AQ76</f>
        <v>7.9</v>
      </c>
      <c r="F90" s="22"/>
      <c r="G90" s="16" t="str">
        <f>Source!DI76</f>
        <v/>
      </c>
      <c r="H90" s="22"/>
      <c r="I90" s="16"/>
      <c r="J90" s="16"/>
      <c r="K90" s="22"/>
      <c r="L90" s="35">
        <f>Source!U76</f>
        <v>7.9</v>
      </c>
    </row>
    <row r="91" spans="1:28" ht="14.25" x14ac:dyDescent="0.2">
      <c r="A91" s="50" t="str">
        <f>Source!E81</f>
        <v>5,5</v>
      </c>
      <c r="B91" s="50" t="str">
        <f>Source!F81</f>
        <v>110-9126</v>
      </c>
      <c r="C91" s="50" t="str">
        <f>Source!G81</f>
        <v>Металлические плакаты</v>
      </c>
      <c r="D91" s="51" t="str">
        <f>Source!H81</f>
        <v>шт.</v>
      </c>
      <c r="E91" s="52">
        <f>Source!I81</f>
        <v>0.1</v>
      </c>
      <c r="F91" s="53">
        <f>Source!AK81</f>
        <v>0</v>
      </c>
      <c r="G91" s="54" t="s">
        <v>3</v>
      </c>
      <c r="H91" s="53">
        <f>ROUND(Source!AC81*Source!I81, 2)+ROUND((((Source!ET81)-(Source!EU81))+Source!AE81)*Source!I81, 2)+ROUND(Source!AF81*Source!I81, 2)</f>
        <v>0</v>
      </c>
      <c r="I91" s="51"/>
      <c r="J91" s="51">
        <f>IF(Source!BC81&lt;&gt; 0, Source!BC81, 1)</f>
        <v>1</v>
      </c>
      <c r="K91" s="53">
        <f>Source!O81</f>
        <v>0</v>
      </c>
      <c r="L91" s="53"/>
      <c r="S91">
        <f>ROUND((Source!FX81/100)*((ROUND(Source!AF81*Source!I81, 2)+ROUND(Source!AE81*Source!I81, 2))), 2)</f>
        <v>0</v>
      </c>
      <c r="T91">
        <f>Source!X81</f>
        <v>0</v>
      </c>
      <c r="U91">
        <f>ROUND((Source!FY81/100)*((ROUND(Source!AF81*Source!I81, 2)+ROUND(Source!AE81*Source!I81, 2))), 2)</f>
        <v>0</v>
      </c>
      <c r="V91">
        <f>Source!Y81</f>
        <v>0</v>
      </c>
      <c r="Y91">
        <f>IF(Source!BI81=3,H91, 0)</f>
        <v>0</v>
      </c>
      <c r="AA91">
        <f>ROUND(Source!AC81*Source!I81, 2)+ROUND((((Source!ET81)-(Source!EU81))+Source!AE81)*Source!I81, 2)+ROUND(Source!AF81*Source!I81, 2)</f>
        <v>0</v>
      </c>
      <c r="AB91">
        <f>Source!O81</f>
        <v>0</v>
      </c>
    </row>
    <row r="92" spans="1:28" ht="15" x14ac:dyDescent="0.25">
      <c r="G92" s="96">
        <f>ROUND(Source!AC76*Source!I76, 2)+ROUND(Source!AF76*Source!I76, 2)+ROUND((((Source!ET76)-(Source!EU76))+Source!AE76)*Source!I76, 2)+SUM(H88:H89)+SUM(AA91:AA91)</f>
        <v>516.81999999999994</v>
      </c>
      <c r="H92" s="96"/>
      <c r="J92" s="96">
        <f>Source!O76+SUM(K88:K89)+SUM(AB91:AB91)</f>
        <v>11855.279999999999</v>
      </c>
      <c r="K92" s="96"/>
      <c r="L92" s="37">
        <f>Source!U76</f>
        <v>7.9</v>
      </c>
      <c r="O92" s="36">
        <f>G92</f>
        <v>516.81999999999994</v>
      </c>
      <c r="P92" s="36">
        <f>J92</f>
        <v>11855.279999999999</v>
      </c>
      <c r="Q92" s="36">
        <f>L92</f>
        <v>7.9</v>
      </c>
      <c r="W92">
        <f>IF(Source!BI76&lt;=1,G92, 0)</f>
        <v>516.81999999999994</v>
      </c>
      <c r="X92">
        <f>IF(Source!BI76=2,G92, 0)</f>
        <v>0</v>
      </c>
      <c r="Y92">
        <f>IF(Source!BI76=3,G92, 0)</f>
        <v>0</v>
      </c>
      <c r="Z92">
        <f>IF(Source!BI76=4,G92, 0)</f>
        <v>0</v>
      </c>
    </row>
    <row r="93" spans="1:28" ht="42.75" x14ac:dyDescent="0.2">
      <c r="A93" s="28" t="str">
        <f>Source!E86</f>
        <v>6</v>
      </c>
      <c r="B93" s="29" t="str">
        <f>Source!F86</f>
        <v>403-2127</v>
      </c>
      <c r="C93" s="15" t="str">
        <f>Source!G86</f>
        <v>Стойка опоры СВ 110-3,5 /бетон В30 (М400), объем 0,45 м3, расход ар-ры 66,8 кг/ (серия 3.407.1-143 вып.7)</v>
      </c>
      <c r="D93" s="31" t="str">
        <f>Source!H86</f>
        <v>шт.</v>
      </c>
      <c r="E93" s="10">
        <f>Source!I86</f>
        <v>2</v>
      </c>
      <c r="F93" s="22">
        <f>IF(Source!AK86&lt;&gt; 0, Source!AK86,Source!AL86 + Source!AM86 + Source!AO86)</f>
        <v>1525.42</v>
      </c>
      <c r="G93" s="16"/>
      <c r="H93" s="22"/>
      <c r="I93" s="16" t="str">
        <f>Source!BO86</f>
        <v>403-2127</v>
      </c>
      <c r="J93" s="16"/>
      <c r="K93" s="22"/>
      <c r="L93" s="32"/>
      <c r="S93">
        <f>ROUND((Source!FX86/100)*((ROUND(Source!AF86*Source!I86, 2)+ROUND(Source!AE86*Source!I86, 2))), 2)</f>
        <v>0</v>
      </c>
      <c r="T93">
        <f>Source!X86</f>
        <v>0</v>
      </c>
      <c r="U93">
        <f>ROUND((Source!FY86/100)*((ROUND(Source!AF86*Source!I86, 2)+ROUND(Source!AE86*Source!I86, 2))), 2)</f>
        <v>0</v>
      </c>
      <c r="V93">
        <f>Source!Y86</f>
        <v>0</v>
      </c>
    </row>
    <row r="94" spans="1:28" ht="14.25" x14ac:dyDescent="0.2">
      <c r="A94" s="38"/>
      <c r="B94" s="39"/>
      <c r="C94" s="40" t="s">
        <v>582</v>
      </c>
      <c r="D94" s="41"/>
      <c r="E94" s="42"/>
      <c r="F94" s="43">
        <f>Source!AL86</f>
        <v>1525.42</v>
      </c>
      <c r="G94" s="44" t="str">
        <f>Source!DD86</f>
        <v/>
      </c>
      <c r="H94" s="43">
        <f>ROUND(Source!AC86*Source!I86, 2)</f>
        <v>3050.84</v>
      </c>
      <c r="I94" s="44"/>
      <c r="J94" s="44">
        <f>IF(Source!BC86&lt;&gt; 0, Source!BC86, 1)</f>
        <v>12.66</v>
      </c>
      <c r="K94" s="43">
        <f>Source!P86</f>
        <v>38623.629999999997</v>
      </c>
      <c r="L94" s="55"/>
    </row>
    <row r="95" spans="1:28" ht="15" x14ac:dyDescent="0.25">
      <c r="G95" s="96">
        <f>ROUND(Source!AC86*Source!I86, 2)+ROUND(Source!AF86*Source!I86, 2)+ROUND((((Source!ET86)-(Source!EU86))+Source!AE86)*Source!I86, 2)</f>
        <v>3050.84</v>
      </c>
      <c r="H95" s="96"/>
      <c r="J95" s="96">
        <f>Source!O86</f>
        <v>38623.629999999997</v>
      </c>
      <c r="K95" s="96"/>
      <c r="L95" s="37">
        <f>Source!U86</f>
        <v>0</v>
      </c>
      <c r="O95" s="36">
        <f>G95</f>
        <v>3050.84</v>
      </c>
      <c r="P95" s="36">
        <f>J95</f>
        <v>38623.629999999997</v>
      </c>
      <c r="Q95" s="36">
        <f>L95</f>
        <v>0</v>
      </c>
      <c r="W95">
        <f>IF(Source!BI86&lt;=1,G95, 0)</f>
        <v>3050.84</v>
      </c>
      <c r="X95">
        <f>IF(Source!BI86=2,G95, 0)</f>
        <v>0</v>
      </c>
      <c r="Y95">
        <f>IF(Source!BI86=3,G95, 0)</f>
        <v>0</v>
      </c>
      <c r="Z95">
        <f>IF(Source!BI86=4,G95, 0)</f>
        <v>0</v>
      </c>
    </row>
    <row r="96" spans="1:28" ht="28.5" x14ac:dyDescent="0.2">
      <c r="A96" s="28" t="str">
        <f>Source!E87</f>
        <v>7</v>
      </c>
      <c r="B96" s="29" t="str">
        <f>Source!F87</f>
        <v>201-8113</v>
      </c>
      <c r="C96" s="15" t="str">
        <f>Source!G87</f>
        <v>Траверсы стальные (Траверса ТМ-71 21,76 кг и траверса ТМ-66 6,7 кг)</v>
      </c>
      <c r="D96" s="31" t="str">
        <f>Source!H87</f>
        <v>т</v>
      </c>
      <c r="E96" s="10">
        <f>Source!I87</f>
        <v>2.8459999999999999E-2</v>
      </c>
      <c r="F96" s="22">
        <f>IF(Source!AK87&lt;&gt; 0, Source!AK87,Source!AL87 + Source!AM87 + Source!AO87)</f>
        <v>10995.42</v>
      </c>
      <c r="G96" s="16"/>
      <c r="H96" s="22"/>
      <c r="I96" s="16" t="str">
        <f>Source!BO87</f>
        <v>201-8113</v>
      </c>
      <c r="J96" s="16"/>
      <c r="K96" s="22"/>
      <c r="L96" s="32"/>
      <c r="S96">
        <f>ROUND((Source!FX87/100)*((ROUND(Source!AF87*Source!I87, 2)+ROUND(Source!AE87*Source!I87, 2))), 2)</f>
        <v>0</v>
      </c>
      <c r="T96">
        <f>Source!X87</f>
        <v>0</v>
      </c>
      <c r="U96">
        <f>ROUND((Source!FY87/100)*((ROUND(Source!AF87*Source!I87, 2)+ROUND(Source!AE87*Source!I87, 2))), 2)</f>
        <v>0</v>
      </c>
      <c r="V96">
        <f>Source!Y87</f>
        <v>0</v>
      </c>
    </row>
    <row r="97" spans="1:26" ht="14.25" x14ac:dyDescent="0.2">
      <c r="A97" s="38"/>
      <c r="B97" s="39"/>
      <c r="C97" s="40" t="s">
        <v>582</v>
      </c>
      <c r="D97" s="41"/>
      <c r="E97" s="42"/>
      <c r="F97" s="43">
        <f>Source!AL87</f>
        <v>10995.42</v>
      </c>
      <c r="G97" s="44" t="str">
        <f>Source!DD87</f>
        <v/>
      </c>
      <c r="H97" s="43">
        <f>ROUND(Source!AC87*Source!I87, 2)</f>
        <v>312.93</v>
      </c>
      <c r="I97" s="44"/>
      <c r="J97" s="44">
        <f>IF(Source!BC87&lt;&gt; 0, Source!BC87, 1)</f>
        <v>22.9</v>
      </c>
      <c r="K97" s="43">
        <f>Source!P87</f>
        <v>7166.09</v>
      </c>
      <c r="L97" s="55"/>
    </row>
    <row r="98" spans="1:26" ht="15" x14ac:dyDescent="0.25">
      <c r="G98" s="96">
        <f>ROUND(Source!AC87*Source!I87, 2)+ROUND(Source!AF87*Source!I87, 2)+ROUND((((Source!ET87)-(Source!EU87))+Source!AE87)*Source!I87, 2)</f>
        <v>312.93</v>
      </c>
      <c r="H98" s="96"/>
      <c r="J98" s="96">
        <f>Source!O87</f>
        <v>7166.09</v>
      </c>
      <c r="K98" s="96"/>
      <c r="L98" s="37">
        <f>Source!U87</f>
        <v>0</v>
      </c>
      <c r="O98" s="36">
        <f>G98</f>
        <v>312.93</v>
      </c>
      <c r="P98" s="36">
        <f>J98</f>
        <v>7166.09</v>
      </c>
      <c r="Q98" s="36">
        <f>L98</f>
        <v>0</v>
      </c>
      <c r="W98">
        <f>IF(Source!BI87&lt;=1,G98, 0)</f>
        <v>312.93</v>
      </c>
      <c r="X98">
        <f>IF(Source!BI87=2,G98, 0)</f>
        <v>0</v>
      </c>
      <c r="Y98">
        <f>IF(Source!BI87=3,G98, 0)</f>
        <v>0</v>
      </c>
      <c r="Z98">
        <f>IF(Source!BI87=4,G98, 0)</f>
        <v>0</v>
      </c>
    </row>
    <row r="99" spans="1:26" ht="14.25" x14ac:dyDescent="0.2">
      <c r="A99" s="28" t="str">
        <f>Source!E88</f>
        <v>8</v>
      </c>
      <c r="B99" s="29" t="str">
        <f>Source!F88</f>
        <v>201-0856</v>
      </c>
      <c r="C99" s="15" t="str">
        <f>Source!G88</f>
        <v>Хомуты стальные (Хомут Х-12 1,18 кг)</v>
      </c>
      <c r="D99" s="31" t="str">
        <f>Source!H88</f>
        <v>кг</v>
      </c>
      <c r="E99" s="10">
        <f>Source!I88</f>
        <v>2.36</v>
      </c>
      <c r="F99" s="22">
        <f>IF(Source!AK88&lt;&gt; 0, Source!AK88,Source!AL88 + Source!AM88 + Source!AO88)</f>
        <v>9.74</v>
      </c>
      <c r="G99" s="16"/>
      <c r="H99" s="22"/>
      <c r="I99" s="16" t="str">
        <f>Source!BO88</f>
        <v>201-0856</v>
      </c>
      <c r="J99" s="16"/>
      <c r="K99" s="22"/>
      <c r="L99" s="32"/>
      <c r="S99">
        <f>ROUND((Source!FX88/100)*((ROUND(Source!AF88*Source!I88, 2)+ROUND(Source!AE88*Source!I88, 2))), 2)</f>
        <v>0</v>
      </c>
      <c r="T99">
        <f>Source!X88</f>
        <v>0</v>
      </c>
      <c r="U99">
        <f>ROUND((Source!FY88/100)*((ROUND(Source!AF88*Source!I88, 2)+ROUND(Source!AE88*Source!I88, 2))), 2)</f>
        <v>0</v>
      </c>
      <c r="V99">
        <f>Source!Y88</f>
        <v>0</v>
      </c>
    </row>
    <row r="100" spans="1:26" ht="14.25" x14ac:dyDescent="0.2">
      <c r="A100" s="38"/>
      <c r="B100" s="39"/>
      <c r="C100" s="40" t="s">
        <v>582</v>
      </c>
      <c r="D100" s="41"/>
      <c r="E100" s="42"/>
      <c r="F100" s="43">
        <f>Source!AL88</f>
        <v>9.74</v>
      </c>
      <c r="G100" s="44" t="str">
        <f>Source!DD88</f>
        <v/>
      </c>
      <c r="H100" s="43">
        <f>ROUND(Source!AC88*Source!I88, 2)</f>
        <v>22.99</v>
      </c>
      <c r="I100" s="44"/>
      <c r="J100" s="44">
        <f>IF(Source!BC88&lt;&gt; 0, Source!BC88, 1)</f>
        <v>7.38</v>
      </c>
      <c r="K100" s="43">
        <f>Source!P88</f>
        <v>169.64</v>
      </c>
      <c r="L100" s="55"/>
    </row>
    <row r="101" spans="1:26" ht="15" x14ac:dyDescent="0.25">
      <c r="G101" s="96">
        <f>ROUND(Source!AC88*Source!I88, 2)+ROUND(Source!AF88*Source!I88, 2)+ROUND((((Source!ET88)-(Source!EU88))+Source!AE88)*Source!I88, 2)</f>
        <v>22.99</v>
      </c>
      <c r="H101" s="96"/>
      <c r="J101" s="96">
        <f>Source!O88</f>
        <v>169.64</v>
      </c>
      <c r="K101" s="96"/>
      <c r="L101" s="37">
        <f>Source!U88</f>
        <v>0</v>
      </c>
      <c r="O101" s="36">
        <f>G101</f>
        <v>22.99</v>
      </c>
      <c r="P101" s="36">
        <f>J101</f>
        <v>169.64</v>
      </c>
      <c r="Q101" s="36">
        <f>L101</f>
        <v>0</v>
      </c>
      <c r="W101">
        <f>IF(Source!BI88&lt;=1,G101, 0)</f>
        <v>22.99</v>
      </c>
      <c r="X101">
        <f>IF(Source!BI88=2,G101, 0)</f>
        <v>0</v>
      </c>
      <c r="Y101">
        <f>IF(Source!BI88=3,G101, 0)</f>
        <v>0</v>
      </c>
      <c r="Z101">
        <f>IF(Source!BI88=4,G101, 0)</f>
        <v>0</v>
      </c>
    </row>
    <row r="102" spans="1:26" ht="28.5" x14ac:dyDescent="0.2">
      <c r="A102" s="28" t="str">
        <f>Source!E89</f>
        <v>9</v>
      </c>
      <c r="B102" s="29" t="str">
        <f>Source!F89</f>
        <v>204-0003</v>
      </c>
      <c r="C102" s="15" t="str">
        <f>Source!G89</f>
        <v>Горячекатаная арматурная сталь гладкая класса А-I, диаметром 10 мм</v>
      </c>
      <c r="D102" s="31" t="str">
        <f>Source!H89</f>
        <v>т</v>
      </c>
      <c r="E102" s="10">
        <f>Source!I89</f>
        <v>5.169E-3</v>
      </c>
      <c r="F102" s="22">
        <f>IF(Source!AK89&lt;&gt; 0, Source!AK89,Source!AL89 + Source!AM89 + Source!AO89)</f>
        <v>6813</v>
      </c>
      <c r="G102" s="16"/>
      <c r="H102" s="22"/>
      <c r="I102" s="16" t="str">
        <f>Source!BO89</f>
        <v>204-0003</v>
      </c>
      <c r="J102" s="16"/>
      <c r="K102" s="22"/>
      <c r="L102" s="32"/>
      <c r="S102">
        <f>ROUND((Source!FX89/100)*((ROUND(Source!AF89*Source!I89, 2)+ROUND(Source!AE89*Source!I89, 2))), 2)</f>
        <v>0</v>
      </c>
      <c r="T102">
        <f>Source!X89</f>
        <v>0</v>
      </c>
      <c r="U102">
        <f>ROUND((Source!FY89/100)*((ROUND(Source!AF89*Source!I89, 2)+ROUND(Source!AE89*Source!I89, 2))), 2)</f>
        <v>0</v>
      </c>
      <c r="V102">
        <f>Source!Y89</f>
        <v>0</v>
      </c>
    </row>
    <row r="103" spans="1:26" ht="14.25" x14ac:dyDescent="0.2">
      <c r="A103" s="38"/>
      <c r="B103" s="39"/>
      <c r="C103" s="40" t="s">
        <v>582</v>
      </c>
      <c r="D103" s="41"/>
      <c r="E103" s="42"/>
      <c r="F103" s="43">
        <f>Source!AL89</f>
        <v>6813</v>
      </c>
      <c r="G103" s="44" t="str">
        <f>Source!DD89</f>
        <v/>
      </c>
      <c r="H103" s="43">
        <f>ROUND(Source!AC89*Source!I89, 2)</f>
        <v>35.22</v>
      </c>
      <c r="I103" s="44"/>
      <c r="J103" s="44">
        <f>IF(Source!BC89&lt;&gt; 0, Source!BC89, 1)</f>
        <v>10.43</v>
      </c>
      <c r="K103" s="43">
        <f>Source!P89</f>
        <v>367.31</v>
      </c>
      <c r="L103" s="55"/>
    </row>
    <row r="104" spans="1:26" ht="15" x14ac:dyDescent="0.25">
      <c r="G104" s="96">
        <f>ROUND(Source!AC89*Source!I89, 2)+ROUND(Source!AF89*Source!I89, 2)+ROUND((((Source!ET89)-(Source!EU89))+Source!AE89)*Source!I89, 2)</f>
        <v>35.22</v>
      </c>
      <c r="H104" s="96"/>
      <c r="J104" s="96">
        <f>Source!O89</f>
        <v>367.31</v>
      </c>
      <c r="K104" s="96"/>
      <c r="L104" s="37">
        <f>Source!U89</f>
        <v>0</v>
      </c>
      <c r="O104" s="36">
        <f>G104</f>
        <v>35.22</v>
      </c>
      <c r="P104" s="36">
        <f>J104</f>
        <v>367.31</v>
      </c>
      <c r="Q104" s="36">
        <f>L104</f>
        <v>0</v>
      </c>
      <c r="W104">
        <f>IF(Source!BI89&lt;=1,G104, 0)</f>
        <v>35.22</v>
      </c>
      <c r="X104">
        <f>IF(Source!BI89=2,G104, 0)</f>
        <v>0</v>
      </c>
      <c r="Y104">
        <f>IF(Source!BI89=3,G104, 0)</f>
        <v>0</v>
      </c>
      <c r="Z104">
        <f>IF(Source!BI89=4,G104, 0)</f>
        <v>0</v>
      </c>
    </row>
    <row r="105" spans="1:26" ht="42.75" x14ac:dyDescent="0.2">
      <c r="A105" s="28" t="str">
        <f>Source!E90</f>
        <v>10</v>
      </c>
      <c r="B105" s="29" t="str">
        <f>Source!F90</f>
        <v>110-0318</v>
      </c>
      <c r="C105" s="15" t="str">
        <f>Source!G90</f>
        <v>Изоляторы линейные штыревые высоковольтные ШФ 20-Г (прим. Изолятор ШФ-20)</v>
      </c>
      <c r="D105" s="31" t="str">
        <f>Source!H90</f>
        <v>шт.</v>
      </c>
      <c r="E105" s="10">
        <f>Source!I90</f>
        <v>3</v>
      </c>
      <c r="F105" s="22">
        <f>IF(Source!AK90&lt;&gt; 0, Source!AK90,Source!AL90 + Source!AM90 + Source!AO90)</f>
        <v>43.95</v>
      </c>
      <c r="G105" s="16"/>
      <c r="H105" s="22"/>
      <c r="I105" s="16" t="str">
        <f>Source!BO90</f>
        <v>110-0318</v>
      </c>
      <c r="J105" s="16"/>
      <c r="K105" s="22"/>
      <c r="L105" s="32"/>
      <c r="S105">
        <f>ROUND((Source!FX90/100)*((ROUND(Source!AF90*Source!I90, 2)+ROUND(Source!AE90*Source!I90, 2))), 2)</f>
        <v>0</v>
      </c>
      <c r="T105">
        <f>Source!X90</f>
        <v>0</v>
      </c>
      <c r="U105">
        <f>ROUND((Source!FY90/100)*((ROUND(Source!AF90*Source!I90, 2)+ROUND(Source!AE90*Source!I90, 2))), 2)</f>
        <v>0</v>
      </c>
      <c r="V105">
        <f>Source!Y90</f>
        <v>0</v>
      </c>
    </row>
    <row r="106" spans="1:26" ht="14.25" x14ac:dyDescent="0.2">
      <c r="A106" s="38"/>
      <c r="B106" s="39"/>
      <c r="C106" s="40" t="s">
        <v>582</v>
      </c>
      <c r="D106" s="41"/>
      <c r="E106" s="42"/>
      <c r="F106" s="43">
        <f>Source!AL90</f>
        <v>43.95</v>
      </c>
      <c r="G106" s="44" t="str">
        <f>Source!DD90</f>
        <v/>
      </c>
      <c r="H106" s="43">
        <f>ROUND(Source!AC90*Source!I90, 2)</f>
        <v>131.85</v>
      </c>
      <c r="I106" s="44"/>
      <c r="J106" s="44">
        <f>IF(Source!BC90&lt;&gt; 0, Source!BC90, 1)</f>
        <v>6.63</v>
      </c>
      <c r="K106" s="43">
        <f>Source!P90</f>
        <v>874.17</v>
      </c>
      <c r="L106" s="55"/>
    </row>
    <row r="107" spans="1:26" ht="15" x14ac:dyDescent="0.25">
      <c r="G107" s="96">
        <f>ROUND(Source!AC90*Source!I90, 2)+ROUND(Source!AF90*Source!I90, 2)+ROUND((((Source!ET90)-(Source!EU90))+Source!AE90)*Source!I90, 2)</f>
        <v>131.85</v>
      </c>
      <c r="H107" s="96"/>
      <c r="J107" s="96">
        <f>Source!O90</f>
        <v>874.17</v>
      </c>
      <c r="K107" s="96"/>
      <c r="L107" s="37">
        <f>Source!U90</f>
        <v>0</v>
      </c>
      <c r="O107" s="36">
        <f>G107</f>
        <v>131.85</v>
      </c>
      <c r="P107" s="36">
        <f>J107</f>
        <v>874.17</v>
      </c>
      <c r="Q107" s="36">
        <f>L107</f>
        <v>0</v>
      </c>
      <c r="W107">
        <f>IF(Source!BI90&lt;=1,G107, 0)</f>
        <v>131.85</v>
      </c>
      <c r="X107">
        <f>IF(Source!BI90=2,G107, 0)</f>
        <v>0</v>
      </c>
      <c r="Y107">
        <f>IF(Source!BI90=3,G107, 0)</f>
        <v>0</v>
      </c>
      <c r="Z107">
        <f>IF(Source!BI90=4,G107, 0)</f>
        <v>0</v>
      </c>
    </row>
    <row r="108" spans="1:26" ht="14.25" x14ac:dyDescent="0.2">
      <c r="A108" s="28" t="str">
        <f>Source!E91</f>
        <v>11</v>
      </c>
      <c r="B108" s="29" t="str">
        <f>Source!F91</f>
        <v>509-1714</v>
      </c>
      <c r="C108" s="15" t="str">
        <f>Source!G91</f>
        <v>Зажим натяжной болтовый НБ-2-6</v>
      </c>
      <c r="D108" s="31" t="str">
        <f>Source!H91</f>
        <v>шт.</v>
      </c>
      <c r="E108" s="10">
        <f>Source!I91</f>
        <v>3</v>
      </c>
      <c r="F108" s="22">
        <f>IF(Source!AK91&lt;&gt; 0, Source!AK91,Source!AL91 + Source!AM91 + Source!AO91)</f>
        <v>90.78</v>
      </c>
      <c r="G108" s="16"/>
      <c r="H108" s="22"/>
      <c r="I108" s="16" t="str">
        <f>Source!BO91</f>
        <v>509-1714</v>
      </c>
      <c r="J108" s="16"/>
      <c r="K108" s="22"/>
      <c r="L108" s="32"/>
      <c r="S108">
        <f>ROUND((Source!FX91/100)*((ROUND(Source!AF91*Source!I91, 2)+ROUND(Source!AE91*Source!I91, 2))), 2)</f>
        <v>0</v>
      </c>
      <c r="T108">
        <f>Source!X91</f>
        <v>0</v>
      </c>
      <c r="U108">
        <f>ROUND((Source!FY91/100)*((ROUND(Source!AF91*Source!I91, 2)+ROUND(Source!AE91*Source!I91, 2))), 2)</f>
        <v>0</v>
      </c>
      <c r="V108">
        <f>Source!Y91</f>
        <v>0</v>
      </c>
    </row>
    <row r="109" spans="1:26" ht="14.25" x14ac:dyDescent="0.2">
      <c r="A109" s="38"/>
      <c r="B109" s="39"/>
      <c r="C109" s="40" t="s">
        <v>582</v>
      </c>
      <c r="D109" s="41"/>
      <c r="E109" s="42"/>
      <c r="F109" s="43">
        <f>Source!AL91</f>
        <v>90.78</v>
      </c>
      <c r="G109" s="44" t="str">
        <f>Source!DD91</f>
        <v/>
      </c>
      <c r="H109" s="43">
        <f>ROUND(Source!AC91*Source!I91, 2)</f>
        <v>272.33999999999997</v>
      </c>
      <c r="I109" s="44"/>
      <c r="J109" s="44">
        <f>IF(Source!BC91&lt;&gt; 0, Source!BC91, 1)</f>
        <v>8.2899999999999991</v>
      </c>
      <c r="K109" s="43">
        <f>Source!P91</f>
        <v>2257.6999999999998</v>
      </c>
      <c r="L109" s="55"/>
    </row>
    <row r="110" spans="1:26" ht="15" x14ac:dyDescent="0.25">
      <c r="G110" s="96">
        <f>ROUND(Source!AC91*Source!I91, 2)+ROUND(Source!AF91*Source!I91, 2)+ROUND((((Source!ET91)-(Source!EU91))+Source!AE91)*Source!I91, 2)</f>
        <v>272.33999999999997</v>
      </c>
      <c r="H110" s="96"/>
      <c r="J110" s="96">
        <f>Source!O91</f>
        <v>2257.6999999999998</v>
      </c>
      <c r="K110" s="96"/>
      <c r="L110" s="37">
        <f>Source!U91</f>
        <v>0</v>
      </c>
      <c r="O110" s="36">
        <f>G110</f>
        <v>272.33999999999997</v>
      </c>
      <c r="P110" s="36">
        <f>J110</f>
        <v>2257.6999999999998</v>
      </c>
      <c r="Q110" s="36">
        <f>L110</f>
        <v>0</v>
      </c>
      <c r="W110">
        <f>IF(Source!BI91&lt;=1,G110, 0)</f>
        <v>0</v>
      </c>
      <c r="X110">
        <f>IF(Source!BI91=2,G110, 0)</f>
        <v>272.33999999999997</v>
      </c>
      <c r="Y110">
        <f>IF(Source!BI91=3,G110, 0)</f>
        <v>0</v>
      </c>
      <c r="Z110">
        <f>IF(Source!BI91=4,G110, 0)</f>
        <v>0</v>
      </c>
    </row>
    <row r="111" spans="1:26" ht="28.5" x14ac:dyDescent="0.2">
      <c r="A111" s="28" t="str">
        <f>Source!E92</f>
        <v>12</v>
      </c>
      <c r="B111" s="29" t="str">
        <f>Source!F92</f>
        <v>110-0316</v>
      </c>
      <c r="C111" s="15" t="str">
        <f>Source!G92</f>
        <v>Звено промежуточное трехлапчатое ПРТ-7-1</v>
      </c>
      <c r="D111" s="31" t="str">
        <f>Source!H92</f>
        <v>шт.</v>
      </c>
      <c r="E111" s="10">
        <f>Source!I92</f>
        <v>3</v>
      </c>
      <c r="F111" s="22">
        <f>IF(Source!AK92&lt;&gt; 0, Source!AK92,Source!AL92 + Source!AM92 + Source!AO92)</f>
        <v>36.979999999999997</v>
      </c>
      <c r="G111" s="16"/>
      <c r="H111" s="22"/>
      <c r="I111" s="16" t="str">
        <f>Source!BO92</f>
        <v>110-0316</v>
      </c>
      <c r="J111" s="16"/>
      <c r="K111" s="22"/>
      <c r="L111" s="32"/>
      <c r="S111">
        <f>ROUND((Source!FX92/100)*((ROUND(Source!AF92*Source!I92, 2)+ROUND(Source!AE92*Source!I92, 2))), 2)</f>
        <v>0</v>
      </c>
      <c r="T111">
        <f>Source!X92</f>
        <v>0</v>
      </c>
      <c r="U111">
        <f>ROUND((Source!FY92/100)*((ROUND(Source!AF92*Source!I92, 2)+ROUND(Source!AE92*Source!I92, 2))), 2)</f>
        <v>0</v>
      </c>
      <c r="V111">
        <f>Source!Y92</f>
        <v>0</v>
      </c>
    </row>
    <row r="112" spans="1:26" ht="14.25" x14ac:dyDescent="0.2">
      <c r="A112" s="38"/>
      <c r="B112" s="39"/>
      <c r="C112" s="40" t="s">
        <v>582</v>
      </c>
      <c r="D112" s="41"/>
      <c r="E112" s="42"/>
      <c r="F112" s="43">
        <f>Source!AL92</f>
        <v>36.979999999999997</v>
      </c>
      <c r="G112" s="44" t="str">
        <f>Source!DD92</f>
        <v/>
      </c>
      <c r="H112" s="43">
        <f>ROUND(Source!AC92*Source!I92, 2)</f>
        <v>110.94</v>
      </c>
      <c r="I112" s="44"/>
      <c r="J112" s="44">
        <f>IF(Source!BC92&lt;&gt; 0, Source!BC92, 1)</f>
        <v>4.92</v>
      </c>
      <c r="K112" s="43">
        <f>Source!P92</f>
        <v>545.82000000000005</v>
      </c>
      <c r="L112" s="55"/>
    </row>
    <row r="113" spans="1:26" ht="15" x14ac:dyDescent="0.25">
      <c r="G113" s="96">
        <f>ROUND(Source!AC92*Source!I92, 2)+ROUND(Source!AF92*Source!I92, 2)+ROUND((((Source!ET92)-(Source!EU92))+Source!AE92)*Source!I92, 2)</f>
        <v>110.94</v>
      </c>
      <c r="H113" s="96"/>
      <c r="J113" s="96">
        <f>Source!O92</f>
        <v>545.82000000000005</v>
      </c>
      <c r="K113" s="96"/>
      <c r="L113" s="37">
        <f>Source!U92</f>
        <v>0</v>
      </c>
      <c r="O113" s="36">
        <f>G113</f>
        <v>110.94</v>
      </c>
      <c r="P113" s="36">
        <f>J113</f>
        <v>545.82000000000005</v>
      </c>
      <c r="Q113" s="36">
        <f>L113</f>
        <v>0</v>
      </c>
      <c r="W113">
        <f>IF(Source!BI92&lt;=1,G113, 0)</f>
        <v>110.94</v>
      </c>
      <c r="X113">
        <f>IF(Source!BI92=2,G113, 0)</f>
        <v>0</v>
      </c>
      <c r="Y113">
        <f>IF(Source!BI92=3,G113, 0)</f>
        <v>0</v>
      </c>
      <c r="Z113">
        <f>IF(Source!BI92=4,G113, 0)</f>
        <v>0</v>
      </c>
    </row>
    <row r="114" spans="1:26" ht="14.25" x14ac:dyDescent="0.2">
      <c r="A114" s="28" t="str">
        <f>Source!E93</f>
        <v>13</v>
      </c>
      <c r="B114" s="29" t="str">
        <f>Source!F93</f>
        <v>509-1771</v>
      </c>
      <c r="C114" s="15" t="str">
        <f>Source!G93</f>
        <v>Ушко однолапчатое У1-7-16</v>
      </c>
      <c r="D114" s="31" t="str">
        <f>Source!H93</f>
        <v>шт.</v>
      </c>
      <c r="E114" s="10">
        <f>Source!I93</f>
        <v>3</v>
      </c>
      <c r="F114" s="22">
        <f>IF(Source!AK93&lt;&gt; 0, Source!AK93,Source!AL93 + Source!AM93 + Source!AO93)</f>
        <v>39.909999999999997</v>
      </c>
      <c r="G114" s="16"/>
      <c r="H114" s="22"/>
      <c r="I114" s="16" t="str">
        <f>Source!BO93</f>
        <v>509-1771</v>
      </c>
      <c r="J114" s="16"/>
      <c r="K114" s="22"/>
      <c r="L114" s="32"/>
      <c r="S114">
        <f>ROUND((Source!FX93/100)*((ROUND(Source!AF93*Source!I93, 2)+ROUND(Source!AE93*Source!I93, 2))), 2)</f>
        <v>0</v>
      </c>
      <c r="T114">
        <f>Source!X93</f>
        <v>0</v>
      </c>
      <c r="U114">
        <f>ROUND((Source!FY93/100)*((ROUND(Source!AF93*Source!I93, 2)+ROUND(Source!AE93*Source!I93, 2))), 2)</f>
        <v>0</v>
      </c>
      <c r="V114">
        <f>Source!Y93</f>
        <v>0</v>
      </c>
    </row>
    <row r="115" spans="1:26" ht="14.25" x14ac:dyDescent="0.2">
      <c r="A115" s="38"/>
      <c r="B115" s="39"/>
      <c r="C115" s="40" t="s">
        <v>582</v>
      </c>
      <c r="D115" s="41"/>
      <c r="E115" s="42"/>
      <c r="F115" s="43">
        <f>Source!AL93</f>
        <v>39.909999999999997</v>
      </c>
      <c r="G115" s="44" t="str">
        <f>Source!DD93</f>
        <v/>
      </c>
      <c r="H115" s="43">
        <f>ROUND(Source!AC93*Source!I93, 2)</f>
        <v>119.73</v>
      </c>
      <c r="I115" s="44"/>
      <c r="J115" s="44">
        <f>IF(Source!BC93&lt;&gt; 0, Source!BC93, 1)</f>
        <v>4.5</v>
      </c>
      <c r="K115" s="43">
        <f>Source!P93</f>
        <v>538.79</v>
      </c>
      <c r="L115" s="55"/>
    </row>
    <row r="116" spans="1:26" ht="15" x14ac:dyDescent="0.25">
      <c r="G116" s="96">
        <f>ROUND(Source!AC93*Source!I93, 2)+ROUND(Source!AF93*Source!I93, 2)+ROUND((((Source!ET93)-(Source!EU93))+Source!AE93)*Source!I93, 2)</f>
        <v>119.73</v>
      </c>
      <c r="H116" s="96"/>
      <c r="J116" s="96">
        <f>Source!O93</f>
        <v>538.79</v>
      </c>
      <c r="K116" s="96"/>
      <c r="L116" s="37">
        <f>Source!U93</f>
        <v>0</v>
      </c>
      <c r="O116" s="36">
        <f>G116</f>
        <v>119.73</v>
      </c>
      <c r="P116" s="36">
        <f>J116</f>
        <v>538.79</v>
      </c>
      <c r="Q116" s="36">
        <f>L116</f>
        <v>0</v>
      </c>
      <c r="W116">
        <f>IF(Source!BI93&lt;=1,G116, 0)</f>
        <v>0</v>
      </c>
      <c r="X116">
        <f>IF(Source!BI93=2,G116, 0)</f>
        <v>119.73</v>
      </c>
      <c r="Y116">
        <f>IF(Source!BI93=3,G116, 0)</f>
        <v>0</v>
      </c>
      <c r="Z116">
        <f>IF(Source!BI93=4,G116, 0)</f>
        <v>0</v>
      </c>
    </row>
    <row r="117" spans="1:26" ht="42.75" x14ac:dyDescent="0.2">
      <c r="A117" s="28" t="str">
        <f>Source!E94</f>
        <v>14</v>
      </c>
      <c r="B117" s="29" t="str">
        <f>Source!F94</f>
        <v>110-0345</v>
      </c>
      <c r="C117" s="15" t="str">
        <f>Source!G94</f>
        <v>Изоляторы линейные подвесные стеклянные ПСД-70Е  (прим. Изолятор ПС-70)</v>
      </c>
      <c r="D117" s="31" t="str">
        <f>Source!H94</f>
        <v>шт.</v>
      </c>
      <c r="E117" s="10">
        <f>Source!I94</f>
        <v>6</v>
      </c>
      <c r="F117" s="22">
        <f>IF(Source!AK94&lt;&gt; 0, Source!AK94,Source!AL94 + Source!AM94 + Source!AO94)</f>
        <v>171.79</v>
      </c>
      <c r="G117" s="16"/>
      <c r="H117" s="22"/>
      <c r="I117" s="16" t="str">
        <f>Source!BO94</f>
        <v>110-0345</v>
      </c>
      <c r="J117" s="16"/>
      <c r="K117" s="22"/>
      <c r="L117" s="32"/>
      <c r="S117">
        <f>ROUND((Source!FX94/100)*((ROUND(Source!AF94*Source!I94, 2)+ROUND(Source!AE94*Source!I94, 2))), 2)</f>
        <v>0</v>
      </c>
      <c r="T117">
        <f>Source!X94</f>
        <v>0</v>
      </c>
      <c r="U117">
        <f>ROUND((Source!FY94/100)*((ROUND(Source!AF94*Source!I94, 2)+ROUND(Source!AE94*Source!I94, 2))), 2)</f>
        <v>0</v>
      </c>
      <c r="V117">
        <f>Source!Y94</f>
        <v>0</v>
      </c>
    </row>
    <row r="118" spans="1:26" ht="14.25" x14ac:dyDescent="0.2">
      <c r="A118" s="38"/>
      <c r="B118" s="39"/>
      <c r="C118" s="40" t="s">
        <v>582</v>
      </c>
      <c r="D118" s="41"/>
      <c r="E118" s="42"/>
      <c r="F118" s="43">
        <f>Source!AL94</f>
        <v>171.79</v>
      </c>
      <c r="G118" s="44" t="str">
        <f>Source!DD94</f>
        <v/>
      </c>
      <c r="H118" s="43">
        <f>ROUND(Source!AC94*Source!I94, 2)</f>
        <v>1030.74</v>
      </c>
      <c r="I118" s="44"/>
      <c r="J118" s="44">
        <f>IF(Source!BC94&lt;&gt; 0, Source!BC94, 1)</f>
        <v>10.15</v>
      </c>
      <c r="K118" s="43">
        <f>Source!P94</f>
        <v>10462.01</v>
      </c>
      <c r="L118" s="55"/>
    </row>
    <row r="119" spans="1:26" ht="15" x14ac:dyDescent="0.25">
      <c r="G119" s="96">
        <f>ROUND(Source!AC94*Source!I94, 2)+ROUND(Source!AF94*Source!I94, 2)+ROUND((((Source!ET94)-(Source!EU94))+Source!AE94)*Source!I94, 2)</f>
        <v>1030.74</v>
      </c>
      <c r="H119" s="96"/>
      <c r="J119" s="96">
        <f>Source!O94</f>
        <v>10462.01</v>
      </c>
      <c r="K119" s="96"/>
      <c r="L119" s="37">
        <f>Source!U94</f>
        <v>0</v>
      </c>
      <c r="O119" s="36">
        <f>G119</f>
        <v>1030.74</v>
      </c>
      <c r="P119" s="36">
        <f>J119</f>
        <v>10462.01</v>
      </c>
      <c r="Q119" s="36">
        <f>L119</f>
        <v>0</v>
      </c>
      <c r="W119">
        <f>IF(Source!BI94&lt;=1,G119, 0)</f>
        <v>1030.74</v>
      </c>
      <c r="X119">
        <f>IF(Source!BI94=2,G119, 0)</f>
        <v>0</v>
      </c>
      <c r="Y119">
        <f>IF(Source!BI94=3,G119, 0)</f>
        <v>0</v>
      </c>
      <c r="Z119">
        <f>IF(Source!BI94=4,G119, 0)</f>
        <v>0</v>
      </c>
    </row>
    <row r="120" spans="1:26" ht="28.5" x14ac:dyDescent="0.2">
      <c r="A120" s="28" t="str">
        <f>Source!E95</f>
        <v>15</v>
      </c>
      <c r="B120" s="29" t="str">
        <f>Source!F95</f>
        <v>509-5944</v>
      </c>
      <c r="C120" s="15" t="str">
        <f>Source!G95</f>
        <v>Зажим аппаратный прессуемый А1А-70-2</v>
      </c>
      <c r="D120" s="31" t="str">
        <f>Source!H95</f>
        <v>шт.</v>
      </c>
      <c r="E120" s="10">
        <f>Source!I95</f>
        <v>6</v>
      </c>
      <c r="F120" s="22">
        <f>IF(Source!AK95&lt;&gt; 0, Source!AK95,Source!AL95 + Source!AM95 + Source!AO95)</f>
        <v>17.260000000000002</v>
      </c>
      <c r="G120" s="16"/>
      <c r="H120" s="22"/>
      <c r="I120" s="16" t="str">
        <f>Source!BO95</f>
        <v>509-5944</v>
      </c>
      <c r="J120" s="16"/>
      <c r="K120" s="22"/>
      <c r="L120" s="32"/>
      <c r="S120">
        <f>ROUND((Source!FX95/100)*((ROUND(Source!AF95*Source!I95, 2)+ROUND(Source!AE95*Source!I95, 2))), 2)</f>
        <v>0</v>
      </c>
      <c r="T120">
        <f>Source!X95</f>
        <v>0</v>
      </c>
      <c r="U120">
        <f>ROUND((Source!FY95/100)*((ROUND(Source!AF95*Source!I95, 2)+ROUND(Source!AE95*Source!I95, 2))), 2)</f>
        <v>0</v>
      </c>
      <c r="V120">
        <f>Source!Y95</f>
        <v>0</v>
      </c>
    </row>
    <row r="121" spans="1:26" ht="14.25" x14ac:dyDescent="0.2">
      <c r="A121" s="38"/>
      <c r="B121" s="39"/>
      <c r="C121" s="40" t="s">
        <v>582</v>
      </c>
      <c r="D121" s="41"/>
      <c r="E121" s="42"/>
      <c r="F121" s="43">
        <f>Source!AL95</f>
        <v>17.260000000000002</v>
      </c>
      <c r="G121" s="44" t="str">
        <f>Source!DD95</f>
        <v/>
      </c>
      <c r="H121" s="43">
        <f>ROUND(Source!AC95*Source!I95, 2)</f>
        <v>103.56</v>
      </c>
      <c r="I121" s="44"/>
      <c r="J121" s="44">
        <f>IF(Source!BC95&lt;&gt; 0, Source!BC95, 1)</f>
        <v>8.42</v>
      </c>
      <c r="K121" s="43">
        <f>Source!P95</f>
        <v>871.98</v>
      </c>
      <c r="L121" s="55"/>
    </row>
    <row r="122" spans="1:26" ht="15" x14ac:dyDescent="0.25">
      <c r="G122" s="96">
        <f>ROUND(Source!AC95*Source!I95, 2)+ROUND(Source!AF95*Source!I95, 2)+ROUND((((Source!ET95)-(Source!EU95))+Source!AE95)*Source!I95, 2)</f>
        <v>103.56</v>
      </c>
      <c r="H122" s="96"/>
      <c r="J122" s="96">
        <f>Source!O95</f>
        <v>871.98</v>
      </c>
      <c r="K122" s="96"/>
      <c r="L122" s="37">
        <f>Source!U95</f>
        <v>0</v>
      </c>
      <c r="O122" s="36">
        <f>G122</f>
        <v>103.56</v>
      </c>
      <c r="P122" s="36">
        <f>J122</f>
        <v>871.98</v>
      </c>
      <c r="Q122" s="36">
        <f>L122</f>
        <v>0</v>
      </c>
      <c r="W122">
        <f>IF(Source!BI95&lt;=1,G122, 0)</f>
        <v>0</v>
      </c>
      <c r="X122">
        <f>IF(Source!BI95=2,G122, 0)</f>
        <v>103.56</v>
      </c>
      <c r="Y122">
        <f>IF(Source!BI95=3,G122, 0)</f>
        <v>0</v>
      </c>
      <c r="Z122">
        <f>IF(Source!BI95=4,G122, 0)</f>
        <v>0</v>
      </c>
    </row>
    <row r="123" spans="1:26" ht="28.5" x14ac:dyDescent="0.2">
      <c r="A123" s="28" t="str">
        <f>Source!E96</f>
        <v>16</v>
      </c>
      <c r="B123" s="29" t="str">
        <f>Source!F96</f>
        <v>Прайс-лист</v>
      </c>
      <c r="C123" s="15" t="s">
        <v>583</v>
      </c>
      <c r="D123" s="31" t="str">
        <f>Source!H96</f>
        <v>шт.</v>
      </c>
      <c r="E123" s="10">
        <f>Source!I96</f>
        <v>1</v>
      </c>
      <c r="F123" s="22">
        <f>IF(Source!AK96&lt;&gt; 0, Source!AK96,Source!AL96 + Source!AM96 + Source!AO96)</f>
        <v>583.33000000000004</v>
      </c>
      <c r="G123" s="16"/>
      <c r="H123" s="22"/>
      <c r="I123" s="16" t="str">
        <f>Source!BO96</f>
        <v/>
      </c>
      <c r="J123" s="16"/>
      <c r="K123" s="22"/>
      <c r="L123" s="32"/>
      <c r="S123">
        <f>ROUND((Source!FX96/100)*((ROUND(Source!AF96*Source!I96, 2)+ROUND(Source!AE96*Source!I96, 2))), 2)</f>
        <v>0</v>
      </c>
      <c r="T123">
        <f>Source!X96</f>
        <v>0</v>
      </c>
      <c r="U123">
        <f>ROUND((Source!FY96/100)*((ROUND(Source!AF96*Source!I96, 2)+ROUND(Source!AE96*Source!I96, 2))), 2)</f>
        <v>0</v>
      </c>
      <c r="V123">
        <f>Source!Y96</f>
        <v>0</v>
      </c>
    </row>
    <row r="124" spans="1:26" ht="14.25" x14ac:dyDescent="0.2">
      <c r="A124" s="38"/>
      <c r="B124" s="39"/>
      <c r="C124" s="40" t="s">
        <v>582</v>
      </c>
      <c r="D124" s="41"/>
      <c r="E124" s="42"/>
      <c r="F124" s="43">
        <f>Source!AL96</f>
        <v>583.33000000000004</v>
      </c>
      <c r="G124" s="44" t="str">
        <f>Source!DD96</f>
        <v/>
      </c>
      <c r="H124" s="43">
        <f>ROUND(Source!AC96*Source!I96, 2)</f>
        <v>583.33000000000004</v>
      </c>
      <c r="I124" s="44"/>
      <c r="J124" s="44">
        <f>IF(Source!BC96&lt;&gt; 0, Source!BC96, 1)</f>
        <v>1</v>
      </c>
      <c r="K124" s="43">
        <f>Source!P96</f>
        <v>583.33000000000004</v>
      </c>
      <c r="L124" s="55"/>
    </row>
    <row r="125" spans="1:26" ht="15" x14ac:dyDescent="0.25">
      <c r="G125" s="96">
        <f>ROUND(Source!AC96*Source!I96, 2)+ROUND(Source!AF96*Source!I96, 2)+ROUND((((Source!ET96)-(Source!EU96))+Source!AE96)*Source!I96, 2)</f>
        <v>583.33000000000004</v>
      </c>
      <c r="H125" s="96"/>
      <c r="J125" s="96">
        <f>Source!O96</f>
        <v>583.33000000000004</v>
      </c>
      <c r="K125" s="96"/>
      <c r="L125" s="37">
        <f>Source!U96</f>
        <v>0</v>
      </c>
      <c r="O125" s="36">
        <f>G125</f>
        <v>583.33000000000004</v>
      </c>
      <c r="P125" s="36">
        <f>J125</f>
        <v>583.33000000000004</v>
      </c>
      <c r="Q125" s="36">
        <f>L125</f>
        <v>0</v>
      </c>
      <c r="W125">
        <f>IF(Source!BI96&lt;=1,G125, 0)</f>
        <v>583.33000000000004</v>
      </c>
      <c r="X125">
        <f>IF(Source!BI96=2,G125, 0)</f>
        <v>0</v>
      </c>
      <c r="Y125">
        <f>IF(Source!BI96=3,G125, 0)</f>
        <v>0</v>
      </c>
      <c r="Z125">
        <f>IF(Source!BI96=4,G125, 0)</f>
        <v>0</v>
      </c>
    </row>
    <row r="126" spans="1:26" ht="28.5" x14ac:dyDescent="0.2">
      <c r="A126" s="28" t="str">
        <f>Source!E97</f>
        <v>17</v>
      </c>
      <c r="B126" s="29" t="str">
        <f>Source!F97</f>
        <v>33-04-030-1</v>
      </c>
      <c r="C126" s="15" t="str">
        <f>Source!G97</f>
        <v>Установка разрядников с помощью механизмов</v>
      </c>
      <c r="D126" s="31" t="str">
        <f>Source!H97</f>
        <v>1 КОМПЛ.</v>
      </c>
      <c r="E126" s="10">
        <f>Source!I97</f>
        <v>1</v>
      </c>
      <c r="F126" s="22">
        <f>IF(Source!AK97&lt;&gt; 0, Source!AK97,Source!AL97 + Source!AM97 + Source!AO97)</f>
        <v>141.72</v>
      </c>
      <c r="G126" s="16"/>
      <c r="H126" s="22"/>
      <c r="I126" s="16" t="str">
        <f>Source!BO97</f>
        <v>33-04-030-1</v>
      </c>
      <c r="J126" s="16"/>
      <c r="K126" s="22"/>
      <c r="L126" s="32"/>
      <c r="S126">
        <f>ROUND((Source!FX97/100)*((ROUND(Source!AF97*Source!I97, 2)+ROUND(Source!AE97*Source!I97, 2))), 2)</f>
        <v>45.58</v>
      </c>
      <c r="T126">
        <f>Source!X97</f>
        <v>1607.52</v>
      </c>
      <c r="U126">
        <f>ROUND((Source!FY97/100)*((ROUND(Source!AF97*Source!I97, 2)+ROUND(Source!AE97*Source!I97, 2))), 2)</f>
        <v>26.55</v>
      </c>
      <c r="V126">
        <f>Source!Y97</f>
        <v>936.42</v>
      </c>
    </row>
    <row r="127" spans="1:26" ht="14.25" x14ac:dyDescent="0.2">
      <c r="A127" s="28"/>
      <c r="B127" s="29"/>
      <c r="C127" s="15" t="s">
        <v>575</v>
      </c>
      <c r="D127" s="31"/>
      <c r="E127" s="10"/>
      <c r="F127" s="22">
        <f>Source!AO97</f>
        <v>35.520000000000003</v>
      </c>
      <c r="G127" s="16" t="str">
        <f>Source!DG97</f>
        <v/>
      </c>
      <c r="H127" s="22">
        <f>ROUND(Source!AF97*Source!I97, 2)</f>
        <v>35.520000000000003</v>
      </c>
      <c r="I127" s="16"/>
      <c r="J127" s="16">
        <f>IF(Source!BA97&lt;&gt; 0, Source!BA97, 1)</f>
        <v>35.270000000000003</v>
      </c>
      <c r="K127" s="22">
        <f>Source!S97</f>
        <v>1252.79</v>
      </c>
      <c r="L127" s="32"/>
      <c r="R127">
        <f>H127</f>
        <v>35.520000000000003</v>
      </c>
    </row>
    <row r="128" spans="1:26" ht="14.25" x14ac:dyDescent="0.2">
      <c r="A128" s="28"/>
      <c r="B128" s="29"/>
      <c r="C128" s="15" t="s">
        <v>59</v>
      </c>
      <c r="D128" s="31"/>
      <c r="E128" s="10"/>
      <c r="F128" s="22">
        <f>Source!AM97</f>
        <v>103.26</v>
      </c>
      <c r="G128" s="16" t="str">
        <f>Source!DE97</f>
        <v/>
      </c>
      <c r="H128" s="22">
        <f>ROUND((((Source!ET97)-(Source!EU97))+Source!AE97)*Source!I97, 2)</f>
        <v>103.26</v>
      </c>
      <c r="I128" s="16"/>
      <c r="J128" s="16">
        <f>IF(Source!BB97&lt;&gt; 0, Source!BB97, 1)</f>
        <v>11.22</v>
      </c>
      <c r="K128" s="22">
        <f>Source!Q97</f>
        <v>1158.58</v>
      </c>
      <c r="L128" s="32"/>
    </row>
    <row r="129" spans="1:26" ht="14.25" x14ac:dyDescent="0.2">
      <c r="A129" s="28"/>
      <c r="B129" s="29"/>
      <c r="C129" s="15" t="s">
        <v>576</v>
      </c>
      <c r="D129" s="31"/>
      <c r="E129" s="10"/>
      <c r="F129" s="22">
        <f>Source!AN97</f>
        <v>8.73</v>
      </c>
      <c r="G129" s="16" t="str">
        <f>Source!DF97</f>
        <v/>
      </c>
      <c r="H129" s="22">
        <f>ROUND(Source!AE97*Source!I97, 2)</f>
        <v>8.73</v>
      </c>
      <c r="I129" s="16"/>
      <c r="J129" s="16">
        <f>IF(Source!BS97&lt;&gt; 0, Source!BS97, 1)</f>
        <v>35.270000000000003</v>
      </c>
      <c r="K129" s="22">
        <f>Source!R97</f>
        <v>307.91000000000003</v>
      </c>
      <c r="L129" s="32"/>
      <c r="R129">
        <f>H129</f>
        <v>8.73</v>
      </c>
    </row>
    <row r="130" spans="1:26" ht="14.25" x14ac:dyDescent="0.2">
      <c r="A130" s="28"/>
      <c r="B130" s="29"/>
      <c r="C130" s="15" t="s">
        <v>582</v>
      </c>
      <c r="D130" s="31"/>
      <c r="E130" s="10"/>
      <c r="F130" s="22">
        <f>Source!AL97</f>
        <v>2.94</v>
      </c>
      <c r="G130" s="16" t="str">
        <f>Source!DD97</f>
        <v/>
      </c>
      <c r="H130" s="22">
        <f>ROUND(Source!AC97*Source!I97, 2)</f>
        <v>2.94</v>
      </c>
      <c r="I130" s="16"/>
      <c r="J130" s="16">
        <f>IF(Source!BC97&lt;&gt; 0, Source!BC97, 1)</f>
        <v>13.66</v>
      </c>
      <c r="K130" s="22">
        <f>Source!P97</f>
        <v>40.159999999999997</v>
      </c>
      <c r="L130" s="32"/>
    </row>
    <row r="131" spans="1:26" ht="14.25" x14ac:dyDescent="0.2">
      <c r="A131" s="28"/>
      <c r="B131" s="29"/>
      <c r="C131" s="15" t="s">
        <v>577</v>
      </c>
      <c r="D131" s="31" t="s">
        <v>578</v>
      </c>
      <c r="E131" s="10">
        <f>Source!BZ97</f>
        <v>103</v>
      </c>
      <c r="F131" s="33"/>
      <c r="G131" s="16"/>
      <c r="H131" s="22">
        <f>SUM(S126:S133)</f>
        <v>45.58</v>
      </c>
      <c r="I131" s="34"/>
      <c r="J131" s="15">
        <f>Source!AT97</f>
        <v>103</v>
      </c>
      <c r="K131" s="22">
        <f>SUM(T126:T133)</f>
        <v>1607.52</v>
      </c>
      <c r="L131" s="32"/>
    </row>
    <row r="132" spans="1:26" ht="14.25" x14ac:dyDescent="0.2">
      <c r="A132" s="28"/>
      <c r="B132" s="29"/>
      <c r="C132" s="15" t="s">
        <v>579</v>
      </c>
      <c r="D132" s="31" t="s">
        <v>578</v>
      </c>
      <c r="E132" s="10">
        <f>Source!CA97</f>
        <v>60</v>
      </c>
      <c r="F132" s="33"/>
      <c r="G132" s="16"/>
      <c r="H132" s="22">
        <f>SUM(U126:U133)</f>
        <v>26.55</v>
      </c>
      <c r="I132" s="34"/>
      <c r="J132" s="15">
        <f>Source!AU97</f>
        <v>60</v>
      </c>
      <c r="K132" s="22">
        <f>SUM(V126:V133)</f>
        <v>936.42</v>
      </c>
      <c r="L132" s="32"/>
    </row>
    <row r="133" spans="1:26" ht="14.25" x14ac:dyDescent="0.2">
      <c r="A133" s="38"/>
      <c r="B133" s="39"/>
      <c r="C133" s="40" t="s">
        <v>580</v>
      </c>
      <c r="D133" s="41" t="s">
        <v>581</v>
      </c>
      <c r="E133" s="42">
        <f>Source!AQ97</f>
        <v>4.29</v>
      </c>
      <c r="F133" s="43"/>
      <c r="G133" s="44" t="str">
        <f>Source!DI97</f>
        <v/>
      </c>
      <c r="H133" s="43"/>
      <c r="I133" s="44"/>
      <c r="J133" s="44"/>
      <c r="K133" s="43"/>
      <c r="L133" s="45">
        <f>Source!U97</f>
        <v>4.29</v>
      </c>
    </row>
    <row r="134" spans="1:26" ht="15" x14ac:dyDescent="0.25">
      <c r="G134" s="96">
        <f>ROUND(Source!AC97*Source!I97, 2)+ROUND(Source!AF97*Source!I97, 2)+ROUND((((Source!ET97)-(Source!EU97))+Source!AE97)*Source!I97, 2)+SUM(H131:H132)</f>
        <v>213.85</v>
      </c>
      <c r="H134" s="96"/>
      <c r="J134" s="96">
        <f>Source!O97+SUM(K131:K132)</f>
        <v>4995.47</v>
      </c>
      <c r="K134" s="96"/>
      <c r="L134" s="37">
        <f>Source!U97</f>
        <v>4.29</v>
      </c>
      <c r="O134" s="36">
        <f>G134</f>
        <v>213.85</v>
      </c>
      <c r="P134" s="36">
        <f>J134</f>
        <v>4995.47</v>
      </c>
      <c r="Q134" s="36">
        <f>L134</f>
        <v>4.29</v>
      </c>
      <c r="W134">
        <f>IF(Source!BI97&lt;=1,G134, 0)</f>
        <v>213.85</v>
      </c>
      <c r="X134">
        <f>IF(Source!BI97=2,G134, 0)</f>
        <v>0</v>
      </c>
      <c r="Y134">
        <f>IF(Source!BI97=3,G134, 0)</f>
        <v>0</v>
      </c>
      <c r="Z134">
        <f>IF(Source!BI97=4,G134, 0)</f>
        <v>0</v>
      </c>
    </row>
    <row r="135" spans="1:26" ht="28.5" x14ac:dyDescent="0.2">
      <c r="A135" s="28" t="str">
        <f>Source!E103</f>
        <v>18</v>
      </c>
      <c r="B135" s="29" t="str">
        <f>Source!F103</f>
        <v>204-0003</v>
      </c>
      <c r="C135" s="15" t="str">
        <f>Source!G103</f>
        <v>Горячекатаная арматурная сталь гладкая класса А-I, диаметром 10 мм</v>
      </c>
      <c r="D135" s="31" t="str">
        <f>Source!H103</f>
        <v>т</v>
      </c>
      <c r="E135" s="10">
        <f>Source!I103</f>
        <v>5.169E-3</v>
      </c>
      <c r="F135" s="22">
        <f>IF(Source!AK103&lt;&gt; 0, Source!AK103,Source!AL103 + Source!AM103 + Source!AO103)</f>
        <v>6813</v>
      </c>
      <c r="G135" s="16"/>
      <c r="H135" s="22"/>
      <c r="I135" s="16" t="str">
        <f>Source!BO103</f>
        <v>204-0003</v>
      </c>
      <c r="J135" s="16"/>
      <c r="K135" s="22"/>
      <c r="L135" s="32"/>
      <c r="S135">
        <f>ROUND((Source!FX103/100)*((ROUND(Source!AF103*Source!I103, 2)+ROUND(Source!AE103*Source!I103, 2))), 2)</f>
        <v>0</v>
      </c>
      <c r="T135">
        <f>Source!X103</f>
        <v>0</v>
      </c>
      <c r="U135">
        <f>ROUND((Source!FY103/100)*((ROUND(Source!AF103*Source!I103, 2)+ROUND(Source!AE103*Source!I103, 2))), 2)</f>
        <v>0</v>
      </c>
      <c r="V135">
        <f>Source!Y103</f>
        <v>0</v>
      </c>
    </row>
    <row r="136" spans="1:26" ht="14.25" x14ac:dyDescent="0.2">
      <c r="A136" s="38"/>
      <c r="B136" s="39"/>
      <c r="C136" s="40" t="s">
        <v>582</v>
      </c>
      <c r="D136" s="41"/>
      <c r="E136" s="42"/>
      <c r="F136" s="43">
        <f>Source!AL103</f>
        <v>6813</v>
      </c>
      <c r="G136" s="44" t="str">
        <f>Source!DD103</f>
        <v/>
      </c>
      <c r="H136" s="43">
        <f>ROUND(Source!AC103*Source!I103, 2)</f>
        <v>35.22</v>
      </c>
      <c r="I136" s="44"/>
      <c r="J136" s="44">
        <f>IF(Source!BC103&lt;&gt; 0, Source!BC103, 1)</f>
        <v>10.43</v>
      </c>
      <c r="K136" s="43">
        <f>Source!P103</f>
        <v>367.31</v>
      </c>
      <c r="L136" s="55"/>
    </row>
    <row r="137" spans="1:26" ht="15" x14ac:dyDescent="0.25">
      <c r="G137" s="96">
        <f>ROUND(Source!AC103*Source!I103, 2)+ROUND(Source!AF103*Source!I103, 2)+ROUND((((Source!ET103)-(Source!EU103))+Source!AE103)*Source!I103, 2)</f>
        <v>35.22</v>
      </c>
      <c r="H137" s="96"/>
      <c r="J137" s="96">
        <f>Source!O103</f>
        <v>367.31</v>
      </c>
      <c r="K137" s="96"/>
      <c r="L137" s="37">
        <f>Source!U103</f>
        <v>0</v>
      </c>
      <c r="O137" s="36">
        <f>G137</f>
        <v>35.22</v>
      </c>
      <c r="P137" s="36">
        <f>J137</f>
        <v>367.31</v>
      </c>
      <c r="Q137" s="36">
        <f>L137</f>
        <v>0</v>
      </c>
      <c r="W137">
        <f>IF(Source!BI103&lt;=1,G137, 0)</f>
        <v>35.22</v>
      </c>
      <c r="X137">
        <f>IF(Source!BI103=2,G137, 0)</f>
        <v>0</v>
      </c>
      <c r="Y137">
        <f>IF(Source!BI103=3,G137, 0)</f>
        <v>0</v>
      </c>
      <c r="Z137">
        <f>IF(Source!BI103=4,G137, 0)</f>
        <v>0</v>
      </c>
    </row>
    <row r="138" spans="1:26" ht="42.75" x14ac:dyDescent="0.2">
      <c r="A138" s="28" t="str">
        <f>Source!E104</f>
        <v>19</v>
      </c>
      <c r="B138" s="29" t="str">
        <f>Source!F104</f>
        <v>33-03-004-1</v>
      </c>
      <c r="C138" s="15" t="str">
        <f>Source!G104</f>
        <v>Забивка вертикальных заземлителей механизированная на глубину до 5 м</v>
      </c>
      <c r="D138" s="31" t="str">
        <f>Source!H104</f>
        <v>1 заземлитель</v>
      </c>
      <c r="E138" s="10">
        <f>Source!I104</f>
        <v>2</v>
      </c>
      <c r="F138" s="22">
        <f>IF(Source!AK104&lt;&gt; 0, Source!AK104,Source!AL104 + Source!AM104 + Source!AO104)</f>
        <v>140.05000000000001</v>
      </c>
      <c r="G138" s="16"/>
      <c r="H138" s="22"/>
      <c r="I138" s="16" t="str">
        <f>Source!BO104</f>
        <v>33-03-004-1</v>
      </c>
      <c r="J138" s="16"/>
      <c r="K138" s="22"/>
      <c r="L138" s="32"/>
      <c r="S138">
        <f>ROUND((Source!FX104/100)*((ROUND(Source!AF104*Source!I104, 2)+ROUND(Source!AE104*Source!I104, 2))), 2)</f>
        <v>24.49</v>
      </c>
      <c r="T138">
        <f>Source!X104</f>
        <v>863.88</v>
      </c>
      <c r="U138">
        <f>ROUND((Source!FY104/100)*((ROUND(Source!AF104*Source!I104, 2)+ROUND(Source!AE104*Source!I104, 2))), 2)</f>
        <v>14.27</v>
      </c>
      <c r="V138">
        <f>Source!Y104</f>
        <v>503.23</v>
      </c>
    </row>
    <row r="139" spans="1:26" ht="14.25" x14ac:dyDescent="0.2">
      <c r="A139" s="28"/>
      <c r="B139" s="29"/>
      <c r="C139" s="15" t="s">
        <v>575</v>
      </c>
      <c r="D139" s="31"/>
      <c r="E139" s="10"/>
      <c r="F139" s="22">
        <f>Source!AO104</f>
        <v>6.4</v>
      </c>
      <c r="G139" s="16" t="str">
        <f>Source!DG104</f>
        <v/>
      </c>
      <c r="H139" s="22">
        <f>ROUND(Source!AF104*Source!I104, 2)</f>
        <v>12.8</v>
      </c>
      <c r="I139" s="16"/>
      <c r="J139" s="16">
        <f>IF(Source!BA104&lt;&gt; 0, Source!BA104, 1)</f>
        <v>35.270000000000003</v>
      </c>
      <c r="K139" s="22">
        <f>Source!S104</f>
        <v>451.46</v>
      </c>
      <c r="L139" s="32"/>
      <c r="R139">
        <f>H139</f>
        <v>12.8</v>
      </c>
    </row>
    <row r="140" spans="1:26" ht="14.25" x14ac:dyDescent="0.2">
      <c r="A140" s="28"/>
      <c r="B140" s="29"/>
      <c r="C140" s="15" t="s">
        <v>59</v>
      </c>
      <c r="D140" s="31"/>
      <c r="E140" s="10"/>
      <c r="F140" s="22">
        <f>Source!AM104</f>
        <v>100.39</v>
      </c>
      <c r="G140" s="16" t="str">
        <f>Source!DE104</f>
        <v/>
      </c>
      <c r="H140" s="22">
        <f>ROUND((((Source!ET104)-(Source!EU104))+Source!AE104)*Source!I104, 2)</f>
        <v>200.78</v>
      </c>
      <c r="I140" s="16"/>
      <c r="J140" s="16">
        <f>IF(Source!BB104&lt;&gt; 0, Source!BB104, 1)</f>
        <v>9.14</v>
      </c>
      <c r="K140" s="22">
        <f>Source!Q104</f>
        <v>1835.13</v>
      </c>
      <c r="L140" s="32"/>
    </row>
    <row r="141" spans="1:26" ht="14.25" x14ac:dyDescent="0.2">
      <c r="A141" s="28"/>
      <c r="B141" s="29"/>
      <c r="C141" s="15" t="s">
        <v>576</v>
      </c>
      <c r="D141" s="31"/>
      <c r="E141" s="10"/>
      <c r="F141" s="22">
        <f>Source!AN104</f>
        <v>5.49</v>
      </c>
      <c r="G141" s="16" t="str">
        <f>Source!DF104</f>
        <v/>
      </c>
      <c r="H141" s="22">
        <f>ROUND(Source!AE104*Source!I104, 2)</f>
        <v>10.98</v>
      </c>
      <c r="I141" s="16"/>
      <c r="J141" s="16">
        <f>IF(Source!BS104&lt;&gt; 0, Source!BS104, 1)</f>
        <v>35.270000000000003</v>
      </c>
      <c r="K141" s="22">
        <f>Source!R104</f>
        <v>387.26</v>
      </c>
      <c r="L141" s="32"/>
      <c r="R141">
        <f>H141</f>
        <v>10.98</v>
      </c>
    </row>
    <row r="142" spans="1:26" ht="14.25" x14ac:dyDescent="0.2">
      <c r="A142" s="28"/>
      <c r="B142" s="29"/>
      <c r="C142" s="15" t="s">
        <v>582</v>
      </c>
      <c r="D142" s="31"/>
      <c r="E142" s="10"/>
      <c r="F142" s="22">
        <f>Source!AL104</f>
        <v>33.26</v>
      </c>
      <c r="G142" s="16" t="str">
        <f>Source!DD104</f>
        <v/>
      </c>
      <c r="H142" s="22">
        <f>ROUND(Source!AC104*Source!I104, 2)</f>
        <v>66.52</v>
      </c>
      <c r="I142" s="16"/>
      <c r="J142" s="16">
        <f>IF(Source!BC104&lt;&gt; 0, Source!BC104, 1)</f>
        <v>10.55</v>
      </c>
      <c r="K142" s="22">
        <f>Source!P104</f>
        <v>701.79</v>
      </c>
      <c r="L142" s="32"/>
    </row>
    <row r="143" spans="1:26" ht="14.25" x14ac:dyDescent="0.2">
      <c r="A143" s="28"/>
      <c r="B143" s="29"/>
      <c r="C143" s="15" t="s">
        <v>577</v>
      </c>
      <c r="D143" s="31" t="s">
        <v>578</v>
      </c>
      <c r="E143" s="10">
        <f>Source!BZ104</f>
        <v>103</v>
      </c>
      <c r="F143" s="33"/>
      <c r="G143" s="16"/>
      <c r="H143" s="22">
        <f>SUM(S138:S146)</f>
        <v>24.49</v>
      </c>
      <c r="I143" s="34"/>
      <c r="J143" s="15">
        <f>Source!AT104</f>
        <v>103</v>
      </c>
      <c r="K143" s="22">
        <f>SUM(T138:T146)</f>
        <v>863.88</v>
      </c>
      <c r="L143" s="32"/>
    </row>
    <row r="144" spans="1:26" ht="14.25" x14ac:dyDescent="0.2">
      <c r="A144" s="28"/>
      <c r="B144" s="29"/>
      <c r="C144" s="15" t="s">
        <v>579</v>
      </c>
      <c r="D144" s="31" t="s">
        <v>578</v>
      </c>
      <c r="E144" s="10">
        <f>Source!CA104</f>
        <v>60</v>
      </c>
      <c r="F144" s="33"/>
      <c r="G144" s="16"/>
      <c r="H144" s="22">
        <f>SUM(U138:U146)</f>
        <v>14.27</v>
      </c>
      <c r="I144" s="34"/>
      <c r="J144" s="15">
        <f>Source!AU104</f>
        <v>60</v>
      </c>
      <c r="K144" s="22">
        <f>SUM(V138:V146)</f>
        <v>503.23</v>
      </c>
      <c r="L144" s="32"/>
    </row>
    <row r="145" spans="1:28" ht="14.25" x14ac:dyDescent="0.2">
      <c r="A145" s="28"/>
      <c r="B145" s="29"/>
      <c r="C145" s="15" t="s">
        <v>580</v>
      </c>
      <c r="D145" s="31" t="s">
        <v>581</v>
      </c>
      <c r="E145" s="10">
        <f>Source!AQ104</f>
        <v>0.81</v>
      </c>
      <c r="F145" s="22"/>
      <c r="G145" s="16" t="str">
        <f>Source!DI104</f>
        <v/>
      </c>
      <c r="H145" s="22"/>
      <c r="I145" s="16"/>
      <c r="J145" s="16"/>
      <c r="K145" s="22"/>
      <c r="L145" s="35">
        <f>Source!U104</f>
        <v>1.62</v>
      </c>
    </row>
    <row r="146" spans="1:28" ht="42.75" x14ac:dyDescent="0.2">
      <c r="A146" s="50" t="str">
        <f>Source!E105</f>
        <v>19,1</v>
      </c>
      <c r="B146" s="50" t="str">
        <f>Source!F105</f>
        <v>204-0004</v>
      </c>
      <c r="C146" s="50" t="s">
        <v>584</v>
      </c>
      <c r="D146" s="51" t="str">
        <f>Source!H105</f>
        <v>т</v>
      </c>
      <c r="E146" s="52">
        <f>Source!I105</f>
        <v>-0.01</v>
      </c>
      <c r="F146" s="53">
        <f>Source!AK105</f>
        <v>6594</v>
      </c>
      <c r="G146" s="54" t="s">
        <v>3</v>
      </c>
      <c r="H146" s="53">
        <f>ROUND(Source!AC105*Source!I105, 2)+ROUND((((Source!ET105)-(Source!EU105))+Source!AE105)*Source!I105, 2)+ROUND(Source!AF105*Source!I105, 2)</f>
        <v>-65.94</v>
      </c>
      <c r="I146" s="51"/>
      <c r="J146" s="51">
        <f>IF(Source!BC105&lt;&gt; 0, Source!BC105, 1)</f>
        <v>10.53</v>
      </c>
      <c r="K146" s="53">
        <f>Source!O105</f>
        <v>-694.35</v>
      </c>
      <c r="L146" s="53"/>
      <c r="S146">
        <f>ROUND((Source!FX105/100)*((ROUND(Source!AF105*Source!I105, 2)+ROUND(Source!AE105*Source!I105, 2))), 2)</f>
        <v>0</v>
      </c>
      <c r="T146">
        <f>Source!X105</f>
        <v>0</v>
      </c>
      <c r="U146">
        <f>ROUND((Source!FY105/100)*((ROUND(Source!AF105*Source!I105, 2)+ROUND(Source!AE105*Source!I105, 2))), 2)</f>
        <v>0</v>
      </c>
      <c r="V146">
        <f>Source!Y105</f>
        <v>0</v>
      </c>
      <c r="Y146">
        <f>IF(Source!BI105=3,H146, 0)</f>
        <v>0</v>
      </c>
      <c r="AA146">
        <f>ROUND(Source!AC105*Source!I105, 2)+ROUND((((Source!ET105)-(Source!EU105))+Source!AE105)*Source!I105, 2)+ROUND(Source!AF105*Source!I105, 2)</f>
        <v>-65.94</v>
      </c>
      <c r="AB146">
        <f>Source!O105</f>
        <v>-694.35</v>
      </c>
    </row>
    <row r="147" spans="1:28" ht="15" x14ac:dyDescent="0.25">
      <c r="G147" s="96">
        <f>ROUND(Source!AC104*Source!I104, 2)+ROUND(Source!AF104*Source!I104, 2)+ROUND((((Source!ET104)-(Source!EU104))+Source!AE104)*Source!I104, 2)+SUM(H143:H144)+SUM(AA146:AA146)</f>
        <v>252.92000000000002</v>
      </c>
      <c r="H147" s="96"/>
      <c r="J147" s="96">
        <f>Source!O104+SUM(K143:K144)+SUM(AB146:AB146)</f>
        <v>3661.14</v>
      </c>
      <c r="K147" s="96"/>
      <c r="L147" s="37">
        <f>Source!U104</f>
        <v>1.62</v>
      </c>
      <c r="O147" s="36">
        <f>G147</f>
        <v>252.92000000000002</v>
      </c>
      <c r="P147" s="36">
        <f>J147</f>
        <v>3661.14</v>
      </c>
      <c r="Q147" s="36">
        <f>L147</f>
        <v>1.62</v>
      </c>
      <c r="W147">
        <f>IF(Source!BI104&lt;=1,G147, 0)</f>
        <v>252.92000000000002</v>
      </c>
      <c r="X147">
        <f>IF(Source!BI104=2,G147, 0)</f>
        <v>0</v>
      </c>
      <c r="Y147">
        <f>IF(Source!BI104=3,G147, 0)</f>
        <v>0</v>
      </c>
      <c r="Z147">
        <f>IF(Source!BI104=4,G147, 0)</f>
        <v>0</v>
      </c>
    </row>
    <row r="148" spans="1:28" ht="28.5" x14ac:dyDescent="0.2">
      <c r="A148" s="28" t="str">
        <f>Source!E106</f>
        <v>20</v>
      </c>
      <c r="B148" s="29" t="str">
        <f>Source!F106</f>
        <v>101-1641</v>
      </c>
      <c r="C148" s="15" t="str">
        <f>Source!G106</f>
        <v>Сталь угловая равнополочная, марка стали ВСт3кп2, размером 50x50x5 мм</v>
      </c>
      <c r="D148" s="31" t="str">
        <f>Source!H106</f>
        <v>т</v>
      </c>
      <c r="E148" s="10">
        <f>Source!I106</f>
        <v>2.223E-2</v>
      </c>
      <c r="F148" s="22">
        <f>IF(Source!AK106&lt;&gt; 0, Source!AK106,Source!AL106 + Source!AM106 + Source!AO106)</f>
        <v>6074</v>
      </c>
      <c r="G148" s="16"/>
      <c r="H148" s="22"/>
      <c r="I148" s="16" t="str">
        <f>Source!BO106</f>
        <v>101-1641</v>
      </c>
      <c r="J148" s="16"/>
      <c r="K148" s="22"/>
      <c r="L148" s="32"/>
      <c r="S148">
        <f>ROUND((Source!FX106/100)*((ROUND(Source!AF106*Source!I106, 2)+ROUND(Source!AE106*Source!I106, 2))), 2)</f>
        <v>0</v>
      </c>
      <c r="T148">
        <f>Source!X106</f>
        <v>0</v>
      </c>
      <c r="U148">
        <f>ROUND((Source!FY106/100)*((ROUND(Source!AF106*Source!I106, 2)+ROUND(Source!AE106*Source!I106, 2))), 2)</f>
        <v>0</v>
      </c>
      <c r="V148">
        <f>Source!Y106</f>
        <v>0</v>
      </c>
    </row>
    <row r="149" spans="1:28" x14ac:dyDescent="0.2">
      <c r="C149" s="46" t="str">
        <f>"Объем: "&amp;Source!I106&amp;"=0,011115*"&amp;"2"</f>
        <v>Объем: 0,02223=0,011115*2</v>
      </c>
    </row>
    <row r="150" spans="1:28" ht="14.25" x14ac:dyDescent="0.2">
      <c r="A150" s="38"/>
      <c r="B150" s="39"/>
      <c r="C150" s="40" t="s">
        <v>582</v>
      </c>
      <c r="D150" s="41"/>
      <c r="E150" s="42"/>
      <c r="F150" s="43">
        <f>Source!AL106</f>
        <v>6074</v>
      </c>
      <c r="G150" s="44" t="str">
        <f>Source!DD106</f>
        <v/>
      </c>
      <c r="H150" s="43">
        <f>ROUND(Source!AC106*Source!I106, 2)</f>
        <v>135.03</v>
      </c>
      <c r="I150" s="44"/>
      <c r="J150" s="44">
        <f>IF(Source!BC106&lt;&gt; 0, Source!BC106, 1)</f>
        <v>13.67</v>
      </c>
      <c r="K150" s="43">
        <f>Source!P106</f>
        <v>1845.79</v>
      </c>
      <c r="L150" s="55"/>
    </row>
    <row r="151" spans="1:28" ht="15" x14ac:dyDescent="0.25">
      <c r="G151" s="96">
        <f>ROUND(Source!AC106*Source!I106, 2)+ROUND(Source!AF106*Source!I106, 2)+ROUND((((Source!ET106)-(Source!EU106))+Source!AE106)*Source!I106, 2)</f>
        <v>135.03</v>
      </c>
      <c r="H151" s="96"/>
      <c r="J151" s="96">
        <f>Source!O106</f>
        <v>1845.79</v>
      </c>
      <c r="K151" s="96"/>
      <c r="L151" s="37">
        <f>Source!U106</f>
        <v>0</v>
      </c>
      <c r="O151" s="36">
        <f>G151</f>
        <v>135.03</v>
      </c>
      <c r="P151" s="36">
        <f>J151</f>
        <v>1845.79</v>
      </c>
      <c r="Q151" s="36">
        <f>L151</f>
        <v>0</v>
      </c>
      <c r="W151">
        <f>IF(Source!BI106&lt;=1,G151, 0)</f>
        <v>135.03</v>
      </c>
      <c r="X151">
        <f>IF(Source!BI106=2,G151, 0)</f>
        <v>0</v>
      </c>
      <c r="Y151">
        <f>IF(Source!BI106=3,G151, 0)</f>
        <v>0</v>
      </c>
      <c r="Z151">
        <f>IF(Source!BI106=4,G151, 0)</f>
        <v>0</v>
      </c>
    </row>
    <row r="152" spans="1:28" ht="42.75" x14ac:dyDescent="0.2">
      <c r="A152" s="28" t="str">
        <f>Source!E107</f>
        <v>21</v>
      </c>
      <c r="B152" s="29" t="str">
        <f>Source!F107</f>
        <v>33-04-031-3</v>
      </c>
      <c r="C152" s="15" t="str">
        <f>Source!G107</f>
        <v>Установка оборудования пунктов секционирования на железобетонных стойках опор ВЛ</v>
      </c>
      <c r="D152" s="31" t="str">
        <f>Source!H107</f>
        <v>1 ПУНКТ</v>
      </c>
      <c r="E152" s="10">
        <f>Source!I107</f>
        <v>1</v>
      </c>
      <c r="F152" s="22">
        <f>IF(Source!AK107&lt;&gt; 0, Source!AK107,Source!AL107 + Source!AM107 + Source!AO107)</f>
        <v>1214.69</v>
      </c>
      <c r="G152" s="16"/>
      <c r="H152" s="22"/>
      <c r="I152" s="16" t="str">
        <f>Source!BO107</f>
        <v>33-04-031-3</v>
      </c>
      <c r="J152" s="16"/>
      <c r="K152" s="22"/>
      <c r="L152" s="32"/>
      <c r="S152">
        <f>ROUND((Source!FX107/100)*((ROUND(Source!AF107*Source!I107, 2)+ROUND(Source!AE107*Source!I107, 2))), 2)</f>
        <v>351.59</v>
      </c>
      <c r="T152">
        <f>Source!X107</f>
        <v>12400.6</v>
      </c>
      <c r="U152">
        <f>ROUND((Source!FY107/100)*((ROUND(Source!AF107*Source!I107, 2)+ROUND(Source!AE107*Source!I107, 2))), 2)</f>
        <v>204.81</v>
      </c>
      <c r="V152">
        <f>Source!Y107</f>
        <v>7223.65</v>
      </c>
    </row>
    <row r="153" spans="1:28" ht="14.25" x14ac:dyDescent="0.2">
      <c r="A153" s="28"/>
      <c r="B153" s="29"/>
      <c r="C153" s="15" t="s">
        <v>575</v>
      </c>
      <c r="D153" s="31"/>
      <c r="E153" s="10"/>
      <c r="F153" s="22">
        <f>Source!AO107</f>
        <v>257.02</v>
      </c>
      <c r="G153" s="16" t="str">
        <f>Source!DG107</f>
        <v/>
      </c>
      <c r="H153" s="22">
        <f>ROUND(Source!AF107*Source!I107, 2)</f>
        <v>257.02</v>
      </c>
      <c r="I153" s="16"/>
      <c r="J153" s="16">
        <f>IF(Source!BA107&lt;&gt; 0, Source!BA107, 1)</f>
        <v>35.270000000000003</v>
      </c>
      <c r="K153" s="22">
        <f>Source!S107</f>
        <v>9065.1</v>
      </c>
      <c r="L153" s="32"/>
      <c r="R153">
        <f>H153</f>
        <v>257.02</v>
      </c>
    </row>
    <row r="154" spans="1:28" ht="14.25" x14ac:dyDescent="0.2">
      <c r="A154" s="28"/>
      <c r="B154" s="29"/>
      <c r="C154" s="15" t="s">
        <v>59</v>
      </c>
      <c r="D154" s="31"/>
      <c r="E154" s="10"/>
      <c r="F154" s="22">
        <f>Source!AM107</f>
        <v>957.67</v>
      </c>
      <c r="G154" s="16" t="str">
        <f>Source!DE107</f>
        <v/>
      </c>
      <c r="H154" s="22">
        <f>ROUND((((Source!ET107)-(Source!EU107))+Source!AE107)*Source!I107, 2)</f>
        <v>957.67</v>
      </c>
      <c r="I154" s="16"/>
      <c r="J154" s="16">
        <f>IF(Source!BB107&lt;&gt; 0, Source!BB107, 1)</f>
        <v>11.43</v>
      </c>
      <c r="K154" s="22">
        <f>Source!Q107</f>
        <v>10946.17</v>
      </c>
      <c r="L154" s="32"/>
    </row>
    <row r="155" spans="1:28" ht="14.25" x14ac:dyDescent="0.2">
      <c r="A155" s="28"/>
      <c r="B155" s="29"/>
      <c r="C155" s="15" t="s">
        <v>576</v>
      </c>
      <c r="D155" s="31"/>
      <c r="E155" s="10"/>
      <c r="F155" s="22">
        <f>Source!AN107</f>
        <v>84.33</v>
      </c>
      <c r="G155" s="16" t="str">
        <f>Source!DF107</f>
        <v/>
      </c>
      <c r="H155" s="22">
        <f>ROUND(Source!AE107*Source!I107, 2)</f>
        <v>84.33</v>
      </c>
      <c r="I155" s="16"/>
      <c r="J155" s="16">
        <f>IF(Source!BS107&lt;&gt; 0, Source!BS107, 1)</f>
        <v>35.270000000000003</v>
      </c>
      <c r="K155" s="22">
        <f>Source!R107</f>
        <v>2974.32</v>
      </c>
      <c r="L155" s="32"/>
      <c r="R155">
        <f>H155</f>
        <v>84.33</v>
      </c>
    </row>
    <row r="156" spans="1:28" ht="14.25" x14ac:dyDescent="0.2">
      <c r="A156" s="28"/>
      <c r="B156" s="29"/>
      <c r="C156" s="15" t="s">
        <v>577</v>
      </c>
      <c r="D156" s="31" t="s">
        <v>578</v>
      </c>
      <c r="E156" s="10">
        <f>Source!BZ107</f>
        <v>103</v>
      </c>
      <c r="F156" s="33"/>
      <c r="G156" s="16"/>
      <c r="H156" s="22">
        <f>SUM(S152:S158)</f>
        <v>351.59</v>
      </c>
      <c r="I156" s="34"/>
      <c r="J156" s="15">
        <f>Source!AT107</f>
        <v>103</v>
      </c>
      <c r="K156" s="22">
        <f>SUM(T152:T158)</f>
        <v>12400.6</v>
      </c>
      <c r="L156" s="32"/>
    </row>
    <row r="157" spans="1:28" ht="14.25" x14ac:dyDescent="0.2">
      <c r="A157" s="28"/>
      <c r="B157" s="29"/>
      <c r="C157" s="15" t="s">
        <v>579</v>
      </c>
      <c r="D157" s="31" t="s">
        <v>578</v>
      </c>
      <c r="E157" s="10">
        <f>Source!CA107</f>
        <v>60</v>
      </c>
      <c r="F157" s="33"/>
      <c r="G157" s="16"/>
      <c r="H157" s="22">
        <f>SUM(U152:U158)</f>
        <v>204.81</v>
      </c>
      <c r="I157" s="34"/>
      <c r="J157" s="15">
        <f>Source!AU107</f>
        <v>60</v>
      </c>
      <c r="K157" s="22">
        <f>SUM(V152:V158)</f>
        <v>7223.65</v>
      </c>
      <c r="L157" s="32"/>
    </row>
    <row r="158" spans="1:28" ht="14.25" x14ac:dyDescent="0.2">
      <c r="A158" s="38"/>
      <c r="B158" s="39"/>
      <c r="C158" s="40" t="s">
        <v>580</v>
      </c>
      <c r="D158" s="41" t="s">
        <v>581</v>
      </c>
      <c r="E158" s="42">
        <f>Source!AQ107</f>
        <v>28.59</v>
      </c>
      <c r="F158" s="43"/>
      <c r="G158" s="44" t="str">
        <f>Source!DI107</f>
        <v/>
      </c>
      <c r="H158" s="43"/>
      <c r="I158" s="44"/>
      <c r="J158" s="44"/>
      <c r="K158" s="43"/>
      <c r="L158" s="45">
        <f>Source!U107</f>
        <v>28.59</v>
      </c>
    </row>
    <row r="159" spans="1:28" ht="15" x14ac:dyDescent="0.25">
      <c r="G159" s="96">
        <f>ROUND(Source!AC107*Source!I107, 2)+ROUND(Source!AF107*Source!I107, 2)+ROUND((((Source!ET107)-(Source!EU107))+Source!AE107)*Source!I107, 2)+SUM(H156:H157)</f>
        <v>1771.0900000000001</v>
      </c>
      <c r="H159" s="96"/>
      <c r="J159" s="96">
        <f>Source!O107+SUM(K156:K157)</f>
        <v>39635.520000000004</v>
      </c>
      <c r="K159" s="96"/>
      <c r="L159" s="37">
        <f>Source!U107</f>
        <v>28.59</v>
      </c>
      <c r="O159" s="36">
        <f>G159</f>
        <v>1771.0900000000001</v>
      </c>
      <c r="P159" s="36">
        <f>J159</f>
        <v>39635.520000000004</v>
      </c>
      <c r="Q159" s="36">
        <f>L159</f>
        <v>28.59</v>
      </c>
      <c r="W159">
        <f>IF(Source!BI107&lt;=1,G159, 0)</f>
        <v>1771.0900000000001</v>
      </c>
      <c r="X159">
        <f>IF(Source!BI107=2,G159, 0)</f>
        <v>0</v>
      </c>
      <c r="Y159">
        <f>IF(Source!BI107=3,G159, 0)</f>
        <v>0</v>
      </c>
      <c r="Z159">
        <f>IF(Source!BI107=4,G159, 0)</f>
        <v>0</v>
      </c>
    </row>
    <row r="160" spans="1:28" ht="42.75" x14ac:dyDescent="0.2">
      <c r="A160" s="38" t="str">
        <f>Source!E109</f>
        <v>22</v>
      </c>
      <c r="B160" s="39" t="str">
        <f>Source!F109</f>
        <v>Оборудование Заказчика</v>
      </c>
      <c r="C160" s="40" t="str">
        <f>Source!G109</f>
        <v>Комплект вакуумного реклоузера</v>
      </c>
      <c r="D160" s="41" t="str">
        <f>Source!H109</f>
        <v>компл.</v>
      </c>
      <c r="E160" s="42">
        <f>Source!I109</f>
        <v>1</v>
      </c>
      <c r="F160" s="43">
        <f>IF(Source!AK109&lt;&gt; 0, Source!AK109,Source!AL109 + Source!AM109 + Source!AO109)</f>
        <v>0</v>
      </c>
      <c r="G160" s="44"/>
      <c r="H160" s="43"/>
      <c r="I160" s="44" t="str">
        <f>Source!BO109</f>
        <v/>
      </c>
      <c r="J160" s="44"/>
      <c r="K160" s="43"/>
      <c r="L160" s="55"/>
      <c r="S160">
        <f>ROUND((Source!FX109/100)*((ROUND(Source!AF109*Source!I109, 2)+ROUND(Source!AE109*Source!I109, 2))), 2)</f>
        <v>0</v>
      </c>
      <c r="T160">
        <f>Source!X109</f>
        <v>0</v>
      </c>
      <c r="U160">
        <f>ROUND((Source!FY109/100)*((ROUND(Source!AF109*Source!I109, 2)+ROUND(Source!AE109*Source!I109, 2))), 2)</f>
        <v>0</v>
      </c>
      <c r="V160">
        <f>Source!Y109</f>
        <v>0</v>
      </c>
    </row>
    <row r="161" spans="1:32" ht="15" x14ac:dyDescent="0.25">
      <c r="G161" s="96">
        <f>ROUND(Source!AC109*Source!I109, 2)+ROUND(Source!AF109*Source!I109, 2)+ROUND((((Source!ET109)-(Source!EU109))+Source!AE109)*Source!I109, 2)</f>
        <v>0</v>
      </c>
      <c r="H161" s="96"/>
      <c r="J161" s="96">
        <f>Source!O109</f>
        <v>0</v>
      </c>
      <c r="K161" s="96"/>
      <c r="L161" s="37">
        <f>Source!U109</f>
        <v>0</v>
      </c>
      <c r="O161" s="36">
        <f>G161</f>
        <v>0</v>
      </c>
      <c r="P161" s="36">
        <f>J161</f>
        <v>0</v>
      </c>
      <c r="Q161" s="36">
        <f>L161</f>
        <v>0</v>
      </c>
      <c r="W161">
        <f>IF(Source!BI109&lt;=1,G161, 0)</f>
        <v>0</v>
      </c>
      <c r="X161">
        <f>IF(Source!BI109=2,G161, 0)</f>
        <v>0</v>
      </c>
      <c r="Y161">
        <f>IF(Source!BI109=3,G161, 0)</f>
        <v>0</v>
      </c>
      <c r="Z161">
        <f>IF(Source!BI109=4,G161, 0)</f>
        <v>0</v>
      </c>
    </row>
    <row r="162" spans="1:32" ht="14.25" x14ac:dyDescent="0.2">
      <c r="C162" s="100" t="str">
        <f>Source!G110</f>
        <v>Устройство контура заземления</v>
      </c>
      <c r="D162" s="100"/>
      <c r="E162" s="100"/>
      <c r="F162" s="100"/>
      <c r="G162" s="100"/>
      <c r="H162" s="100"/>
      <c r="I162" s="100"/>
      <c r="J162" s="100"/>
      <c r="K162" s="100"/>
      <c r="L162" s="100"/>
      <c r="AF162" s="30" t="str">
        <f>Source!G110</f>
        <v>Устройство контура заземления</v>
      </c>
    </row>
    <row r="163" spans="1:32" ht="42.75" x14ac:dyDescent="0.2">
      <c r="A163" s="28" t="str">
        <f>Source!E111</f>
        <v>23</v>
      </c>
      <c r="B163" s="29" t="str">
        <f>Source!F111</f>
        <v>01-02-057-2</v>
      </c>
      <c r="C163" s="15" t="str">
        <f>Source!G111</f>
        <v>Разработка грунта вручную в траншеях глубиной до 2 м без креплений с откосами, группа грунтов 2</v>
      </c>
      <c r="D163" s="31" t="str">
        <f>Source!H111</f>
        <v>100 м3 грунта</v>
      </c>
      <c r="E163" s="10">
        <f>Source!I111</f>
        <v>2.5000000000000001E-2</v>
      </c>
      <c r="F163" s="22">
        <f>IF(Source!AK111&lt;&gt; 0, Source!AK111,Source!AL111 + Source!AM111 + Source!AO111)</f>
        <v>1122.6600000000001</v>
      </c>
      <c r="G163" s="16"/>
      <c r="H163" s="22"/>
      <c r="I163" s="16" t="str">
        <f>Source!BO111</f>
        <v>01-02-057-2</v>
      </c>
      <c r="J163" s="16"/>
      <c r="K163" s="22"/>
      <c r="L163" s="32"/>
      <c r="S163">
        <f>ROUND((Source!FX111/100)*((ROUND(Source!AF111*Source!I111, 2)+ROUND(Source!AE111*Source!I111, 2))), 2)</f>
        <v>24.98</v>
      </c>
      <c r="T163">
        <f>Source!X111</f>
        <v>881.02</v>
      </c>
      <c r="U163">
        <f>ROUND((Source!FY111/100)*((ROUND(Source!AF111*Source!I111, 2)+ROUND(Source!AE111*Source!I111, 2))), 2)</f>
        <v>11.23</v>
      </c>
      <c r="V163">
        <f>Source!Y111</f>
        <v>395.96</v>
      </c>
    </row>
    <row r="164" spans="1:32" x14ac:dyDescent="0.2">
      <c r="C164" s="46" t="str">
        <f>"Объем: "&amp;Source!I111&amp;"=2,5/"&amp;"100"</f>
        <v>Объем: 0,025=2,5/100</v>
      </c>
    </row>
    <row r="165" spans="1:32" ht="14.25" x14ac:dyDescent="0.2">
      <c r="A165" s="28"/>
      <c r="B165" s="29"/>
      <c r="C165" s="15" t="s">
        <v>575</v>
      </c>
      <c r="D165" s="31"/>
      <c r="E165" s="10"/>
      <c r="F165" s="22">
        <f>Source!AO111</f>
        <v>1122.6600000000001</v>
      </c>
      <c r="G165" s="16" t="str">
        <f>Source!DG111</f>
        <v/>
      </c>
      <c r="H165" s="22">
        <f>ROUND(Source!AF111*Source!I111, 2)</f>
        <v>28.07</v>
      </c>
      <c r="I165" s="16"/>
      <c r="J165" s="16">
        <f>IF(Source!BA111&lt;&gt; 0, Source!BA111, 1)</f>
        <v>35.270000000000003</v>
      </c>
      <c r="K165" s="22">
        <f>Source!S111</f>
        <v>989.91</v>
      </c>
      <c r="L165" s="32"/>
      <c r="R165">
        <f>H165</f>
        <v>28.07</v>
      </c>
    </row>
    <row r="166" spans="1:32" ht="14.25" x14ac:dyDescent="0.2">
      <c r="A166" s="28"/>
      <c r="B166" s="29"/>
      <c r="C166" s="15" t="s">
        <v>577</v>
      </c>
      <c r="D166" s="31" t="s">
        <v>578</v>
      </c>
      <c r="E166" s="10">
        <f>Source!BZ111</f>
        <v>89</v>
      </c>
      <c r="F166" s="33"/>
      <c r="G166" s="16"/>
      <c r="H166" s="22">
        <f>SUM(S163:S168)</f>
        <v>24.98</v>
      </c>
      <c r="I166" s="34"/>
      <c r="J166" s="15">
        <f>Source!AT111</f>
        <v>89</v>
      </c>
      <c r="K166" s="22">
        <f>SUM(T163:T168)</f>
        <v>881.02</v>
      </c>
      <c r="L166" s="32"/>
    </row>
    <row r="167" spans="1:32" ht="14.25" x14ac:dyDescent="0.2">
      <c r="A167" s="28"/>
      <c r="B167" s="29"/>
      <c r="C167" s="15" t="s">
        <v>579</v>
      </c>
      <c r="D167" s="31" t="s">
        <v>578</v>
      </c>
      <c r="E167" s="10">
        <f>Source!CA111</f>
        <v>40</v>
      </c>
      <c r="F167" s="33"/>
      <c r="G167" s="16"/>
      <c r="H167" s="22">
        <f>SUM(U163:U168)</f>
        <v>11.23</v>
      </c>
      <c r="I167" s="34"/>
      <c r="J167" s="15">
        <f>Source!AU111</f>
        <v>40</v>
      </c>
      <c r="K167" s="22">
        <f>SUM(V163:V168)</f>
        <v>395.96</v>
      </c>
      <c r="L167" s="32"/>
    </row>
    <row r="168" spans="1:32" ht="14.25" x14ac:dyDescent="0.2">
      <c r="A168" s="38"/>
      <c r="B168" s="39"/>
      <c r="C168" s="40" t="s">
        <v>580</v>
      </c>
      <c r="D168" s="41" t="s">
        <v>581</v>
      </c>
      <c r="E168" s="42">
        <f>Source!AQ111</f>
        <v>154</v>
      </c>
      <c r="F168" s="43"/>
      <c r="G168" s="44" t="str">
        <f>Source!DI111</f>
        <v/>
      </c>
      <c r="H168" s="43"/>
      <c r="I168" s="44"/>
      <c r="J168" s="44"/>
      <c r="K168" s="43"/>
      <c r="L168" s="45">
        <f>Source!U111</f>
        <v>3.85</v>
      </c>
    </row>
    <row r="169" spans="1:32" ht="15" x14ac:dyDescent="0.25">
      <c r="G169" s="96">
        <f>ROUND(Source!AC111*Source!I111, 2)+ROUND(Source!AF111*Source!I111, 2)+ROUND((((Source!ET111)-(Source!EU111))+Source!AE111)*Source!I111, 2)+SUM(H166:H167)</f>
        <v>64.28</v>
      </c>
      <c r="H169" s="96"/>
      <c r="J169" s="96">
        <f>Source!O111+SUM(K166:K167)</f>
        <v>2266.89</v>
      </c>
      <c r="K169" s="96"/>
      <c r="L169" s="37">
        <f>Source!U111</f>
        <v>3.85</v>
      </c>
      <c r="O169" s="36">
        <f>G169</f>
        <v>64.28</v>
      </c>
      <c r="P169" s="36">
        <f>J169</f>
        <v>2266.89</v>
      </c>
      <c r="Q169" s="36">
        <f>L169</f>
        <v>3.85</v>
      </c>
      <c r="W169">
        <f>IF(Source!BI111&lt;=1,G169, 0)</f>
        <v>64.28</v>
      </c>
      <c r="X169">
        <f>IF(Source!BI111=2,G169, 0)</f>
        <v>0</v>
      </c>
      <c r="Y169">
        <f>IF(Source!BI111=3,G169, 0)</f>
        <v>0</v>
      </c>
      <c r="Z169">
        <f>IF(Source!BI111=4,G169, 0)</f>
        <v>0</v>
      </c>
    </row>
    <row r="170" spans="1:32" ht="28.5" x14ac:dyDescent="0.2">
      <c r="A170" s="28" t="str">
        <f>Source!E112</f>
        <v>24</v>
      </c>
      <c r="B170" s="29" t="str">
        <f>Source!F112</f>
        <v>01-02-061-2</v>
      </c>
      <c r="C170" s="15" t="str">
        <f>Source!G112</f>
        <v>Засыпка вручную траншей, пазух котлованов и ям, группа грунтов 2</v>
      </c>
      <c r="D170" s="31" t="str">
        <f>Source!H112</f>
        <v>100 м3 грунта</v>
      </c>
      <c r="E170" s="10">
        <f>Source!I112</f>
        <v>2.5000000000000001E-2</v>
      </c>
      <c r="F170" s="22">
        <f>IF(Source!AK112&lt;&gt; 0, Source!AK112,Source!AL112 + Source!AM112 + Source!AO112)</f>
        <v>681.37</v>
      </c>
      <c r="G170" s="16"/>
      <c r="H170" s="22"/>
      <c r="I170" s="16" t="str">
        <f>Source!BO112</f>
        <v>01-02-061-2</v>
      </c>
      <c r="J170" s="16"/>
      <c r="K170" s="22"/>
      <c r="L170" s="32"/>
      <c r="S170">
        <f>ROUND((Source!FX112/100)*((ROUND(Source!AF112*Source!I112, 2)+ROUND(Source!AE112*Source!I112, 2))), 2)</f>
        <v>15.16</v>
      </c>
      <c r="T170">
        <f>Source!X112</f>
        <v>534.71</v>
      </c>
      <c r="U170">
        <f>ROUND((Source!FY112/100)*((ROUND(Source!AF112*Source!I112, 2)+ROUND(Source!AE112*Source!I112, 2))), 2)</f>
        <v>6.81</v>
      </c>
      <c r="V170">
        <f>Source!Y112</f>
        <v>240.32</v>
      </c>
    </row>
    <row r="171" spans="1:32" x14ac:dyDescent="0.2">
      <c r="C171" s="46" t="str">
        <f>"Объем: "&amp;Source!I112&amp;"=2,5/"&amp;"100"</f>
        <v>Объем: 0,025=2,5/100</v>
      </c>
    </row>
    <row r="172" spans="1:32" ht="14.25" x14ac:dyDescent="0.2">
      <c r="A172" s="28"/>
      <c r="B172" s="29"/>
      <c r="C172" s="15" t="s">
        <v>575</v>
      </c>
      <c r="D172" s="31"/>
      <c r="E172" s="10"/>
      <c r="F172" s="22">
        <f>Source!AO112</f>
        <v>681.37</v>
      </c>
      <c r="G172" s="16" t="str">
        <f>Source!DG112</f>
        <v/>
      </c>
      <c r="H172" s="22">
        <f>ROUND(Source!AF112*Source!I112, 2)</f>
        <v>17.03</v>
      </c>
      <c r="I172" s="16"/>
      <c r="J172" s="16">
        <f>IF(Source!BA112&lt;&gt; 0, Source!BA112, 1)</f>
        <v>35.270000000000003</v>
      </c>
      <c r="K172" s="22">
        <f>Source!S112</f>
        <v>600.79999999999995</v>
      </c>
      <c r="L172" s="32"/>
      <c r="R172">
        <f>H172</f>
        <v>17.03</v>
      </c>
    </row>
    <row r="173" spans="1:32" ht="14.25" x14ac:dyDescent="0.2">
      <c r="A173" s="28"/>
      <c r="B173" s="29"/>
      <c r="C173" s="15" t="s">
        <v>577</v>
      </c>
      <c r="D173" s="31" t="s">
        <v>578</v>
      </c>
      <c r="E173" s="10">
        <f>Source!BZ112</f>
        <v>89</v>
      </c>
      <c r="F173" s="33"/>
      <c r="G173" s="16"/>
      <c r="H173" s="22">
        <f>SUM(S170:S175)</f>
        <v>15.16</v>
      </c>
      <c r="I173" s="34"/>
      <c r="J173" s="15">
        <f>Source!AT112</f>
        <v>89</v>
      </c>
      <c r="K173" s="22">
        <f>SUM(T170:T175)</f>
        <v>534.71</v>
      </c>
      <c r="L173" s="32"/>
    </row>
    <row r="174" spans="1:32" ht="14.25" x14ac:dyDescent="0.2">
      <c r="A174" s="28"/>
      <c r="B174" s="29"/>
      <c r="C174" s="15" t="s">
        <v>579</v>
      </c>
      <c r="D174" s="31" t="s">
        <v>578</v>
      </c>
      <c r="E174" s="10">
        <f>Source!CA112</f>
        <v>40</v>
      </c>
      <c r="F174" s="33"/>
      <c r="G174" s="16"/>
      <c r="H174" s="22">
        <f>SUM(U170:U175)</f>
        <v>6.81</v>
      </c>
      <c r="I174" s="34"/>
      <c r="J174" s="15">
        <f>Source!AU112</f>
        <v>40</v>
      </c>
      <c r="K174" s="22">
        <f>SUM(V170:V175)</f>
        <v>240.32</v>
      </c>
      <c r="L174" s="32"/>
    </row>
    <row r="175" spans="1:32" ht="14.25" x14ac:dyDescent="0.2">
      <c r="A175" s="38"/>
      <c r="B175" s="39"/>
      <c r="C175" s="40" t="s">
        <v>580</v>
      </c>
      <c r="D175" s="41" t="s">
        <v>581</v>
      </c>
      <c r="E175" s="42">
        <f>Source!AQ112</f>
        <v>97.2</v>
      </c>
      <c r="F175" s="43"/>
      <c r="G175" s="44" t="str">
        <f>Source!DI112</f>
        <v/>
      </c>
      <c r="H175" s="43"/>
      <c r="I175" s="44"/>
      <c r="J175" s="44"/>
      <c r="K175" s="43"/>
      <c r="L175" s="45">
        <f>Source!U112</f>
        <v>2.4300000000000002</v>
      </c>
    </row>
    <row r="176" spans="1:32" ht="15" x14ac:dyDescent="0.25">
      <c r="G176" s="96">
        <f>ROUND(Source!AC112*Source!I112, 2)+ROUND(Source!AF112*Source!I112, 2)+ROUND((((Source!ET112)-(Source!EU112))+Source!AE112)*Source!I112, 2)+SUM(H173:H174)</f>
        <v>39</v>
      </c>
      <c r="H176" s="96"/>
      <c r="J176" s="96">
        <f>Source!O112+SUM(K173:K174)</f>
        <v>1375.83</v>
      </c>
      <c r="K176" s="96"/>
      <c r="L176" s="37">
        <f>Source!U112</f>
        <v>2.4300000000000002</v>
      </c>
      <c r="O176" s="36">
        <f>G176</f>
        <v>39</v>
      </c>
      <c r="P176" s="36">
        <f>J176</f>
        <v>1375.83</v>
      </c>
      <c r="Q176" s="36">
        <f>L176</f>
        <v>2.4300000000000002</v>
      </c>
      <c r="W176">
        <f>IF(Source!BI112&lt;=1,G176, 0)</f>
        <v>39</v>
      </c>
      <c r="X176">
        <f>IF(Source!BI112=2,G176, 0)</f>
        <v>0</v>
      </c>
      <c r="Y176">
        <f>IF(Source!BI112=3,G176, 0)</f>
        <v>0</v>
      </c>
      <c r="Z176">
        <f>IF(Source!BI112=4,G176, 0)</f>
        <v>0</v>
      </c>
    </row>
    <row r="177" spans="1:26" ht="28.5" x14ac:dyDescent="0.2">
      <c r="A177" s="28" t="str">
        <f>Source!E113</f>
        <v>25</v>
      </c>
      <c r="B177" s="29" t="str">
        <f>Source!F113</f>
        <v>м08-02-472-2</v>
      </c>
      <c r="C177" s="15" t="str">
        <f>Source!G113</f>
        <v>Заземлитель горизонтальный из стали полосовой сечением 160 мм2</v>
      </c>
      <c r="D177" s="31" t="str">
        <f>Source!H113</f>
        <v>100 м</v>
      </c>
      <c r="E177" s="10">
        <f>Source!I113</f>
        <v>0.09</v>
      </c>
      <c r="F177" s="22">
        <f>IF(Source!AK113&lt;&gt; 0, Source!AK113,Source!AL113 + Source!AM113 + Source!AO113)</f>
        <v>269.77</v>
      </c>
      <c r="G177" s="16"/>
      <c r="H177" s="22"/>
      <c r="I177" s="16" t="str">
        <f>Source!BO113</f>
        <v>м08-02-472-2</v>
      </c>
      <c r="J177" s="16"/>
      <c r="K177" s="22"/>
      <c r="L177" s="32"/>
      <c r="S177">
        <f>ROUND((Source!FX113/100)*((ROUND(Source!AF113*Source!I113, 2)+ROUND(Source!AE113*Source!I113, 2))), 2)</f>
        <v>12.97</v>
      </c>
      <c r="T177">
        <f>Source!X113</f>
        <v>457.45</v>
      </c>
      <c r="U177">
        <f>ROUND((Source!FY113/100)*((ROUND(Source!AF113*Source!I113, 2)+ROUND(Source!AE113*Source!I113, 2))), 2)</f>
        <v>6.82</v>
      </c>
      <c r="V177">
        <f>Source!Y113</f>
        <v>240.52</v>
      </c>
    </row>
    <row r="178" spans="1:26" x14ac:dyDescent="0.2">
      <c r="C178" s="46" t="str">
        <f>"Объем: "&amp;Source!I113&amp;"=9/"&amp;"100"</f>
        <v>Объем: 0,09=9/100</v>
      </c>
    </row>
    <row r="179" spans="1:26" ht="14.25" x14ac:dyDescent="0.2">
      <c r="A179" s="28"/>
      <c r="B179" s="29"/>
      <c r="C179" s="15" t="s">
        <v>575</v>
      </c>
      <c r="D179" s="31"/>
      <c r="E179" s="10"/>
      <c r="F179" s="22">
        <f>Source!AO113</f>
        <v>145.91</v>
      </c>
      <c r="G179" s="16" t="str">
        <f>Source!DG113</f>
        <v/>
      </c>
      <c r="H179" s="22">
        <f>ROUND(Source!AF113*Source!I113, 2)</f>
        <v>13.13</v>
      </c>
      <c r="I179" s="16"/>
      <c r="J179" s="16">
        <f>IF(Source!BA113&lt;&gt; 0, Source!BA113, 1)</f>
        <v>35.270000000000003</v>
      </c>
      <c r="K179" s="22">
        <f>Source!S113</f>
        <v>463.16</v>
      </c>
      <c r="L179" s="32"/>
      <c r="R179">
        <f>H179</f>
        <v>13.13</v>
      </c>
    </row>
    <row r="180" spans="1:26" ht="14.25" x14ac:dyDescent="0.2">
      <c r="A180" s="28"/>
      <c r="B180" s="29"/>
      <c r="C180" s="15" t="s">
        <v>59</v>
      </c>
      <c r="D180" s="31"/>
      <c r="E180" s="10"/>
      <c r="F180" s="22">
        <f>Source!AM113</f>
        <v>74.3</v>
      </c>
      <c r="G180" s="16" t="str">
        <f>Source!DE113</f>
        <v/>
      </c>
      <c r="H180" s="22">
        <f>ROUND((((Source!ET113)-(Source!EU113))+Source!AE113)*Source!I113, 2)</f>
        <v>6.69</v>
      </c>
      <c r="I180" s="16"/>
      <c r="J180" s="16">
        <f>IF(Source!BB113&lt;&gt; 0, Source!BB113, 1)</f>
        <v>10.41</v>
      </c>
      <c r="K180" s="22">
        <f>Source!Q113</f>
        <v>69.61</v>
      </c>
      <c r="L180" s="32"/>
    </row>
    <row r="181" spans="1:26" ht="14.25" x14ac:dyDescent="0.2">
      <c r="A181" s="28"/>
      <c r="B181" s="29"/>
      <c r="C181" s="15" t="s">
        <v>576</v>
      </c>
      <c r="D181" s="31"/>
      <c r="E181" s="10"/>
      <c r="F181" s="22">
        <f>Source!AN113</f>
        <v>2.66</v>
      </c>
      <c r="G181" s="16" t="str">
        <f>Source!DF113</f>
        <v/>
      </c>
      <c r="H181" s="22">
        <f>ROUND(Source!AE113*Source!I113, 2)</f>
        <v>0.24</v>
      </c>
      <c r="I181" s="16"/>
      <c r="J181" s="16">
        <f>IF(Source!BS113&lt;&gt; 0, Source!BS113, 1)</f>
        <v>35.270000000000003</v>
      </c>
      <c r="K181" s="22">
        <f>Source!R113</f>
        <v>8.44</v>
      </c>
      <c r="L181" s="32"/>
      <c r="R181">
        <f>H181</f>
        <v>0.24</v>
      </c>
    </row>
    <row r="182" spans="1:26" ht="14.25" x14ac:dyDescent="0.2">
      <c r="A182" s="28"/>
      <c r="B182" s="29"/>
      <c r="C182" s="15" t="s">
        <v>582</v>
      </c>
      <c r="D182" s="31"/>
      <c r="E182" s="10"/>
      <c r="F182" s="22">
        <f>Source!AL113</f>
        <v>49.56</v>
      </c>
      <c r="G182" s="16" t="str">
        <f>Source!DD113</f>
        <v/>
      </c>
      <c r="H182" s="22">
        <f>ROUND(Source!AC113*Source!I113, 2)</f>
        <v>4.46</v>
      </c>
      <c r="I182" s="16"/>
      <c r="J182" s="16">
        <f>IF(Source!BC113&lt;&gt; 0, Source!BC113, 1)</f>
        <v>10.08</v>
      </c>
      <c r="K182" s="22">
        <f>Source!P113</f>
        <v>44.96</v>
      </c>
      <c r="L182" s="32"/>
    </row>
    <row r="183" spans="1:26" ht="14.25" x14ac:dyDescent="0.2">
      <c r="A183" s="28"/>
      <c r="B183" s="29"/>
      <c r="C183" s="15" t="s">
        <v>577</v>
      </c>
      <c r="D183" s="31" t="s">
        <v>578</v>
      </c>
      <c r="E183" s="10">
        <f>Source!BZ113</f>
        <v>97</v>
      </c>
      <c r="F183" s="33"/>
      <c r="G183" s="16"/>
      <c r="H183" s="22">
        <f>SUM(S177:S185)</f>
        <v>12.97</v>
      </c>
      <c r="I183" s="34"/>
      <c r="J183" s="15">
        <f>Source!AT113</f>
        <v>97</v>
      </c>
      <c r="K183" s="22">
        <f>SUM(T177:T185)</f>
        <v>457.45</v>
      </c>
      <c r="L183" s="32"/>
    </row>
    <row r="184" spans="1:26" ht="14.25" x14ac:dyDescent="0.2">
      <c r="A184" s="28"/>
      <c r="B184" s="29"/>
      <c r="C184" s="15" t="s">
        <v>579</v>
      </c>
      <c r="D184" s="31" t="s">
        <v>578</v>
      </c>
      <c r="E184" s="10">
        <f>Source!CA113</f>
        <v>51</v>
      </c>
      <c r="F184" s="33"/>
      <c r="G184" s="16"/>
      <c r="H184" s="22">
        <f>SUM(U177:U185)</f>
        <v>6.82</v>
      </c>
      <c r="I184" s="34"/>
      <c r="J184" s="15">
        <f>Source!AU113</f>
        <v>51</v>
      </c>
      <c r="K184" s="22">
        <f>SUM(V177:V185)</f>
        <v>240.52</v>
      </c>
      <c r="L184" s="32"/>
    </row>
    <row r="185" spans="1:26" ht="14.25" x14ac:dyDescent="0.2">
      <c r="A185" s="38"/>
      <c r="B185" s="39"/>
      <c r="C185" s="40" t="s">
        <v>580</v>
      </c>
      <c r="D185" s="41" t="s">
        <v>581</v>
      </c>
      <c r="E185" s="42">
        <f>Source!AQ113</f>
        <v>16.600000000000001</v>
      </c>
      <c r="F185" s="43"/>
      <c r="G185" s="44" t="str">
        <f>Source!DI113</f>
        <v/>
      </c>
      <c r="H185" s="43"/>
      <c r="I185" s="44"/>
      <c r="J185" s="44"/>
      <c r="K185" s="43"/>
      <c r="L185" s="45">
        <f>Source!U113</f>
        <v>1.494</v>
      </c>
    </row>
    <row r="186" spans="1:26" ht="15" x14ac:dyDescent="0.25">
      <c r="G186" s="96">
        <f>ROUND(Source!AC113*Source!I113, 2)+ROUND(Source!AF113*Source!I113, 2)+ROUND((((Source!ET113)-(Source!EU113))+Source!AE113)*Source!I113, 2)+SUM(H183:H184)</f>
        <v>44.07</v>
      </c>
      <c r="H186" s="96"/>
      <c r="J186" s="96">
        <f>Source!O113+SUM(K183:K184)</f>
        <v>1275.7</v>
      </c>
      <c r="K186" s="96"/>
      <c r="L186" s="37">
        <f>Source!U113</f>
        <v>1.494</v>
      </c>
      <c r="O186" s="36">
        <f>G186</f>
        <v>44.07</v>
      </c>
      <c r="P186" s="36">
        <f>J186</f>
        <v>1275.7</v>
      </c>
      <c r="Q186" s="36">
        <f>L186</f>
        <v>1.494</v>
      </c>
      <c r="W186">
        <f>IF(Source!BI113&lt;=1,G186, 0)</f>
        <v>0</v>
      </c>
      <c r="X186">
        <f>IF(Source!BI113=2,G186, 0)</f>
        <v>44.07</v>
      </c>
      <c r="Y186">
        <f>IF(Source!BI113=3,G186, 0)</f>
        <v>0</v>
      </c>
      <c r="Z186">
        <f>IF(Source!BI113=4,G186, 0)</f>
        <v>0</v>
      </c>
    </row>
    <row r="187" spans="1:26" ht="14.25" x14ac:dyDescent="0.2">
      <c r="A187" s="28" t="str">
        <f>Source!E114</f>
        <v>26</v>
      </c>
      <c r="B187" s="29" t="str">
        <f>Source!F114</f>
        <v>101-2548</v>
      </c>
      <c r="C187" s="15" t="str">
        <f>Source!G114</f>
        <v>Сталь полосовая 40х4 мм</v>
      </c>
      <c r="D187" s="31" t="str">
        <f>Source!H114</f>
        <v>т</v>
      </c>
      <c r="E187" s="10">
        <f>Source!I114</f>
        <v>3.3345E-2</v>
      </c>
      <c r="F187" s="22">
        <f>IF(Source!AK114&lt;&gt; 0, Source!AK114,Source!AL114 + Source!AM114 + Source!AO114)</f>
        <v>6258.8</v>
      </c>
      <c r="G187" s="16"/>
      <c r="H187" s="22"/>
      <c r="I187" s="16" t="str">
        <f>Source!BO114</f>
        <v>101-2548</v>
      </c>
      <c r="J187" s="16"/>
      <c r="K187" s="22"/>
      <c r="L187" s="32"/>
      <c r="S187">
        <f>ROUND((Source!FX114/100)*((ROUND(Source!AF114*Source!I114, 2)+ROUND(Source!AE114*Source!I114, 2))), 2)</f>
        <v>0</v>
      </c>
      <c r="T187">
        <f>Source!X114</f>
        <v>0</v>
      </c>
      <c r="U187">
        <f>ROUND((Source!FY114/100)*((ROUND(Source!AF114*Source!I114, 2)+ROUND(Source!AE114*Source!I114, 2))), 2)</f>
        <v>0</v>
      </c>
      <c r="V187">
        <f>Source!Y114</f>
        <v>0</v>
      </c>
    </row>
    <row r="188" spans="1:26" ht="14.25" x14ac:dyDescent="0.2">
      <c r="A188" s="38"/>
      <c r="B188" s="39"/>
      <c r="C188" s="40" t="s">
        <v>582</v>
      </c>
      <c r="D188" s="41"/>
      <c r="E188" s="42"/>
      <c r="F188" s="43">
        <f>Source!AL114</f>
        <v>6258.8</v>
      </c>
      <c r="G188" s="44" t="str">
        <f>Source!DD114</f>
        <v/>
      </c>
      <c r="H188" s="43">
        <f>ROUND(Source!AC114*Source!I114, 2)</f>
        <v>208.7</v>
      </c>
      <c r="I188" s="44"/>
      <c r="J188" s="44">
        <f>IF(Source!BC114&lt;&gt; 0, Source!BC114, 1)</f>
        <v>14.13</v>
      </c>
      <c r="K188" s="43">
        <f>Source!P114</f>
        <v>2948.93</v>
      </c>
      <c r="L188" s="55"/>
    </row>
    <row r="189" spans="1:26" ht="15" x14ac:dyDescent="0.25">
      <c r="G189" s="96">
        <f>ROUND(Source!AC114*Source!I114, 2)+ROUND(Source!AF114*Source!I114, 2)+ROUND((((Source!ET114)-(Source!EU114))+Source!AE114)*Source!I114, 2)</f>
        <v>208.7</v>
      </c>
      <c r="H189" s="96"/>
      <c r="J189" s="96">
        <f>Source!O114</f>
        <v>2948.93</v>
      </c>
      <c r="K189" s="96"/>
      <c r="L189" s="37">
        <f>Source!U114</f>
        <v>0</v>
      </c>
      <c r="O189" s="36">
        <f>G189</f>
        <v>208.7</v>
      </c>
      <c r="P189" s="36">
        <f>J189</f>
        <v>2948.93</v>
      </c>
      <c r="Q189" s="36">
        <f>L189</f>
        <v>0</v>
      </c>
      <c r="W189">
        <f>IF(Source!BI114&lt;=1,G189, 0)</f>
        <v>208.7</v>
      </c>
      <c r="X189">
        <f>IF(Source!BI114=2,G189, 0)</f>
        <v>0</v>
      </c>
      <c r="Y189">
        <f>IF(Source!BI114=3,G189, 0)</f>
        <v>0</v>
      </c>
      <c r="Z189">
        <f>IF(Source!BI114=4,G189, 0)</f>
        <v>0</v>
      </c>
    </row>
    <row r="190" spans="1:26" ht="42.75" x14ac:dyDescent="0.2">
      <c r="A190" s="28" t="str">
        <f>Source!E115</f>
        <v>27</v>
      </c>
      <c r="B190" s="29" t="str">
        <f>Source!F115</f>
        <v>33-03-004-1</v>
      </c>
      <c r="C190" s="15" t="str">
        <f>Source!G115</f>
        <v>Забивка вертикальных заземлителей механизированная на глубину до 5 м</v>
      </c>
      <c r="D190" s="31" t="str">
        <f>Source!H115</f>
        <v>1 заземлитель</v>
      </c>
      <c r="E190" s="10">
        <f>Source!I115</f>
        <v>3</v>
      </c>
      <c r="F190" s="22">
        <f>IF(Source!AK115&lt;&gt; 0, Source!AK115,Source!AL115 + Source!AM115 + Source!AO115)</f>
        <v>140.05000000000001</v>
      </c>
      <c r="G190" s="16"/>
      <c r="H190" s="22"/>
      <c r="I190" s="16" t="str">
        <f>Source!BO115</f>
        <v>33-03-004-1</v>
      </c>
      <c r="J190" s="16"/>
      <c r="K190" s="22"/>
      <c r="L190" s="32"/>
      <c r="S190">
        <f>ROUND((Source!FX115/100)*((ROUND(Source!AF115*Source!I115, 2)+ROUND(Source!AE115*Source!I115, 2))), 2)</f>
        <v>36.74</v>
      </c>
      <c r="T190">
        <f>Source!X115</f>
        <v>1295.82</v>
      </c>
      <c r="U190">
        <f>ROUND((Source!FY115/100)*((ROUND(Source!AF115*Source!I115, 2)+ROUND(Source!AE115*Source!I115, 2))), 2)</f>
        <v>21.4</v>
      </c>
      <c r="V190">
        <f>Source!Y115</f>
        <v>754.85</v>
      </c>
    </row>
    <row r="191" spans="1:26" ht="14.25" x14ac:dyDescent="0.2">
      <c r="A191" s="28"/>
      <c r="B191" s="29"/>
      <c r="C191" s="15" t="s">
        <v>575</v>
      </c>
      <c r="D191" s="31"/>
      <c r="E191" s="10"/>
      <c r="F191" s="22">
        <f>Source!AO115</f>
        <v>6.4</v>
      </c>
      <c r="G191" s="16" t="str">
        <f>Source!DG115</f>
        <v/>
      </c>
      <c r="H191" s="22">
        <f>ROUND(Source!AF115*Source!I115, 2)</f>
        <v>19.2</v>
      </c>
      <c r="I191" s="16"/>
      <c r="J191" s="16">
        <f>IF(Source!BA115&lt;&gt; 0, Source!BA115, 1)</f>
        <v>35.270000000000003</v>
      </c>
      <c r="K191" s="22">
        <f>Source!S115</f>
        <v>677.18</v>
      </c>
      <c r="L191" s="32"/>
      <c r="R191">
        <f>H191</f>
        <v>19.2</v>
      </c>
    </row>
    <row r="192" spans="1:26" ht="14.25" x14ac:dyDescent="0.2">
      <c r="A192" s="28"/>
      <c r="B192" s="29"/>
      <c r="C192" s="15" t="s">
        <v>59</v>
      </c>
      <c r="D192" s="31"/>
      <c r="E192" s="10"/>
      <c r="F192" s="22">
        <f>Source!AM115</f>
        <v>100.39</v>
      </c>
      <c r="G192" s="16" t="str">
        <f>Source!DE115</f>
        <v/>
      </c>
      <c r="H192" s="22">
        <f>ROUND((((Source!ET115)-(Source!EU115))+Source!AE115)*Source!I115, 2)</f>
        <v>301.17</v>
      </c>
      <c r="I192" s="16"/>
      <c r="J192" s="16">
        <f>IF(Source!BB115&lt;&gt; 0, Source!BB115, 1)</f>
        <v>9.14</v>
      </c>
      <c r="K192" s="22">
        <f>Source!Q115</f>
        <v>2752.69</v>
      </c>
      <c r="L192" s="32"/>
    </row>
    <row r="193" spans="1:28" ht="14.25" x14ac:dyDescent="0.2">
      <c r="A193" s="28"/>
      <c r="B193" s="29"/>
      <c r="C193" s="15" t="s">
        <v>576</v>
      </c>
      <c r="D193" s="31"/>
      <c r="E193" s="10"/>
      <c r="F193" s="22">
        <f>Source!AN115</f>
        <v>5.49</v>
      </c>
      <c r="G193" s="16" t="str">
        <f>Source!DF115</f>
        <v/>
      </c>
      <c r="H193" s="22">
        <f>ROUND(Source!AE115*Source!I115, 2)</f>
        <v>16.47</v>
      </c>
      <c r="I193" s="16"/>
      <c r="J193" s="16">
        <f>IF(Source!BS115&lt;&gt; 0, Source!BS115, 1)</f>
        <v>35.270000000000003</v>
      </c>
      <c r="K193" s="22">
        <f>Source!R115</f>
        <v>580.9</v>
      </c>
      <c r="L193" s="32"/>
      <c r="R193">
        <f>H193</f>
        <v>16.47</v>
      </c>
    </row>
    <row r="194" spans="1:28" ht="14.25" x14ac:dyDescent="0.2">
      <c r="A194" s="28"/>
      <c r="B194" s="29"/>
      <c r="C194" s="15" t="s">
        <v>582</v>
      </c>
      <c r="D194" s="31"/>
      <c r="E194" s="10"/>
      <c r="F194" s="22">
        <f>Source!AL115</f>
        <v>33.26</v>
      </c>
      <c r="G194" s="16" t="str">
        <f>Source!DD115</f>
        <v/>
      </c>
      <c r="H194" s="22">
        <f>ROUND(Source!AC115*Source!I115, 2)</f>
        <v>99.78</v>
      </c>
      <c r="I194" s="16"/>
      <c r="J194" s="16">
        <f>IF(Source!BC115&lt;&gt; 0, Source!BC115, 1)</f>
        <v>10.55</v>
      </c>
      <c r="K194" s="22">
        <f>Source!P115</f>
        <v>1052.68</v>
      </c>
      <c r="L194" s="32"/>
    </row>
    <row r="195" spans="1:28" ht="14.25" x14ac:dyDescent="0.2">
      <c r="A195" s="28"/>
      <c r="B195" s="29"/>
      <c r="C195" s="15" t="s">
        <v>577</v>
      </c>
      <c r="D195" s="31" t="s">
        <v>578</v>
      </c>
      <c r="E195" s="10">
        <f>Source!BZ115</f>
        <v>103</v>
      </c>
      <c r="F195" s="33"/>
      <c r="G195" s="16"/>
      <c r="H195" s="22">
        <f>SUM(S190:S198)</f>
        <v>36.74</v>
      </c>
      <c r="I195" s="34"/>
      <c r="J195" s="15">
        <f>Source!AT115</f>
        <v>103</v>
      </c>
      <c r="K195" s="22">
        <f>SUM(T190:T198)</f>
        <v>1295.82</v>
      </c>
      <c r="L195" s="32"/>
    </row>
    <row r="196" spans="1:28" ht="14.25" x14ac:dyDescent="0.2">
      <c r="A196" s="28"/>
      <c r="B196" s="29"/>
      <c r="C196" s="15" t="s">
        <v>579</v>
      </c>
      <c r="D196" s="31" t="s">
        <v>578</v>
      </c>
      <c r="E196" s="10">
        <f>Source!CA115</f>
        <v>60</v>
      </c>
      <c r="F196" s="33"/>
      <c r="G196" s="16"/>
      <c r="H196" s="22">
        <f>SUM(U190:U198)</f>
        <v>21.4</v>
      </c>
      <c r="I196" s="34"/>
      <c r="J196" s="15">
        <f>Source!AU115</f>
        <v>60</v>
      </c>
      <c r="K196" s="22">
        <f>SUM(V190:V198)</f>
        <v>754.85</v>
      </c>
      <c r="L196" s="32"/>
    </row>
    <row r="197" spans="1:28" ht="14.25" x14ac:dyDescent="0.2">
      <c r="A197" s="28"/>
      <c r="B197" s="29"/>
      <c r="C197" s="15" t="s">
        <v>580</v>
      </c>
      <c r="D197" s="31" t="s">
        <v>581</v>
      </c>
      <c r="E197" s="10">
        <f>Source!AQ115</f>
        <v>0.81</v>
      </c>
      <c r="F197" s="22"/>
      <c r="G197" s="16" t="str">
        <f>Source!DI115</f>
        <v/>
      </c>
      <c r="H197" s="22"/>
      <c r="I197" s="16"/>
      <c r="J197" s="16"/>
      <c r="K197" s="22"/>
      <c r="L197" s="35">
        <f>Source!U115</f>
        <v>2.4300000000000002</v>
      </c>
    </row>
    <row r="198" spans="1:28" ht="42.75" x14ac:dyDescent="0.2">
      <c r="A198" s="50" t="str">
        <f>Source!E116</f>
        <v>27,1</v>
      </c>
      <c r="B198" s="50" t="str">
        <f>Source!F116</f>
        <v>204-0004</v>
      </c>
      <c r="C198" s="50" t="s">
        <v>584</v>
      </c>
      <c r="D198" s="51" t="str">
        <f>Source!H116</f>
        <v>т</v>
      </c>
      <c r="E198" s="52">
        <f>Source!I116</f>
        <v>-1.4999999999999999E-2</v>
      </c>
      <c r="F198" s="53">
        <f>Source!AK116</f>
        <v>6594</v>
      </c>
      <c r="G198" s="54" t="s">
        <v>3</v>
      </c>
      <c r="H198" s="53">
        <f>ROUND(Source!AC116*Source!I116, 2)+ROUND((((Source!ET116)-(Source!EU116))+Source!AE116)*Source!I116, 2)+ROUND(Source!AF116*Source!I116, 2)</f>
        <v>-98.91</v>
      </c>
      <c r="I198" s="51"/>
      <c r="J198" s="51">
        <f>IF(Source!BC116&lt;&gt; 0, Source!BC116, 1)</f>
        <v>10.53</v>
      </c>
      <c r="K198" s="53">
        <f>Source!O116</f>
        <v>-1041.52</v>
      </c>
      <c r="L198" s="53"/>
      <c r="S198">
        <f>ROUND((Source!FX116/100)*((ROUND(Source!AF116*Source!I116, 2)+ROUND(Source!AE116*Source!I116, 2))), 2)</f>
        <v>0</v>
      </c>
      <c r="T198">
        <f>Source!X116</f>
        <v>0</v>
      </c>
      <c r="U198">
        <f>ROUND((Source!FY116/100)*((ROUND(Source!AF116*Source!I116, 2)+ROUND(Source!AE116*Source!I116, 2))), 2)</f>
        <v>0</v>
      </c>
      <c r="V198">
        <f>Source!Y116</f>
        <v>0</v>
      </c>
      <c r="Y198">
        <f>IF(Source!BI116=3,H198, 0)</f>
        <v>0</v>
      </c>
      <c r="AA198">
        <f>ROUND(Source!AC116*Source!I116, 2)+ROUND((((Source!ET116)-(Source!EU116))+Source!AE116)*Source!I116, 2)+ROUND(Source!AF116*Source!I116, 2)</f>
        <v>-98.91</v>
      </c>
      <c r="AB198">
        <f>Source!O116</f>
        <v>-1041.52</v>
      </c>
    </row>
    <row r="199" spans="1:28" ht="15" x14ac:dyDescent="0.25">
      <c r="G199" s="96">
        <f>ROUND(Source!AC115*Source!I115, 2)+ROUND(Source!AF115*Source!I115, 2)+ROUND((((Source!ET115)-(Source!EU115))+Source!AE115)*Source!I115, 2)+SUM(H195:H196)+SUM(AA198:AA198)</f>
        <v>379.38</v>
      </c>
      <c r="H199" s="96"/>
      <c r="J199" s="96">
        <f>Source!O115+SUM(K195:K196)+SUM(AB198:AB198)</f>
        <v>5491.7000000000007</v>
      </c>
      <c r="K199" s="96"/>
      <c r="L199" s="37">
        <f>Source!U115</f>
        <v>2.4300000000000002</v>
      </c>
      <c r="O199" s="36">
        <f>G199</f>
        <v>379.38</v>
      </c>
      <c r="P199" s="36">
        <f>J199</f>
        <v>5491.7000000000007</v>
      </c>
      <c r="Q199" s="36">
        <f>L199</f>
        <v>2.4300000000000002</v>
      </c>
      <c r="W199">
        <f>IF(Source!BI115&lt;=1,G199, 0)</f>
        <v>379.38</v>
      </c>
      <c r="X199">
        <f>IF(Source!BI115=2,G199, 0)</f>
        <v>0</v>
      </c>
      <c r="Y199">
        <f>IF(Source!BI115=3,G199, 0)</f>
        <v>0</v>
      </c>
      <c r="Z199">
        <f>IF(Source!BI115=4,G199, 0)</f>
        <v>0</v>
      </c>
    </row>
    <row r="200" spans="1:28" ht="28.5" x14ac:dyDescent="0.2">
      <c r="A200" s="28" t="str">
        <f>Source!E117</f>
        <v>28</v>
      </c>
      <c r="B200" s="29" t="str">
        <f>Source!F117</f>
        <v>101-1641</v>
      </c>
      <c r="C200" s="15" t="str">
        <f>Source!G117</f>
        <v>Сталь угловая равнополочная, марка стали ВСт3кп2, размером 50x50x5 мм</v>
      </c>
      <c r="D200" s="31" t="str">
        <f>Source!H117</f>
        <v>т</v>
      </c>
      <c r="E200" s="10">
        <f>Source!I117</f>
        <v>3.3345E-2</v>
      </c>
      <c r="F200" s="22">
        <f>IF(Source!AK117&lt;&gt; 0, Source!AK117,Source!AL117 + Source!AM117 + Source!AO117)</f>
        <v>6074</v>
      </c>
      <c r="G200" s="16"/>
      <c r="H200" s="22"/>
      <c r="I200" s="16" t="str">
        <f>Source!BO117</f>
        <v>101-1641</v>
      </c>
      <c r="J200" s="16"/>
      <c r="K200" s="22"/>
      <c r="L200" s="32"/>
      <c r="S200">
        <f>ROUND((Source!FX117/100)*((ROUND(Source!AF117*Source!I117, 2)+ROUND(Source!AE117*Source!I117, 2))), 2)</f>
        <v>0</v>
      </c>
      <c r="T200">
        <f>Source!X117</f>
        <v>0</v>
      </c>
      <c r="U200">
        <f>ROUND((Source!FY117/100)*((ROUND(Source!AF117*Source!I117, 2)+ROUND(Source!AE117*Source!I117, 2))), 2)</f>
        <v>0</v>
      </c>
      <c r="V200">
        <f>Source!Y117</f>
        <v>0</v>
      </c>
    </row>
    <row r="201" spans="1:28" x14ac:dyDescent="0.2">
      <c r="C201" s="46" t="str">
        <f>"Объем: "&amp;Source!I117&amp;"=0,011115*"&amp;"3"</f>
        <v>Объем: 0,033345=0,011115*3</v>
      </c>
    </row>
    <row r="202" spans="1:28" ht="14.25" x14ac:dyDescent="0.2">
      <c r="A202" s="38"/>
      <c r="B202" s="39"/>
      <c r="C202" s="40" t="s">
        <v>582</v>
      </c>
      <c r="D202" s="41"/>
      <c r="E202" s="42"/>
      <c r="F202" s="43">
        <f>Source!AL117</f>
        <v>6074</v>
      </c>
      <c r="G202" s="44" t="str">
        <f>Source!DD117</f>
        <v/>
      </c>
      <c r="H202" s="43">
        <f>ROUND(Source!AC117*Source!I117, 2)</f>
        <v>202.54</v>
      </c>
      <c r="I202" s="44"/>
      <c r="J202" s="44">
        <f>IF(Source!BC117&lt;&gt; 0, Source!BC117, 1)</f>
        <v>13.67</v>
      </c>
      <c r="K202" s="43">
        <f>Source!P117</f>
        <v>2768.69</v>
      </c>
      <c r="L202" s="55"/>
    </row>
    <row r="203" spans="1:28" ht="15" x14ac:dyDescent="0.25">
      <c r="G203" s="96">
        <f>ROUND(Source!AC117*Source!I117, 2)+ROUND(Source!AF117*Source!I117, 2)+ROUND((((Source!ET117)-(Source!EU117))+Source!AE117)*Source!I117, 2)</f>
        <v>202.54</v>
      </c>
      <c r="H203" s="96"/>
      <c r="J203" s="96">
        <f>Source!O117</f>
        <v>2768.69</v>
      </c>
      <c r="K203" s="96"/>
      <c r="L203" s="37">
        <f>Source!U117</f>
        <v>0</v>
      </c>
      <c r="O203" s="36">
        <f>G203</f>
        <v>202.54</v>
      </c>
      <c r="P203" s="36">
        <f>J203</f>
        <v>2768.69</v>
      </c>
      <c r="Q203" s="36">
        <f>L203</f>
        <v>0</v>
      </c>
      <c r="W203">
        <f>IF(Source!BI117&lt;=1,G203, 0)</f>
        <v>202.54</v>
      </c>
      <c r="X203">
        <f>IF(Source!BI117=2,G203, 0)</f>
        <v>0</v>
      </c>
      <c r="Y203">
        <f>IF(Source!BI117=3,G203, 0)</f>
        <v>0</v>
      </c>
      <c r="Z203">
        <f>IF(Source!BI117=4,G203, 0)</f>
        <v>0</v>
      </c>
    </row>
    <row r="204" spans="1:28" ht="42.75" x14ac:dyDescent="0.2">
      <c r="A204" s="28" t="str">
        <f>Source!E118</f>
        <v>29</v>
      </c>
      <c r="B204" s="29" t="str">
        <f>Source!F118</f>
        <v>п01-11-010-1</v>
      </c>
      <c r="C204" s="15" t="str">
        <f>Source!G118</f>
        <v>Измерение сопротивления растеканию тока заземлителя</v>
      </c>
      <c r="D204" s="31" t="str">
        <f>Source!H118</f>
        <v>1 измерение</v>
      </c>
      <c r="E204" s="10">
        <f>Source!I118</f>
        <v>6</v>
      </c>
      <c r="F204" s="22">
        <f>IF(Source!AK118&lt;&gt; 0, Source!AK118,Source!AL118 + Source!AM118 + Source!AO118)</f>
        <v>14.6</v>
      </c>
      <c r="G204" s="16"/>
      <c r="H204" s="22"/>
      <c r="I204" s="16" t="str">
        <f>Source!BO118</f>
        <v/>
      </c>
      <c r="J204" s="16"/>
      <c r="K204" s="22"/>
      <c r="L204" s="32"/>
      <c r="S204">
        <f>ROUND((Source!FX118/100)*((ROUND(Source!AF118*Source!I118, 2)+ROUND(Source!AE118*Source!I118, 2))), 2)</f>
        <v>64.819999999999993</v>
      </c>
      <c r="T204">
        <f>Source!X118</f>
        <v>2286.34</v>
      </c>
      <c r="U204">
        <f>ROUND((Source!FY118/100)*((ROUND(Source!AF118*Source!I118, 2)+ROUND(Source!AE118*Source!I118, 2))), 2)</f>
        <v>31.54</v>
      </c>
      <c r="V204">
        <f>Source!Y118</f>
        <v>1112.27</v>
      </c>
    </row>
    <row r="205" spans="1:28" ht="14.25" x14ac:dyDescent="0.2">
      <c r="A205" s="28"/>
      <c r="B205" s="29"/>
      <c r="C205" s="15" t="s">
        <v>575</v>
      </c>
      <c r="D205" s="31"/>
      <c r="E205" s="10"/>
      <c r="F205" s="22">
        <f>Source!AO118</f>
        <v>14.6</v>
      </c>
      <c r="G205" s="16" t="str">
        <f>Source!DG118</f>
        <v/>
      </c>
      <c r="H205" s="22">
        <f>ROUND(Source!AF118*Source!I118, 2)</f>
        <v>87.6</v>
      </c>
      <c r="I205" s="16"/>
      <c r="J205" s="16">
        <f>IF(Source!BA118&lt;&gt; 0, Source!BA118, 1)</f>
        <v>35.270000000000003</v>
      </c>
      <c r="K205" s="22">
        <f>Source!S118</f>
        <v>3089.65</v>
      </c>
      <c r="L205" s="32"/>
      <c r="R205">
        <f>H205</f>
        <v>87.6</v>
      </c>
    </row>
    <row r="206" spans="1:28" ht="14.25" x14ac:dyDescent="0.2">
      <c r="A206" s="28"/>
      <c r="B206" s="29"/>
      <c r="C206" s="15" t="s">
        <v>577</v>
      </c>
      <c r="D206" s="31" t="s">
        <v>578</v>
      </c>
      <c r="E206" s="10">
        <f>Source!BZ118</f>
        <v>74</v>
      </c>
      <c r="F206" s="33"/>
      <c r="G206" s="16"/>
      <c r="H206" s="22">
        <f>SUM(S204:S208)</f>
        <v>64.819999999999993</v>
      </c>
      <c r="I206" s="34"/>
      <c r="J206" s="15">
        <f>Source!AT118</f>
        <v>74</v>
      </c>
      <c r="K206" s="22">
        <f>SUM(T204:T208)</f>
        <v>2286.34</v>
      </c>
      <c r="L206" s="32"/>
    </row>
    <row r="207" spans="1:28" ht="14.25" x14ac:dyDescent="0.2">
      <c r="A207" s="28"/>
      <c r="B207" s="29"/>
      <c r="C207" s="15" t="s">
        <v>579</v>
      </c>
      <c r="D207" s="31" t="s">
        <v>578</v>
      </c>
      <c r="E207" s="10">
        <f>Source!CA118</f>
        <v>36</v>
      </c>
      <c r="F207" s="33"/>
      <c r="G207" s="16"/>
      <c r="H207" s="22">
        <f>SUM(U204:U208)</f>
        <v>31.54</v>
      </c>
      <c r="I207" s="34"/>
      <c r="J207" s="15">
        <f>Source!AU118</f>
        <v>36</v>
      </c>
      <c r="K207" s="22">
        <f>SUM(V204:V208)</f>
        <v>1112.27</v>
      </c>
      <c r="L207" s="32"/>
    </row>
    <row r="208" spans="1:28" ht="14.25" x14ac:dyDescent="0.2">
      <c r="A208" s="38"/>
      <c r="B208" s="39"/>
      <c r="C208" s="40" t="s">
        <v>580</v>
      </c>
      <c r="D208" s="41" t="s">
        <v>581</v>
      </c>
      <c r="E208" s="42">
        <f>Source!AQ118</f>
        <v>1.22</v>
      </c>
      <c r="F208" s="43"/>
      <c r="G208" s="44" t="str">
        <f>Source!DI118</f>
        <v/>
      </c>
      <c r="H208" s="43"/>
      <c r="I208" s="44"/>
      <c r="J208" s="44"/>
      <c r="K208" s="43"/>
      <c r="L208" s="45">
        <f>Source!U118</f>
        <v>7.32</v>
      </c>
    </row>
    <row r="209" spans="1:33" ht="15" x14ac:dyDescent="0.25">
      <c r="G209" s="96">
        <f>ROUND(Source!AC118*Source!I118, 2)+ROUND(Source!AF118*Source!I118, 2)+ROUND((((Source!ET118)-(Source!EU118))+Source!AE118)*Source!I118, 2)+SUM(H206:H207)</f>
        <v>183.95999999999998</v>
      </c>
      <c r="H209" s="96"/>
      <c r="J209" s="96">
        <f>Source!O118+SUM(K206:K207)</f>
        <v>6488.26</v>
      </c>
      <c r="K209" s="96"/>
      <c r="L209" s="37">
        <f>Source!U118</f>
        <v>7.32</v>
      </c>
      <c r="O209" s="36">
        <f>G209</f>
        <v>183.95999999999998</v>
      </c>
      <c r="P209" s="36">
        <f>J209</f>
        <v>6488.26</v>
      </c>
      <c r="Q209" s="36">
        <f>L209</f>
        <v>7.32</v>
      </c>
      <c r="W209">
        <f>IF(Source!BI118&lt;=1,G209, 0)</f>
        <v>0</v>
      </c>
      <c r="X209">
        <f>IF(Source!BI118=2,G209, 0)</f>
        <v>0</v>
      </c>
      <c r="Y209">
        <f>IF(Source!BI118=3,G209, 0)</f>
        <v>0</v>
      </c>
      <c r="Z209">
        <f>IF(Source!BI118=4,G209, 0)</f>
        <v>183.95999999999998</v>
      </c>
    </row>
    <row r="210" spans="1:33" ht="42.75" x14ac:dyDescent="0.2">
      <c r="A210" s="28" t="str">
        <f>Source!E119</f>
        <v>30</v>
      </c>
      <c r="B210" s="29" t="str">
        <f>Source!F119</f>
        <v>п01-11-011-1</v>
      </c>
      <c r="C210" s="15" t="str">
        <f>Source!G119</f>
        <v>Проверка наличия цепи между заземлителями и заземленными элементами</v>
      </c>
      <c r="D210" s="31" t="str">
        <f>Source!H119</f>
        <v>100 точек</v>
      </c>
      <c r="E210" s="10">
        <f>Source!I119</f>
        <v>0.4</v>
      </c>
      <c r="F210" s="22">
        <f>IF(Source!AK119&lt;&gt; 0, Source!AK119,Source!AL119 + Source!AM119 + Source!AO119)</f>
        <v>155.13</v>
      </c>
      <c r="G210" s="16"/>
      <c r="H210" s="22"/>
      <c r="I210" s="16" t="str">
        <f>Source!BO119</f>
        <v/>
      </c>
      <c r="J210" s="16"/>
      <c r="K210" s="22"/>
      <c r="L210" s="32"/>
      <c r="S210">
        <f>ROUND((Source!FX119/100)*((ROUND(Source!AF119*Source!I119, 2)+ROUND(Source!AE119*Source!I119, 2))), 2)</f>
        <v>45.92</v>
      </c>
      <c r="T210">
        <f>Source!X119</f>
        <v>1619.54</v>
      </c>
      <c r="U210">
        <f>ROUND((Source!FY119/100)*((ROUND(Source!AF119*Source!I119, 2)+ROUND(Source!AE119*Source!I119, 2))), 2)</f>
        <v>22.34</v>
      </c>
      <c r="V210">
        <f>Source!Y119</f>
        <v>787.89</v>
      </c>
    </row>
    <row r="211" spans="1:33" x14ac:dyDescent="0.2">
      <c r="C211" s="46" t="str">
        <f>"Объем: "&amp;Source!I119&amp;"=40/"&amp;"100"</f>
        <v>Объем: 0,4=40/100</v>
      </c>
    </row>
    <row r="212" spans="1:33" ht="14.25" x14ac:dyDescent="0.2">
      <c r="A212" s="28"/>
      <c r="B212" s="29"/>
      <c r="C212" s="15" t="s">
        <v>575</v>
      </c>
      <c r="D212" s="31"/>
      <c r="E212" s="10"/>
      <c r="F212" s="22">
        <f>Source!AO119</f>
        <v>155.13</v>
      </c>
      <c r="G212" s="16" t="str">
        <f>Source!DG119</f>
        <v/>
      </c>
      <c r="H212" s="22">
        <f>ROUND(Source!AF119*Source!I119, 2)</f>
        <v>62.05</v>
      </c>
      <c r="I212" s="16"/>
      <c r="J212" s="16">
        <f>IF(Source!BA119&lt;&gt; 0, Source!BA119, 1)</f>
        <v>35.270000000000003</v>
      </c>
      <c r="K212" s="22">
        <f>Source!S119</f>
        <v>2188.5700000000002</v>
      </c>
      <c r="L212" s="32"/>
      <c r="R212">
        <f>H212</f>
        <v>62.05</v>
      </c>
    </row>
    <row r="213" spans="1:33" ht="14.25" x14ac:dyDescent="0.2">
      <c r="A213" s="28"/>
      <c r="B213" s="29"/>
      <c r="C213" s="15" t="s">
        <v>577</v>
      </c>
      <c r="D213" s="31" t="s">
        <v>578</v>
      </c>
      <c r="E213" s="10">
        <f>Source!BZ119</f>
        <v>74</v>
      </c>
      <c r="F213" s="33"/>
      <c r="G213" s="16"/>
      <c r="H213" s="22">
        <f>SUM(S210:S215)</f>
        <v>45.92</v>
      </c>
      <c r="I213" s="34"/>
      <c r="J213" s="15">
        <f>Source!AT119</f>
        <v>74</v>
      </c>
      <c r="K213" s="22">
        <f>SUM(T210:T215)</f>
        <v>1619.54</v>
      </c>
      <c r="L213" s="32"/>
    </row>
    <row r="214" spans="1:33" ht="14.25" x14ac:dyDescent="0.2">
      <c r="A214" s="28"/>
      <c r="B214" s="29"/>
      <c r="C214" s="15" t="s">
        <v>579</v>
      </c>
      <c r="D214" s="31" t="s">
        <v>578</v>
      </c>
      <c r="E214" s="10">
        <f>Source!CA119</f>
        <v>36</v>
      </c>
      <c r="F214" s="33"/>
      <c r="G214" s="16"/>
      <c r="H214" s="22">
        <f>SUM(U210:U215)</f>
        <v>22.34</v>
      </c>
      <c r="I214" s="34"/>
      <c r="J214" s="15">
        <f>Source!AU119</f>
        <v>36</v>
      </c>
      <c r="K214" s="22">
        <f>SUM(V210:V215)</f>
        <v>787.89</v>
      </c>
      <c r="L214" s="32"/>
    </row>
    <row r="215" spans="1:33" ht="14.25" x14ac:dyDescent="0.2">
      <c r="A215" s="38"/>
      <c r="B215" s="39"/>
      <c r="C215" s="40" t="s">
        <v>580</v>
      </c>
      <c r="D215" s="41" t="s">
        <v>581</v>
      </c>
      <c r="E215" s="42">
        <f>Source!AQ119</f>
        <v>12.96</v>
      </c>
      <c r="F215" s="43"/>
      <c r="G215" s="44" t="str">
        <f>Source!DI119</f>
        <v/>
      </c>
      <c r="H215" s="43"/>
      <c r="I215" s="44"/>
      <c r="J215" s="44"/>
      <c r="K215" s="43"/>
      <c r="L215" s="45">
        <f>Source!U119</f>
        <v>5.1840000000000011</v>
      </c>
    </row>
    <row r="216" spans="1:33" ht="15" x14ac:dyDescent="0.25">
      <c r="G216" s="96">
        <f>ROUND(Source!AC119*Source!I119, 2)+ROUND(Source!AF119*Source!I119, 2)+ROUND((((Source!ET119)-(Source!EU119))+Source!AE119)*Source!I119, 2)+SUM(H213:H214)</f>
        <v>130.31</v>
      </c>
      <c r="H216" s="96"/>
      <c r="J216" s="96">
        <f>Source!O119+SUM(K213:K214)</f>
        <v>4596</v>
      </c>
      <c r="K216" s="96"/>
      <c r="L216" s="37">
        <f>Source!U119</f>
        <v>5.1840000000000011</v>
      </c>
      <c r="O216" s="36">
        <f>G216</f>
        <v>130.31</v>
      </c>
      <c r="P216" s="36">
        <f>J216</f>
        <v>4596</v>
      </c>
      <c r="Q216" s="36">
        <f>L216</f>
        <v>5.1840000000000011</v>
      </c>
      <c r="W216">
        <f>IF(Source!BI119&lt;=1,G216, 0)</f>
        <v>0</v>
      </c>
      <c r="X216">
        <f>IF(Source!BI119=2,G216, 0)</f>
        <v>0</v>
      </c>
      <c r="Y216">
        <f>IF(Source!BI119=3,G216, 0)</f>
        <v>0</v>
      </c>
      <c r="Z216">
        <f>IF(Source!BI119=4,G216, 0)</f>
        <v>130.31</v>
      </c>
    </row>
    <row r="218" spans="1:33" ht="15" x14ac:dyDescent="0.25">
      <c r="A218" s="95" t="str">
        <f>CONCATENATE("Итого по разделу: ", Source!G121)</f>
        <v>Итого по разделу: Монтаж реклоузера</v>
      </c>
      <c r="B218" s="95"/>
      <c r="C218" s="95"/>
      <c r="D218" s="95"/>
      <c r="E218" s="95"/>
      <c r="F218" s="95"/>
      <c r="G218" s="96">
        <f>SUM(O65:O217)</f>
        <v>10486.72</v>
      </c>
      <c r="H218" s="87"/>
      <c r="I218" s="47"/>
      <c r="J218" s="96">
        <f>SUM(P65:P217)</f>
        <v>159978.74000000002</v>
      </c>
      <c r="K218" s="87"/>
      <c r="L218" s="37">
        <f>SUM(Q65:Q217)</f>
        <v>67.758212</v>
      </c>
      <c r="AG218" s="48" t="str">
        <f>CONCATENATE("Итого по разделу: ", Source!G121)</f>
        <v>Итого по разделу: Монтаж реклоузера</v>
      </c>
    </row>
    <row r="220" spans="1:33" ht="14.25" x14ac:dyDescent="0.2">
      <c r="C220" s="15" t="str">
        <f>Source!H150</f>
        <v>ОЗП</v>
      </c>
      <c r="J220" s="88">
        <f>Source!F150</f>
        <v>21883.94</v>
      </c>
      <c r="K220" s="88"/>
    </row>
    <row r="221" spans="1:33" ht="14.25" x14ac:dyDescent="0.2">
      <c r="C221" s="15" t="str">
        <f>Source!H151</f>
        <v>ЭММ, в т.ч. ЗПМ</v>
      </c>
      <c r="J221" s="88">
        <f>Source!F151</f>
        <v>22634.89</v>
      </c>
      <c r="K221" s="88"/>
    </row>
    <row r="222" spans="1:33" ht="14.25" x14ac:dyDescent="0.2">
      <c r="C222" s="15" t="str">
        <f>Source!H152</f>
        <v>ЗПМ (справочно)</v>
      </c>
      <c r="J222" s="88">
        <f>Source!F152</f>
        <v>5368.75</v>
      </c>
      <c r="K222" s="88"/>
    </row>
    <row r="223" spans="1:33" ht="14.25" x14ac:dyDescent="0.2">
      <c r="C223" s="15" t="str">
        <f>Source!H153</f>
        <v>Стоимость материалов</v>
      </c>
      <c r="J223" s="88">
        <f>Source!F153</f>
        <v>74534.429999999993</v>
      </c>
      <c r="K223" s="88"/>
    </row>
    <row r="224" spans="1:33" ht="14.25" x14ac:dyDescent="0.2">
      <c r="C224" s="15" t="str">
        <f>Source!H154</f>
        <v>НР</v>
      </c>
      <c r="J224" s="88">
        <f>Source!F154</f>
        <v>26253.64</v>
      </c>
      <c r="K224" s="88"/>
    </row>
    <row r="225" spans="1:39" ht="14.25" x14ac:dyDescent="0.2">
      <c r="C225" s="15" t="str">
        <f>Source!H155</f>
        <v>СП</v>
      </c>
      <c r="J225" s="88">
        <f>Source!F155</f>
        <v>14671.84</v>
      </c>
      <c r="K225" s="88"/>
    </row>
    <row r="226" spans="1:39" ht="14.25" x14ac:dyDescent="0.2">
      <c r="C226" s="15" t="str">
        <f>Source!H156</f>
        <v>Итого</v>
      </c>
      <c r="D226" s="99" t="str">
        <f>"="&amp;Source!F150&amp;"+"&amp;""&amp;Source!F151&amp;"+"&amp;""&amp;Source!F153&amp;"+"&amp;""&amp;Source!F154&amp;"+"&amp;""&amp;Source!F155&amp;""</f>
        <v>=21883,94+22634,89+74534,43+26253,64+14671,84</v>
      </c>
      <c r="E226" s="93"/>
      <c r="F226" s="93"/>
      <c r="G226" s="93"/>
      <c r="H226" s="93"/>
      <c r="I226" s="93"/>
      <c r="J226" s="88">
        <f>Source!F156</f>
        <v>159978.74</v>
      </c>
      <c r="K226" s="88"/>
      <c r="AM226" s="49" t="str">
        <f>"="&amp;Source!F150&amp;"+"&amp;""&amp;Source!F151&amp;"+"&amp;""&amp;Source!F153&amp;"+"&amp;""&amp;Source!F154&amp;"+"&amp;""&amp;Source!F155&amp;""</f>
        <v>=21883,94+22634,89+74534,43+26253,64+14671,84</v>
      </c>
    </row>
    <row r="227" spans="1:39" ht="14.25" x14ac:dyDescent="0.2">
      <c r="C227" s="15" t="str">
        <f>Source!H157</f>
        <v>НДС 20%</v>
      </c>
      <c r="D227" s="99" t="str">
        <f>"="&amp;Source!F156&amp;"*"&amp;"0,2"</f>
        <v>=159978,74*0,2</v>
      </c>
      <c r="E227" s="93"/>
      <c r="F227" s="93"/>
      <c r="G227" s="93"/>
      <c r="H227" s="93"/>
      <c r="I227" s="93"/>
      <c r="J227" s="88">
        <f>Source!F157</f>
        <v>31995.75</v>
      </c>
      <c r="K227" s="88"/>
      <c r="AM227" s="49" t="str">
        <f>"="&amp;Source!F156&amp;"*"&amp;"0,2"</f>
        <v>=159978,74*0,2</v>
      </c>
    </row>
    <row r="228" spans="1:39" ht="14.25" x14ac:dyDescent="0.2">
      <c r="C228" s="15" t="str">
        <f>Source!H158</f>
        <v>Всего с НДС</v>
      </c>
      <c r="D228" s="99" t="str">
        <f>"="&amp;Source!F156&amp;"+"&amp;""&amp;Source!F157&amp;""</f>
        <v>=159978,74+31995,75</v>
      </c>
      <c r="E228" s="93"/>
      <c r="F228" s="93"/>
      <c r="G228" s="93"/>
      <c r="H228" s="93"/>
      <c r="I228" s="93"/>
      <c r="J228" s="88">
        <f>Source!F158</f>
        <v>191974.49</v>
      </c>
      <c r="K228" s="88"/>
      <c r="AM228" s="49" t="str">
        <f>"="&amp;Source!F156&amp;"+"&amp;""&amp;Source!F157&amp;""</f>
        <v>=159978,74+31995,75</v>
      </c>
    </row>
    <row r="231" spans="1:39" ht="16.5" x14ac:dyDescent="0.25">
      <c r="A231" s="98" t="str">
        <f>CONCATENATE("Раздел: ", Source!G160)</f>
        <v>Раздел: Монтаж разъединителя</v>
      </c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AE231" s="27" t="str">
        <f>CONCATENATE("Раздел: ", Source!G160)</f>
        <v>Раздел: Монтаж разъединителя</v>
      </c>
    </row>
    <row r="232" spans="1:39" ht="28.5" x14ac:dyDescent="0.2">
      <c r="A232" s="28" t="str">
        <f>Source!E164</f>
        <v>31</v>
      </c>
      <c r="B232" s="29" t="str">
        <f>Source!F164</f>
        <v>м08-01-087-3</v>
      </c>
      <c r="C232" s="15" t="str">
        <f>Source!G164</f>
        <v>Металлические конструкции</v>
      </c>
      <c r="D232" s="31" t="str">
        <f>Source!H164</f>
        <v>1 Т</v>
      </c>
      <c r="E232" s="10">
        <f>Source!I164</f>
        <v>2.266E-2</v>
      </c>
      <c r="F232" s="22">
        <f>IF(Source!AK164&lt;&gt; 0, Source!AK164,Source!AL164 + Source!AM164 + Source!AO164)</f>
        <v>13270.76</v>
      </c>
      <c r="G232" s="16"/>
      <c r="H232" s="22"/>
      <c r="I232" s="16" t="str">
        <f>Source!BO164</f>
        <v>м08-01-087-3</v>
      </c>
      <c r="J232" s="16"/>
      <c r="K232" s="22"/>
      <c r="L232" s="32"/>
      <c r="S232">
        <f>ROUND((Source!FX164/100)*((ROUND(Source!AF164*Source!I164, 2)+ROUND(Source!AE164*Source!I164, 2))), 2)</f>
        <v>12.76</v>
      </c>
      <c r="T232">
        <f>Source!X164</f>
        <v>449.82</v>
      </c>
      <c r="U232">
        <f>ROUND((Source!FY164/100)*((ROUND(Source!AF164*Source!I164, 2)+ROUND(Source!AE164*Source!I164, 2))), 2)</f>
        <v>6.71</v>
      </c>
      <c r="V232">
        <f>Source!Y164</f>
        <v>236.5</v>
      </c>
    </row>
    <row r="233" spans="1:39" x14ac:dyDescent="0.2">
      <c r="C233" s="46" t="str">
        <f>"Объем: "&amp;Source!I164&amp;"=22,66/"&amp;"1000"</f>
        <v>Объем: 0,02266=22,66/1000</v>
      </c>
    </row>
    <row r="234" spans="1:39" ht="14.25" x14ac:dyDescent="0.2">
      <c r="A234" s="28"/>
      <c r="B234" s="29"/>
      <c r="C234" s="15" t="s">
        <v>575</v>
      </c>
      <c r="D234" s="31"/>
      <c r="E234" s="10"/>
      <c r="F234" s="22">
        <f>Source!AO164</f>
        <v>559.17999999999995</v>
      </c>
      <c r="G234" s="16" t="str">
        <f>Source!DG164</f>
        <v/>
      </c>
      <c r="H234" s="22">
        <f>ROUND(Source!AF164*Source!I164, 2)</f>
        <v>12.67</v>
      </c>
      <c r="I234" s="16"/>
      <c r="J234" s="16">
        <f>IF(Source!BA164&lt;&gt; 0, Source!BA164, 1)</f>
        <v>35.270000000000003</v>
      </c>
      <c r="K234" s="22">
        <f>Source!S164</f>
        <v>446.91</v>
      </c>
      <c r="L234" s="32"/>
      <c r="R234">
        <f>H234</f>
        <v>12.67</v>
      </c>
    </row>
    <row r="235" spans="1:39" ht="14.25" x14ac:dyDescent="0.2">
      <c r="A235" s="28"/>
      <c r="B235" s="29"/>
      <c r="C235" s="15" t="s">
        <v>59</v>
      </c>
      <c r="D235" s="31"/>
      <c r="E235" s="10"/>
      <c r="F235" s="22">
        <f>Source!AM164</f>
        <v>514.73</v>
      </c>
      <c r="G235" s="16" t="str">
        <f>Source!DE164</f>
        <v/>
      </c>
      <c r="H235" s="22">
        <f>ROUND((((Source!ET164)-(Source!EU164))+Source!AE164)*Source!I164, 2)</f>
        <v>11.66</v>
      </c>
      <c r="I235" s="16"/>
      <c r="J235" s="16">
        <f>IF(Source!BB164&lt;&gt; 0, Source!BB164, 1)</f>
        <v>10.91</v>
      </c>
      <c r="K235" s="22">
        <f>Source!Q164</f>
        <v>127.25</v>
      </c>
      <c r="L235" s="32"/>
    </row>
    <row r="236" spans="1:39" ht="14.25" x14ac:dyDescent="0.2">
      <c r="A236" s="28"/>
      <c r="B236" s="29"/>
      <c r="C236" s="15" t="s">
        <v>576</v>
      </c>
      <c r="D236" s="31"/>
      <c r="E236" s="10"/>
      <c r="F236" s="22">
        <f>Source!AN164</f>
        <v>21.05</v>
      </c>
      <c r="G236" s="16" t="str">
        <f>Source!DF164</f>
        <v/>
      </c>
      <c r="H236" s="22">
        <f>ROUND(Source!AE164*Source!I164, 2)</f>
        <v>0.48</v>
      </c>
      <c r="I236" s="16"/>
      <c r="J236" s="16">
        <f>IF(Source!BS164&lt;&gt; 0, Source!BS164, 1)</f>
        <v>35.270000000000003</v>
      </c>
      <c r="K236" s="22">
        <f>Source!R164</f>
        <v>16.82</v>
      </c>
      <c r="L236" s="32"/>
      <c r="R236">
        <f>H236</f>
        <v>0.48</v>
      </c>
    </row>
    <row r="237" spans="1:39" ht="14.25" x14ac:dyDescent="0.2">
      <c r="A237" s="28"/>
      <c r="B237" s="29"/>
      <c r="C237" s="15" t="s">
        <v>582</v>
      </c>
      <c r="D237" s="31"/>
      <c r="E237" s="10"/>
      <c r="F237" s="22">
        <f>Source!AL164</f>
        <v>12196.85</v>
      </c>
      <c r="G237" s="16" t="str">
        <f>Source!DD164</f>
        <v/>
      </c>
      <c r="H237" s="22">
        <f>ROUND(Source!AC164*Source!I164, 2)</f>
        <v>276.38</v>
      </c>
      <c r="I237" s="16"/>
      <c r="J237" s="16">
        <f>IF(Source!BC164&lt;&gt; 0, Source!BC164, 1)</f>
        <v>11.17</v>
      </c>
      <c r="K237" s="22">
        <f>Source!P164</f>
        <v>3087.17</v>
      </c>
      <c r="L237" s="32"/>
    </row>
    <row r="238" spans="1:39" ht="14.25" x14ac:dyDescent="0.2">
      <c r="A238" s="28"/>
      <c r="B238" s="29"/>
      <c r="C238" s="15" t="s">
        <v>577</v>
      </c>
      <c r="D238" s="31" t="s">
        <v>578</v>
      </c>
      <c r="E238" s="10">
        <f>Source!BZ164</f>
        <v>97</v>
      </c>
      <c r="F238" s="33"/>
      <c r="G238" s="16"/>
      <c r="H238" s="22">
        <f>SUM(S232:S240)</f>
        <v>12.76</v>
      </c>
      <c r="I238" s="34"/>
      <c r="J238" s="15">
        <f>Source!AT164</f>
        <v>97</v>
      </c>
      <c r="K238" s="22">
        <f>SUM(T232:T240)</f>
        <v>449.82</v>
      </c>
      <c r="L238" s="32"/>
    </row>
    <row r="239" spans="1:39" ht="14.25" x14ac:dyDescent="0.2">
      <c r="A239" s="28"/>
      <c r="B239" s="29"/>
      <c r="C239" s="15" t="s">
        <v>579</v>
      </c>
      <c r="D239" s="31" t="s">
        <v>578</v>
      </c>
      <c r="E239" s="10">
        <f>Source!CA164</f>
        <v>51</v>
      </c>
      <c r="F239" s="33"/>
      <c r="G239" s="16"/>
      <c r="H239" s="22">
        <f>SUM(U232:U240)</f>
        <v>6.71</v>
      </c>
      <c r="I239" s="34"/>
      <c r="J239" s="15">
        <f>Source!AU164</f>
        <v>51</v>
      </c>
      <c r="K239" s="22">
        <f>SUM(V232:V240)</f>
        <v>236.5</v>
      </c>
      <c r="L239" s="32"/>
    </row>
    <row r="240" spans="1:39" ht="14.25" x14ac:dyDescent="0.2">
      <c r="A240" s="38"/>
      <c r="B240" s="39"/>
      <c r="C240" s="40" t="s">
        <v>580</v>
      </c>
      <c r="D240" s="41" t="s">
        <v>581</v>
      </c>
      <c r="E240" s="42">
        <f>Source!AQ164</f>
        <v>62.2</v>
      </c>
      <c r="F240" s="43"/>
      <c r="G240" s="44" t="str">
        <f>Source!DI164</f>
        <v/>
      </c>
      <c r="H240" s="43"/>
      <c r="I240" s="44"/>
      <c r="J240" s="44"/>
      <c r="K240" s="43"/>
      <c r="L240" s="45">
        <f>Source!U164</f>
        <v>1.4094520000000001</v>
      </c>
    </row>
    <row r="241" spans="1:26" ht="15" x14ac:dyDescent="0.25">
      <c r="G241" s="96">
        <f>ROUND(Source!AC164*Source!I164, 2)+ROUND(Source!AF164*Source!I164, 2)+ROUND((((Source!ET164)-(Source!EU164))+Source!AE164)*Source!I164, 2)+SUM(H238:H239)</f>
        <v>320.18000000000006</v>
      </c>
      <c r="H241" s="96"/>
      <c r="J241" s="96">
        <f>Source!O164+SUM(K238:K239)</f>
        <v>4347.6499999999996</v>
      </c>
      <c r="K241" s="96"/>
      <c r="L241" s="37">
        <f>Source!U164</f>
        <v>1.4094520000000001</v>
      </c>
      <c r="O241" s="36">
        <f>G241</f>
        <v>320.18000000000006</v>
      </c>
      <c r="P241" s="36">
        <f>J241</f>
        <v>4347.6499999999996</v>
      </c>
      <c r="Q241" s="36">
        <f>L241</f>
        <v>1.4094520000000001</v>
      </c>
      <c r="W241">
        <f>IF(Source!BI164&lt;=1,G241, 0)</f>
        <v>0</v>
      </c>
      <c r="X241">
        <f>IF(Source!BI164=2,G241, 0)</f>
        <v>320.18000000000006</v>
      </c>
      <c r="Y241">
        <f>IF(Source!BI164=3,G241, 0)</f>
        <v>0</v>
      </c>
      <c r="Z241">
        <f>IF(Source!BI164=4,G241, 0)</f>
        <v>0</v>
      </c>
    </row>
    <row r="242" spans="1:26" ht="28.5" x14ac:dyDescent="0.2">
      <c r="A242" s="28" t="str">
        <f>Source!E165</f>
        <v>32</v>
      </c>
      <c r="B242" s="29" t="str">
        <f>Source!F165</f>
        <v>33-04-030-3</v>
      </c>
      <c r="C242" s="15" t="str">
        <f>Source!G165</f>
        <v>Установка разъединителей с помощью механизмов</v>
      </c>
      <c r="D242" s="31" t="str">
        <f>Source!H165</f>
        <v>1 КОМПЛ.</v>
      </c>
      <c r="E242" s="10">
        <f>Source!I165</f>
        <v>1</v>
      </c>
      <c r="F242" s="22">
        <f>IF(Source!AK165&lt;&gt; 0, Source!AK165,Source!AL165 + Source!AM165 + Source!AO165)</f>
        <v>197.83</v>
      </c>
      <c r="G242" s="16"/>
      <c r="H242" s="22"/>
      <c r="I242" s="16" t="str">
        <f>Source!BO165</f>
        <v>33-04-030-3</v>
      </c>
      <c r="J242" s="16"/>
      <c r="K242" s="22"/>
      <c r="L242" s="32"/>
      <c r="S242">
        <f>ROUND((Source!FX165/100)*((ROUND(Source!AF165*Source!I165, 2)+ROUND(Source!AE165*Source!I165, 2))), 2)</f>
        <v>86.56</v>
      </c>
      <c r="T242">
        <f>Source!X165</f>
        <v>3053.01</v>
      </c>
      <c r="U242">
        <f>ROUND((Source!FY165/100)*((ROUND(Source!AF165*Source!I165, 2)+ROUND(Source!AE165*Source!I165, 2))), 2)</f>
        <v>50.42</v>
      </c>
      <c r="V242">
        <f>Source!Y165</f>
        <v>1778.45</v>
      </c>
    </row>
    <row r="243" spans="1:26" ht="14.25" x14ac:dyDescent="0.2">
      <c r="A243" s="28"/>
      <c r="B243" s="29"/>
      <c r="C243" s="15" t="s">
        <v>575</v>
      </c>
      <c r="D243" s="31"/>
      <c r="E243" s="10"/>
      <c r="F243" s="22">
        <f>Source!AO165</f>
        <v>76.05</v>
      </c>
      <c r="G243" s="16" t="str">
        <f>Source!DG165</f>
        <v/>
      </c>
      <c r="H243" s="22">
        <f>ROUND(Source!AF165*Source!I165, 2)</f>
        <v>76.05</v>
      </c>
      <c r="I243" s="16"/>
      <c r="J243" s="16">
        <f>IF(Source!BA165&lt;&gt; 0, Source!BA165, 1)</f>
        <v>35.270000000000003</v>
      </c>
      <c r="K243" s="22">
        <f>Source!S165</f>
        <v>2682.28</v>
      </c>
      <c r="L243" s="32"/>
      <c r="R243">
        <f>H243</f>
        <v>76.05</v>
      </c>
    </row>
    <row r="244" spans="1:26" ht="14.25" x14ac:dyDescent="0.2">
      <c r="A244" s="28"/>
      <c r="B244" s="29"/>
      <c r="C244" s="15" t="s">
        <v>59</v>
      </c>
      <c r="D244" s="31"/>
      <c r="E244" s="10"/>
      <c r="F244" s="22">
        <f>Source!AM165</f>
        <v>119.55</v>
      </c>
      <c r="G244" s="16" t="str">
        <f>Source!DE165</f>
        <v/>
      </c>
      <c r="H244" s="22">
        <f>ROUND((((Source!ET165)-(Source!EU165))+Source!AE165)*Source!I165, 2)</f>
        <v>119.55</v>
      </c>
      <c r="I244" s="16"/>
      <c r="J244" s="16">
        <f>IF(Source!BB165&lt;&gt; 0, Source!BB165, 1)</f>
        <v>12.5</v>
      </c>
      <c r="K244" s="22">
        <f>Source!Q165</f>
        <v>1494.38</v>
      </c>
      <c r="L244" s="32"/>
    </row>
    <row r="245" spans="1:26" ht="14.25" x14ac:dyDescent="0.2">
      <c r="A245" s="28"/>
      <c r="B245" s="29"/>
      <c r="C245" s="15" t="s">
        <v>576</v>
      </c>
      <c r="D245" s="31"/>
      <c r="E245" s="10"/>
      <c r="F245" s="22">
        <f>Source!AN165</f>
        <v>7.99</v>
      </c>
      <c r="G245" s="16" t="str">
        <f>Source!DF165</f>
        <v/>
      </c>
      <c r="H245" s="22">
        <f>ROUND(Source!AE165*Source!I165, 2)</f>
        <v>7.99</v>
      </c>
      <c r="I245" s="16"/>
      <c r="J245" s="16">
        <f>IF(Source!BS165&lt;&gt; 0, Source!BS165, 1)</f>
        <v>35.270000000000003</v>
      </c>
      <c r="K245" s="22">
        <f>Source!R165</f>
        <v>281.81</v>
      </c>
      <c r="L245" s="32"/>
      <c r="R245">
        <f>H245</f>
        <v>7.99</v>
      </c>
    </row>
    <row r="246" spans="1:26" ht="14.25" x14ac:dyDescent="0.2">
      <c r="A246" s="28"/>
      <c r="B246" s="29"/>
      <c r="C246" s="15" t="s">
        <v>582</v>
      </c>
      <c r="D246" s="31"/>
      <c r="E246" s="10"/>
      <c r="F246" s="22">
        <f>Source!AL165</f>
        <v>2.23</v>
      </c>
      <c r="G246" s="16" t="str">
        <f>Source!DD165</f>
        <v/>
      </c>
      <c r="H246" s="22">
        <f>ROUND(Source!AC165*Source!I165, 2)</f>
        <v>2.23</v>
      </c>
      <c r="I246" s="16"/>
      <c r="J246" s="16">
        <f>IF(Source!BC165&lt;&gt; 0, Source!BC165, 1)</f>
        <v>11.4</v>
      </c>
      <c r="K246" s="22">
        <f>Source!P165</f>
        <v>25.42</v>
      </c>
      <c r="L246" s="32"/>
    </row>
    <row r="247" spans="1:26" ht="14.25" x14ac:dyDescent="0.2">
      <c r="A247" s="28"/>
      <c r="B247" s="29"/>
      <c r="C247" s="15" t="s">
        <v>577</v>
      </c>
      <c r="D247" s="31" t="s">
        <v>578</v>
      </c>
      <c r="E247" s="10">
        <f>Source!BZ165</f>
        <v>103</v>
      </c>
      <c r="F247" s="33"/>
      <c r="G247" s="16"/>
      <c r="H247" s="22">
        <f>SUM(S242:S249)</f>
        <v>86.56</v>
      </c>
      <c r="I247" s="34"/>
      <c r="J247" s="15">
        <f>Source!AT165</f>
        <v>103</v>
      </c>
      <c r="K247" s="22">
        <f>SUM(T242:T249)</f>
        <v>3053.01</v>
      </c>
      <c r="L247" s="32"/>
    </row>
    <row r="248" spans="1:26" ht="14.25" x14ac:dyDescent="0.2">
      <c r="A248" s="28"/>
      <c r="B248" s="29"/>
      <c r="C248" s="15" t="s">
        <v>579</v>
      </c>
      <c r="D248" s="31" t="s">
        <v>578</v>
      </c>
      <c r="E248" s="10">
        <f>Source!CA165</f>
        <v>60</v>
      </c>
      <c r="F248" s="33"/>
      <c r="G248" s="16"/>
      <c r="H248" s="22">
        <f>SUM(U242:U249)</f>
        <v>50.42</v>
      </c>
      <c r="I248" s="34"/>
      <c r="J248" s="15">
        <f>Source!AU165</f>
        <v>60</v>
      </c>
      <c r="K248" s="22">
        <f>SUM(V242:V249)</f>
        <v>1778.45</v>
      </c>
      <c r="L248" s="32"/>
    </row>
    <row r="249" spans="1:26" ht="14.25" x14ac:dyDescent="0.2">
      <c r="A249" s="38"/>
      <c r="B249" s="39"/>
      <c r="C249" s="40" t="s">
        <v>580</v>
      </c>
      <c r="D249" s="41" t="s">
        <v>581</v>
      </c>
      <c r="E249" s="42">
        <f>Source!AQ165</f>
        <v>8.09</v>
      </c>
      <c r="F249" s="43"/>
      <c r="G249" s="44" t="str">
        <f>Source!DI165</f>
        <v/>
      </c>
      <c r="H249" s="43"/>
      <c r="I249" s="44"/>
      <c r="J249" s="44"/>
      <c r="K249" s="43"/>
      <c r="L249" s="45">
        <f>Source!U165</f>
        <v>8.09</v>
      </c>
    </row>
    <row r="250" spans="1:26" ht="15" x14ac:dyDescent="0.25">
      <c r="G250" s="96">
        <f>ROUND(Source!AC165*Source!I165, 2)+ROUND(Source!AF165*Source!I165, 2)+ROUND((((Source!ET165)-(Source!EU165))+Source!AE165)*Source!I165, 2)+SUM(H247:H248)</f>
        <v>334.81</v>
      </c>
      <c r="H250" s="96"/>
      <c r="J250" s="96">
        <f>Source!O165+SUM(K247:K248)</f>
        <v>9033.5400000000009</v>
      </c>
      <c r="K250" s="96"/>
      <c r="L250" s="37">
        <f>Source!U165</f>
        <v>8.09</v>
      </c>
      <c r="O250" s="36">
        <f>G250</f>
        <v>334.81</v>
      </c>
      <c r="P250" s="36">
        <f>J250</f>
        <v>9033.5400000000009</v>
      </c>
      <c r="Q250" s="36">
        <f>L250</f>
        <v>8.09</v>
      </c>
      <c r="W250">
        <f>IF(Source!BI165&lt;=1,G250, 0)</f>
        <v>334.81</v>
      </c>
      <c r="X250">
        <f>IF(Source!BI165=2,G250, 0)</f>
        <v>0</v>
      </c>
      <c r="Y250">
        <f>IF(Source!BI165=3,G250, 0)</f>
        <v>0</v>
      </c>
      <c r="Z250">
        <f>IF(Source!BI165=4,G250, 0)</f>
        <v>0</v>
      </c>
    </row>
    <row r="251" spans="1:26" ht="42.75" x14ac:dyDescent="0.2">
      <c r="A251" s="28" t="str">
        <f>Source!E172</f>
        <v>33</v>
      </c>
      <c r="B251" s="29" t="str">
        <f>Source!F172</f>
        <v>201-8113</v>
      </c>
      <c r="C251" s="15" t="str">
        <f>Source!G172</f>
        <v>Траверсы металлические высоковольтные (Траверса ТМ-3 22,66 кг)</v>
      </c>
      <c r="D251" s="31" t="str">
        <f>Source!H172</f>
        <v>т</v>
      </c>
      <c r="E251" s="10">
        <f>Source!I172</f>
        <v>2.266E-2</v>
      </c>
      <c r="F251" s="22">
        <f>IF(Source!AK172&lt;&gt; 0, Source!AK172,Source!AL172 + Source!AM172 + Source!AO172)</f>
        <v>10995.42</v>
      </c>
      <c r="G251" s="16"/>
      <c r="H251" s="22"/>
      <c r="I251" s="16" t="str">
        <f>Source!BO172</f>
        <v>201-8113</v>
      </c>
      <c r="J251" s="16"/>
      <c r="K251" s="22"/>
      <c r="L251" s="32"/>
      <c r="S251">
        <f>ROUND((Source!FX172/100)*((ROUND(Source!AF172*Source!I172, 2)+ROUND(Source!AE172*Source!I172, 2))), 2)</f>
        <v>0</v>
      </c>
      <c r="T251">
        <f>Source!X172</f>
        <v>0</v>
      </c>
      <c r="U251">
        <f>ROUND((Source!FY172/100)*((ROUND(Source!AF172*Source!I172, 2)+ROUND(Source!AE172*Source!I172, 2))), 2)</f>
        <v>0</v>
      </c>
      <c r="V251">
        <f>Source!Y172</f>
        <v>0</v>
      </c>
    </row>
    <row r="252" spans="1:26" ht="14.25" x14ac:dyDescent="0.2">
      <c r="A252" s="38"/>
      <c r="B252" s="39"/>
      <c r="C252" s="40" t="s">
        <v>582</v>
      </c>
      <c r="D252" s="41"/>
      <c r="E252" s="42"/>
      <c r="F252" s="43">
        <f>Source!AL172</f>
        <v>10995.42</v>
      </c>
      <c r="G252" s="44" t="str">
        <f>Source!DD172</f>
        <v/>
      </c>
      <c r="H252" s="43">
        <f>ROUND(Source!AC172*Source!I172, 2)</f>
        <v>249.16</v>
      </c>
      <c r="I252" s="44"/>
      <c r="J252" s="44">
        <f>IF(Source!BC172&lt;&gt; 0, Source!BC172, 1)</f>
        <v>22.9</v>
      </c>
      <c r="K252" s="43">
        <f>Source!P172</f>
        <v>5705.68</v>
      </c>
      <c r="L252" s="55"/>
    </row>
    <row r="253" spans="1:26" ht="15" x14ac:dyDescent="0.25">
      <c r="G253" s="96">
        <f>ROUND(Source!AC172*Source!I172, 2)+ROUND(Source!AF172*Source!I172, 2)+ROUND((((Source!ET172)-(Source!EU172))+Source!AE172)*Source!I172, 2)</f>
        <v>249.16</v>
      </c>
      <c r="H253" s="96"/>
      <c r="J253" s="96">
        <f>Source!O172</f>
        <v>5705.68</v>
      </c>
      <c r="K253" s="96"/>
      <c r="L253" s="37">
        <f>Source!U172</f>
        <v>0</v>
      </c>
      <c r="O253" s="36">
        <f>G253</f>
        <v>249.16</v>
      </c>
      <c r="P253" s="36">
        <f>J253</f>
        <v>5705.68</v>
      </c>
      <c r="Q253" s="36">
        <f>L253</f>
        <v>0</v>
      </c>
      <c r="W253">
        <f>IF(Source!BI172&lt;=1,G253, 0)</f>
        <v>249.16</v>
      </c>
      <c r="X253">
        <f>IF(Source!BI172=2,G253, 0)</f>
        <v>0</v>
      </c>
      <c r="Y253">
        <f>IF(Source!BI172=3,G253, 0)</f>
        <v>0</v>
      </c>
      <c r="Z253">
        <f>IF(Source!BI172=4,G253, 0)</f>
        <v>0</v>
      </c>
    </row>
    <row r="254" spans="1:26" ht="14.25" x14ac:dyDescent="0.2">
      <c r="A254" s="28" t="str">
        <f>Source!E173</f>
        <v>34</v>
      </c>
      <c r="B254" s="29" t="str">
        <f>Source!F173</f>
        <v>201-0856</v>
      </c>
      <c r="C254" s="15" t="str">
        <f>Source!G173</f>
        <v>Хомуты стальные (Хомут Х-12 1,18 кг)</v>
      </c>
      <c r="D254" s="31" t="str">
        <f>Source!H173</f>
        <v>кг</v>
      </c>
      <c r="E254" s="10">
        <f>Source!I173</f>
        <v>1.18</v>
      </c>
      <c r="F254" s="22">
        <f>IF(Source!AK173&lt;&gt; 0, Source!AK173,Source!AL173 + Source!AM173 + Source!AO173)</f>
        <v>9.74</v>
      </c>
      <c r="G254" s="16"/>
      <c r="H254" s="22"/>
      <c r="I254" s="16" t="str">
        <f>Source!BO173</f>
        <v>201-0856</v>
      </c>
      <c r="J254" s="16"/>
      <c r="K254" s="22"/>
      <c r="L254" s="32"/>
      <c r="S254">
        <f>ROUND((Source!FX173/100)*((ROUND(Source!AF173*Source!I173, 2)+ROUND(Source!AE173*Source!I173, 2))), 2)</f>
        <v>0</v>
      </c>
      <c r="T254">
        <f>Source!X173</f>
        <v>0</v>
      </c>
      <c r="U254">
        <f>ROUND((Source!FY173/100)*((ROUND(Source!AF173*Source!I173, 2)+ROUND(Source!AE173*Source!I173, 2))), 2)</f>
        <v>0</v>
      </c>
      <c r="V254">
        <f>Source!Y173</f>
        <v>0</v>
      </c>
    </row>
    <row r="255" spans="1:26" ht="14.25" x14ac:dyDescent="0.2">
      <c r="A255" s="38"/>
      <c r="B255" s="39"/>
      <c r="C255" s="40" t="s">
        <v>582</v>
      </c>
      <c r="D255" s="41"/>
      <c r="E255" s="42"/>
      <c r="F255" s="43">
        <f>Source!AL173</f>
        <v>9.74</v>
      </c>
      <c r="G255" s="44" t="str">
        <f>Source!DD173</f>
        <v/>
      </c>
      <c r="H255" s="43">
        <f>ROUND(Source!AC173*Source!I173, 2)</f>
        <v>11.49</v>
      </c>
      <c r="I255" s="44"/>
      <c r="J255" s="44">
        <f>IF(Source!BC173&lt;&gt; 0, Source!BC173, 1)</f>
        <v>7.38</v>
      </c>
      <c r="K255" s="43">
        <f>Source!P173</f>
        <v>84.82</v>
      </c>
      <c r="L255" s="55"/>
    </row>
    <row r="256" spans="1:26" ht="15" x14ac:dyDescent="0.25">
      <c r="G256" s="96">
        <f>ROUND(Source!AC173*Source!I173, 2)+ROUND(Source!AF173*Source!I173, 2)+ROUND((((Source!ET173)-(Source!EU173))+Source!AE173)*Source!I173, 2)</f>
        <v>11.49</v>
      </c>
      <c r="H256" s="96"/>
      <c r="J256" s="96">
        <f>Source!O173</f>
        <v>84.82</v>
      </c>
      <c r="K256" s="96"/>
      <c r="L256" s="37">
        <f>Source!U173</f>
        <v>0</v>
      </c>
      <c r="O256" s="36">
        <f>G256</f>
        <v>11.49</v>
      </c>
      <c r="P256" s="36">
        <f>J256</f>
        <v>84.82</v>
      </c>
      <c r="Q256" s="36">
        <f>L256</f>
        <v>0</v>
      </c>
      <c r="W256">
        <f>IF(Source!BI173&lt;=1,G256, 0)</f>
        <v>11.49</v>
      </c>
      <c r="X256">
        <f>IF(Source!BI173=2,G256, 0)</f>
        <v>0</v>
      </c>
      <c r="Y256">
        <f>IF(Source!BI173=3,G256, 0)</f>
        <v>0</v>
      </c>
      <c r="Z256">
        <f>IF(Source!BI173=4,G256, 0)</f>
        <v>0</v>
      </c>
    </row>
    <row r="257" spans="1:26" ht="28.5" x14ac:dyDescent="0.2">
      <c r="A257" s="28" t="str">
        <f>Source!E174</f>
        <v>35</v>
      </c>
      <c r="B257" s="29" t="str">
        <f>Source!F174</f>
        <v>204-0003</v>
      </c>
      <c r="C257" s="15" t="str">
        <f>Source!G174</f>
        <v>Горячекатаная арматурная сталь гладкая класса А-I, диаметром 10 мм</v>
      </c>
      <c r="D257" s="31" t="str">
        <f>Source!H174</f>
        <v>т</v>
      </c>
      <c r="E257" s="10">
        <f>Source!I174</f>
        <v>5.169E-3</v>
      </c>
      <c r="F257" s="22">
        <f>IF(Source!AK174&lt;&gt; 0, Source!AK174,Source!AL174 + Source!AM174 + Source!AO174)</f>
        <v>6813</v>
      </c>
      <c r="G257" s="16"/>
      <c r="H257" s="22"/>
      <c r="I257" s="16" t="str">
        <f>Source!BO174</f>
        <v>204-0003</v>
      </c>
      <c r="J257" s="16"/>
      <c r="K257" s="22"/>
      <c r="L257" s="32"/>
      <c r="S257">
        <f>ROUND((Source!FX174/100)*((ROUND(Source!AF174*Source!I174, 2)+ROUND(Source!AE174*Source!I174, 2))), 2)</f>
        <v>0</v>
      </c>
      <c r="T257">
        <f>Source!X174</f>
        <v>0</v>
      </c>
      <c r="U257">
        <f>ROUND((Source!FY174/100)*((ROUND(Source!AF174*Source!I174, 2)+ROUND(Source!AE174*Source!I174, 2))), 2)</f>
        <v>0</v>
      </c>
      <c r="V257">
        <f>Source!Y174</f>
        <v>0</v>
      </c>
    </row>
    <row r="258" spans="1:26" ht="14.25" x14ac:dyDescent="0.2">
      <c r="A258" s="38"/>
      <c r="B258" s="39"/>
      <c r="C258" s="40" t="s">
        <v>582</v>
      </c>
      <c r="D258" s="41"/>
      <c r="E258" s="42"/>
      <c r="F258" s="43">
        <f>Source!AL174</f>
        <v>6813</v>
      </c>
      <c r="G258" s="44" t="str">
        <f>Source!DD174</f>
        <v/>
      </c>
      <c r="H258" s="43">
        <f>ROUND(Source!AC174*Source!I174, 2)</f>
        <v>35.22</v>
      </c>
      <c r="I258" s="44"/>
      <c r="J258" s="44">
        <f>IF(Source!BC174&lt;&gt; 0, Source!BC174, 1)</f>
        <v>10.43</v>
      </c>
      <c r="K258" s="43">
        <f>Source!P174</f>
        <v>367.31</v>
      </c>
      <c r="L258" s="55"/>
    </row>
    <row r="259" spans="1:26" ht="15" x14ac:dyDescent="0.25">
      <c r="G259" s="96">
        <f>ROUND(Source!AC174*Source!I174, 2)+ROUND(Source!AF174*Source!I174, 2)+ROUND((((Source!ET174)-(Source!EU174))+Source!AE174)*Source!I174, 2)</f>
        <v>35.22</v>
      </c>
      <c r="H259" s="96"/>
      <c r="J259" s="96">
        <f>Source!O174</f>
        <v>367.31</v>
      </c>
      <c r="K259" s="96"/>
      <c r="L259" s="37">
        <f>Source!U174</f>
        <v>0</v>
      </c>
      <c r="O259" s="36">
        <f>G259</f>
        <v>35.22</v>
      </c>
      <c r="P259" s="36">
        <f>J259</f>
        <v>367.31</v>
      </c>
      <c r="Q259" s="36">
        <f>L259</f>
        <v>0</v>
      </c>
      <c r="W259">
        <f>IF(Source!BI174&lt;=1,G259, 0)</f>
        <v>35.22</v>
      </c>
      <c r="X259">
        <f>IF(Source!BI174=2,G259, 0)</f>
        <v>0</v>
      </c>
      <c r="Y259">
        <f>IF(Source!BI174=3,G259, 0)</f>
        <v>0</v>
      </c>
      <c r="Z259">
        <f>IF(Source!BI174=4,G259, 0)</f>
        <v>0</v>
      </c>
    </row>
    <row r="260" spans="1:26" ht="42.75" x14ac:dyDescent="0.2">
      <c r="A260" s="28" t="str">
        <f>Source!E175</f>
        <v>36</v>
      </c>
      <c r="B260" s="29" t="str">
        <f>Source!F175</f>
        <v>110-0318</v>
      </c>
      <c r="C260" s="15" t="str">
        <f>Source!G175</f>
        <v>Изоляторы линейные штыревые высоковольтные ШФ 20-Г (прим. Изолятор ШФ-20)</v>
      </c>
      <c r="D260" s="31" t="str">
        <f>Source!H175</f>
        <v>шт.</v>
      </c>
      <c r="E260" s="10">
        <f>Source!I175</f>
        <v>3</v>
      </c>
      <c r="F260" s="22">
        <f>IF(Source!AK175&lt;&gt; 0, Source!AK175,Source!AL175 + Source!AM175 + Source!AO175)</f>
        <v>43.95</v>
      </c>
      <c r="G260" s="16"/>
      <c r="H260" s="22"/>
      <c r="I260" s="16" t="str">
        <f>Source!BO175</f>
        <v>110-0318</v>
      </c>
      <c r="J260" s="16"/>
      <c r="K260" s="22"/>
      <c r="L260" s="32"/>
      <c r="S260">
        <f>ROUND((Source!FX175/100)*((ROUND(Source!AF175*Source!I175, 2)+ROUND(Source!AE175*Source!I175, 2))), 2)</f>
        <v>0</v>
      </c>
      <c r="T260">
        <f>Source!X175</f>
        <v>0</v>
      </c>
      <c r="U260">
        <f>ROUND((Source!FY175/100)*((ROUND(Source!AF175*Source!I175, 2)+ROUND(Source!AE175*Source!I175, 2))), 2)</f>
        <v>0</v>
      </c>
      <c r="V260">
        <f>Source!Y175</f>
        <v>0</v>
      </c>
    </row>
    <row r="261" spans="1:26" ht="14.25" x14ac:dyDescent="0.2">
      <c r="A261" s="38"/>
      <c r="B261" s="39"/>
      <c r="C261" s="40" t="s">
        <v>582</v>
      </c>
      <c r="D261" s="41"/>
      <c r="E261" s="42"/>
      <c r="F261" s="43">
        <f>Source!AL175</f>
        <v>43.95</v>
      </c>
      <c r="G261" s="44" t="str">
        <f>Source!DD175</f>
        <v/>
      </c>
      <c r="H261" s="43">
        <f>ROUND(Source!AC175*Source!I175, 2)</f>
        <v>131.85</v>
      </c>
      <c r="I261" s="44"/>
      <c r="J261" s="44">
        <f>IF(Source!BC175&lt;&gt; 0, Source!BC175, 1)</f>
        <v>6.63</v>
      </c>
      <c r="K261" s="43">
        <f>Source!P175</f>
        <v>874.17</v>
      </c>
      <c r="L261" s="55"/>
    </row>
    <row r="262" spans="1:26" ht="15" x14ac:dyDescent="0.25">
      <c r="G262" s="96">
        <f>ROUND(Source!AC175*Source!I175, 2)+ROUND(Source!AF175*Source!I175, 2)+ROUND((((Source!ET175)-(Source!EU175))+Source!AE175)*Source!I175, 2)</f>
        <v>131.85</v>
      </c>
      <c r="H262" s="96"/>
      <c r="J262" s="96">
        <f>Source!O175</f>
        <v>874.17</v>
      </c>
      <c r="K262" s="96"/>
      <c r="L262" s="37">
        <f>Source!U175</f>
        <v>0</v>
      </c>
      <c r="O262" s="36">
        <f>G262</f>
        <v>131.85</v>
      </c>
      <c r="P262" s="36">
        <f>J262</f>
        <v>874.17</v>
      </c>
      <c r="Q262" s="36">
        <f>L262</f>
        <v>0</v>
      </c>
      <c r="W262">
        <f>IF(Source!BI175&lt;=1,G262, 0)</f>
        <v>131.85</v>
      </c>
      <c r="X262">
        <f>IF(Source!BI175=2,G262, 0)</f>
        <v>0</v>
      </c>
      <c r="Y262">
        <f>IF(Source!BI175=3,G262, 0)</f>
        <v>0</v>
      </c>
      <c r="Z262">
        <f>IF(Source!BI175=4,G262, 0)</f>
        <v>0</v>
      </c>
    </row>
    <row r="263" spans="1:26" ht="41.25" x14ac:dyDescent="0.2">
      <c r="A263" s="28" t="str">
        <f>Source!E176</f>
        <v>37</v>
      </c>
      <c r="B263" s="29" t="str">
        <f>Source!F176</f>
        <v>Прайс-лист</v>
      </c>
      <c r="C263" s="15" t="s">
        <v>585</v>
      </c>
      <c r="D263" s="31" t="str">
        <f>Source!H176</f>
        <v>компл.</v>
      </c>
      <c r="E263" s="10">
        <f>Source!I176</f>
        <v>1</v>
      </c>
      <c r="F263" s="22">
        <f>IF(Source!AK176&lt;&gt; 0, Source!AK176,Source!AL176 + Source!AM176 + Source!AO176)</f>
        <v>10416.67</v>
      </c>
      <c r="G263" s="16"/>
      <c r="H263" s="22"/>
      <c r="I263" s="16" t="str">
        <f>Source!BO176</f>
        <v/>
      </c>
      <c r="J263" s="16"/>
      <c r="K263" s="22"/>
      <c r="L263" s="32"/>
      <c r="S263">
        <f>ROUND((Source!FX176/100)*((ROUND(Source!AF176*Source!I176, 2)+ROUND(Source!AE176*Source!I176, 2))), 2)</f>
        <v>0</v>
      </c>
      <c r="T263">
        <f>Source!X176</f>
        <v>0</v>
      </c>
      <c r="U263">
        <f>ROUND((Source!FY176/100)*((ROUND(Source!AF176*Source!I176, 2)+ROUND(Source!AE176*Source!I176, 2))), 2)</f>
        <v>0</v>
      </c>
      <c r="V263">
        <f>Source!Y176</f>
        <v>0</v>
      </c>
    </row>
    <row r="264" spans="1:26" ht="14.25" x14ac:dyDescent="0.2">
      <c r="A264" s="38"/>
      <c r="B264" s="39"/>
      <c r="C264" s="40" t="s">
        <v>582</v>
      </c>
      <c r="D264" s="41"/>
      <c r="E264" s="42"/>
      <c r="F264" s="43">
        <f>Source!AL176</f>
        <v>10416.67</v>
      </c>
      <c r="G264" s="44" t="str">
        <f>Source!DD176</f>
        <v/>
      </c>
      <c r="H264" s="43">
        <f>ROUND(Source!AC176*Source!I176, 2)</f>
        <v>10416.67</v>
      </c>
      <c r="I264" s="44"/>
      <c r="J264" s="44">
        <f>IF(Source!BC176&lt;&gt; 0, Source!BC176, 1)</f>
        <v>1</v>
      </c>
      <c r="K264" s="43">
        <f>Source!P176</f>
        <v>10416.67</v>
      </c>
      <c r="L264" s="55"/>
    </row>
    <row r="265" spans="1:26" ht="15" x14ac:dyDescent="0.25">
      <c r="G265" s="96">
        <f>ROUND(Source!AC176*Source!I176, 2)+ROUND(Source!AF176*Source!I176, 2)+ROUND((((Source!ET176)-(Source!EU176))+Source!AE176)*Source!I176, 2)</f>
        <v>10416.67</v>
      </c>
      <c r="H265" s="96"/>
      <c r="J265" s="96">
        <f>Source!O176</f>
        <v>10416.67</v>
      </c>
      <c r="K265" s="96"/>
      <c r="L265" s="37">
        <f>Source!U176</f>
        <v>0</v>
      </c>
      <c r="O265" s="36">
        <f>G265</f>
        <v>10416.67</v>
      </c>
      <c r="P265" s="36">
        <f>J265</f>
        <v>10416.67</v>
      </c>
      <c r="Q265" s="36">
        <f>L265</f>
        <v>0</v>
      </c>
      <c r="W265">
        <f>IF(Source!BI176&lt;=1,G265, 0)</f>
        <v>10416.67</v>
      </c>
      <c r="X265">
        <f>IF(Source!BI176=2,G265, 0)</f>
        <v>0</v>
      </c>
      <c r="Y265">
        <f>IF(Source!BI176=3,G265, 0)</f>
        <v>0</v>
      </c>
      <c r="Z265">
        <f>IF(Source!BI176=4,G265, 0)</f>
        <v>0</v>
      </c>
    </row>
    <row r="266" spans="1:26" ht="69.75" x14ac:dyDescent="0.2">
      <c r="A266" s="28" t="str">
        <f>Source!E177</f>
        <v>38</v>
      </c>
      <c r="B266" s="29" t="str">
        <f>Source!F177</f>
        <v>Прайс-лист</v>
      </c>
      <c r="C266" s="15" t="s">
        <v>586</v>
      </c>
      <c r="D266" s="31" t="str">
        <f>Source!H177</f>
        <v>компл.</v>
      </c>
      <c r="E266" s="10">
        <f>Source!I177</f>
        <v>1</v>
      </c>
      <c r="F266" s="22">
        <f>IF(Source!AK177&lt;&gt; 0, Source!AK177,Source!AL177 + Source!AM177 + Source!AO177)</f>
        <v>10000</v>
      </c>
      <c r="G266" s="16"/>
      <c r="H266" s="22"/>
      <c r="I266" s="16" t="str">
        <f>Source!BO177</f>
        <v/>
      </c>
      <c r="J266" s="16"/>
      <c r="K266" s="22"/>
      <c r="L266" s="32"/>
      <c r="S266">
        <f>ROUND((Source!FX177/100)*((ROUND(Source!AF177*Source!I177, 2)+ROUND(Source!AE177*Source!I177, 2))), 2)</f>
        <v>0</v>
      </c>
      <c r="T266">
        <f>Source!X177</f>
        <v>0</v>
      </c>
      <c r="U266">
        <f>ROUND((Source!FY177/100)*((ROUND(Source!AF177*Source!I177, 2)+ROUND(Source!AE177*Source!I177, 2))), 2)</f>
        <v>0</v>
      </c>
      <c r="V266">
        <f>Source!Y177</f>
        <v>0</v>
      </c>
    </row>
    <row r="267" spans="1:26" ht="14.25" x14ac:dyDescent="0.2">
      <c r="A267" s="38"/>
      <c r="B267" s="39"/>
      <c r="C267" s="40" t="s">
        <v>582</v>
      </c>
      <c r="D267" s="41"/>
      <c r="E267" s="42"/>
      <c r="F267" s="43">
        <f>Source!AL177</f>
        <v>10000</v>
      </c>
      <c r="G267" s="44" t="str">
        <f>Source!DD177</f>
        <v/>
      </c>
      <c r="H267" s="43">
        <f>ROUND(Source!AC177*Source!I177, 2)</f>
        <v>10000</v>
      </c>
      <c r="I267" s="44"/>
      <c r="J267" s="44">
        <f>IF(Source!BC177&lt;&gt; 0, Source!BC177, 1)</f>
        <v>1</v>
      </c>
      <c r="K267" s="43">
        <f>Source!P177</f>
        <v>10000</v>
      </c>
      <c r="L267" s="55"/>
    </row>
    <row r="268" spans="1:26" ht="15" x14ac:dyDescent="0.25">
      <c r="G268" s="96">
        <f>ROUND(Source!AC177*Source!I177, 2)+ROUND(Source!AF177*Source!I177, 2)+ROUND((((Source!ET177)-(Source!EU177))+Source!AE177)*Source!I177, 2)</f>
        <v>10000</v>
      </c>
      <c r="H268" s="96"/>
      <c r="J268" s="96">
        <f>Source!O177</f>
        <v>10000</v>
      </c>
      <c r="K268" s="96"/>
      <c r="L268" s="37">
        <f>Source!U177</f>
        <v>0</v>
      </c>
      <c r="O268" s="36">
        <f>G268</f>
        <v>10000</v>
      </c>
      <c r="P268" s="36">
        <f>J268</f>
        <v>10000</v>
      </c>
      <c r="Q268" s="36">
        <f>L268</f>
        <v>0</v>
      </c>
      <c r="W268">
        <f>IF(Source!BI177&lt;=1,G268, 0)</f>
        <v>10000</v>
      </c>
      <c r="X268">
        <f>IF(Source!BI177=2,G268, 0)</f>
        <v>0</v>
      </c>
      <c r="Y268">
        <f>IF(Source!BI177=3,G268, 0)</f>
        <v>0</v>
      </c>
      <c r="Z268">
        <f>IF(Source!BI177=4,G268, 0)</f>
        <v>0</v>
      </c>
    </row>
    <row r="269" spans="1:26" ht="57" x14ac:dyDescent="0.2">
      <c r="A269" s="28" t="str">
        <f>Source!E178</f>
        <v>39</v>
      </c>
      <c r="B269" s="29" t="str">
        <f>Source!F178</f>
        <v>502-0860</v>
      </c>
      <c r="C269" s="15" t="str">
        <f>Source!G178</f>
        <v>Провода самонесущие изолированные для воздушных линий электропередачи с алюминиевыми жилами марки СИП-3 1х70-20</v>
      </c>
      <c r="D269" s="31" t="str">
        <f>Source!H178</f>
        <v>1000 м</v>
      </c>
      <c r="E269" s="10">
        <f>Source!I178</f>
        <v>2.1000000000000001E-2</v>
      </c>
      <c r="F269" s="22">
        <f>IF(Source!AK178&lt;&gt; 0, Source!AK178,Source!AL178 + Source!AM178 + Source!AO178)</f>
        <v>23908.94</v>
      </c>
      <c r="G269" s="16"/>
      <c r="H269" s="22"/>
      <c r="I269" s="16" t="str">
        <f>Source!BO178</f>
        <v>502-0860</v>
      </c>
      <c r="J269" s="16"/>
      <c r="K269" s="22"/>
      <c r="L269" s="32"/>
      <c r="S269">
        <f>ROUND((Source!FX178/100)*((ROUND(Source!AF178*Source!I178, 2)+ROUND(Source!AE178*Source!I178, 2))), 2)</f>
        <v>0</v>
      </c>
      <c r="T269">
        <f>Source!X178</f>
        <v>0</v>
      </c>
      <c r="U269">
        <f>ROUND((Source!FY178/100)*((ROUND(Source!AF178*Source!I178, 2)+ROUND(Source!AE178*Source!I178, 2))), 2)</f>
        <v>0</v>
      </c>
      <c r="V269">
        <f>Source!Y178</f>
        <v>0</v>
      </c>
    </row>
    <row r="270" spans="1:26" x14ac:dyDescent="0.2">
      <c r="C270" s="46" t="str">
        <f>"Объем: "&amp;Source!I178&amp;"=21/"&amp;"1000"</f>
        <v>Объем: 0,021=21/1000</v>
      </c>
    </row>
    <row r="271" spans="1:26" ht="14.25" x14ac:dyDescent="0.2">
      <c r="A271" s="38"/>
      <c r="B271" s="39"/>
      <c r="C271" s="40" t="s">
        <v>582</v>
      </c>
      <c r="D271" s="41"/>
      <c r="E271" s="42"/>
      <c r="F271" s="43">
        <f>Source!AL178</f>
        <v>23908.94</v>
      </c>
      <c r="G271" s="44" t="str">
        <f>Source!DD178</f>
        <v/>
      </c>
      <c r="H271" s="43">
        <f>ROUND(Source!AC178*Source!I178, 2)</f>
        <v>502.09</v>
      </c>
      <c r="I271" s="44"/>
      <c r="J271" s="44">
        <f>IF(Source!BC178&lt;&gt; 0, Source!BC178, 1)</f>
        <v>3.78</v>
      </c>
      <c r="K271" s="43">
        <f>Source!P178</f>
        <v>1897.89</v>
      </c>
      <c r="L271" s="55"/>
    </row>
    <row r="272" spans="1:26" ht="15" x14ac:dyDescent="0.25">
      <c r="G272" s="96">
        <f>ROUND(Source!AC178*Source!I178, 2)+ROUND(Source!AF178*Source!I178, 2)+ROUND((((Source!ET178)-(Source!EU178))+Source!AE178)*Source!I178, 2)</f>
        <v>502.09</v>
      </c>
      <c r="H272" s="96"/>
      <c r="J272" s="96">
        <f>Source!O178</f>
        <v>1897.89</v>
      </c>
      <c r="K272" s="96"/>
      <c r="L272" s="37">
        <f>Source!U178</f>
        <v>0</v>
      </c>
      <c r="O272" s="36">
        <f>G272</f>
        <v>502.09</v>
      </c>
      <c r="P272" s="36">
        <f>J272</f>
        <v>1897.89</v>
      </c>
      <c r="Q272" s="36">
        <f>L272</f>
        <v>0</v>
      </c>
      <c r="W272">
        <f>IF(Source!BI178&lt;=1,G272, 0)</f>
        <v>0</v>
      </c>
      <c r="X272">
        <f>IF(Source!BI178=2,G272, 0)</f>
        <v>502.09</v>
      </c>
      <c r="Y272">
        <f>IF(Source!BI178=3,G272, 0)</f>
        <v>0</v>
      </c>
      <c r="Z272">
        <f>IF(Source!BI178=4,G272, 0)</f>
        <v>0</v>
      </c>
    </row>
    <row r="273" spans="1:28" ht="42.75" x14ac:dyDescent="0.2">
      <c r="A273" s="28" t="str">
        <f>Source!E179</f>
        <v>40</v>
      </c>
      <c r="B273" s="29" t="str">
        <f>Source!F179</f>
        <v>111-3249</v>
      </c>
      <c r="C273" s="15" t="str">
        <f>Source!G179</f>
        <v>Наконечник изолированный алюминиевый с медной клеммой (СИП) CPTAU 70</v>
      </c>
      <c r="D273" s="31" t="str">
        <f>Source!H179</f>
        <v>шт.</v>
      </c>
      <c r="E273" s="10">
        <f>Source!I179</f>
        <v>6</v>
      </c>
      <c r="F273" s="22">
        <f>IF(Source!AK179&lt;&gt; 0, Source!AK179,Source!AL179 + Source!AM179 + Source!AO179)</f>
        <v>57.83</v>
      </c>
      <c r="G273" s="16"/>
      <c r="H273" s="22"/>
      <c r="I273" s="16" t="str">
        <f>Source!BO179</f>
        <v>111-3249</v>
      </c>
      <c r="J273" s="16"/>
      <c r="K273" s="22"/>
      <c r="L273" s="32"/>
      <c r="S273">
        <f>ROUND((Source!FX179/100)*((ROUND(Source!AF179*Source!I179, 2)+ROUND(Source!AE179*Source!I179, 2))), 2)</f>
        <v>0</v>
      </c>
      <c r="T273">
        <f>Source!X179</f>
        <v>0</v>
      </c>
      <c r="U273">
        <f>ROUND((Source!FY179/100)*((ROUND(Source!AF179*Source!I179, 2)+ROUND(Source!AE179*Source!I179, 2))), 2)</f>
        <v>0</v>
      </c>
      <c r="V273">
        <f>Source!Y179</f>
        <v>0</v>
      </c>
    </row>
    <row r="274" spans="1:28" ht="14.25" x14ac:dyDescent="0.2">
      <c r="A274" s="38"/>
      <c r="B274" s="39"/>
      <c r="C274" s="40" t="s">
        <v>582</v>
      </c>
      <c r="D274" s="41"/>
      <c r="E274" s="42"/>
      <c r="F274" s="43">
        <f>Source!AL179</f>
        <v>57.83</v>
      </c>
      <c r="G274" s="44" t="str">
        <f>Source!DD179</f>
        <v/>
      </c>
      <c r="H274" s="43">
        <f>ROUND(Source!AC179*Source!I179, 2)</f>
        <v>346.98</v>
      </c>
      <c r="I274" s="44"/>
      <c r="J274" s="44">
        <f>IF(Source!BC179&lt;&gt; 0, Source!BC179, 1)</f>
        <v>10.95</v>
      </c>
      <c r="K274" s="43">
        <f>Source!P179</f>
        <v>3799.43</v>
      </c>
      <c r="L274" s="55"/>
    </row>
    <row r="275" spans="1:28" ht="15" x14ac:dyDescent="0.25">
      <c r="G275" s="96">
        <f>ROUND(Source!AC179*Source!I179, 2)+ROUND(Source!AF179*Source!I179, 2)+ROUND((((Source!ET179)-(Source!EU179))+Source!AE179)*Source!I179, 2)</f>
        <v>346.98</v>
      </c>
      <c r="H275" s="96"/>
      <c r="J275" s="96">
        <f>Source!O179</f>
        <v>3799.43</v>
      </c>
      <c r="K275" s="96"/>
      <c r="L275" s="37">
        <f>Source!U179</f>
        <v>0</v>
      </c>
      <c r="O275" s="36">
        <f>G275</f>
        <v>346.98</v>
      </c>
      <c r="P275" s="36">
        <f>J275</f>
        <v>3799.43</v>
      </c>
      <c r="Q275" s="36">
        <f>L275</f>
        <v>0</v>
      </c>
      <c r="W275">
        <f>IF(Source!BI179&lt;=1,G275, 0)</f>
        <v>346.98</v>
      </c>
      <c r="X275">
        <f>IF(Source!BI179=2,G275, 0)</f>
        <v>0</v>
      </c>
      <c r="Y275">
        <f>IF(Source!BI179=3,G275, 0)</f>
        <v>0</v>
      </c>
      <c r="Z275">
        <f>IF(Source!BI179=4,G275, 0)</f>
        <v>0</v>
      </c>
    </row>
    <row r="276" spans="1:28" ht="71.25" x14ac:dyDescent="0.2">
      <c r="A276" s="28" t="str">
        <f>Source!E180</f>
        <v>41</v>
      </c>
      <c r="B276" s="29" t="str">
        <f>Source!F180</f>
        <v>103-0015</v>
      </c>
      <c r="C276" s="15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D276" s="31" t="str">
        <f>Source!H180</f>
        <v>м</v>
      </c>
      <c r="E276" s="10">
        <f>Source!I180</f>
        <v>12</v>
      </c>
      <c r="F276" s="22">
        <f>IF(Source!AK180&lt;&gt; 0, Source!AK180,Source!AL180 + Source!AM180 + Source!AO180)</f>
        <v>20.79</v>
      </c>
      <c r="G276" s="16"/>
      <c r="H276" s="22"/>
      <c r="I276" s="16" t="str">
        <f>Source!BO180</f>
        <v>103-0015</v>
      </c>
      <c r="J276" s="16"/>
      <c r="K276" s="22"/>
      <c r="L276" s="32"/>
      <c r="S276">
        <f>ROUND((Source!FX180/100)*((ROUND(Source!AF180*Source!I180, 2)+ROUND(Source!AE180*Source!I180, 2))), 2)</f>
        <v>0</v>
      </c>
      <c r="T276">
        <f>Source!X180</f>
        <v>0</v>
      </c>
      <c r="U276">
        <f>ROUND((Source!FY180/100)*((ROUND(Source!AF180*Source!I180, 2)+ROUND(Source!AE180*Source!I180, 2))), 2)</f>
        <v>0</v>
      </c>
      <c r="V276">
        <f>Source!Y180</f>
        <v>0</v>
      </c>
    </row>
    <row r="277" spans="1:28" x14ac:dyDescent="0.2">
      <c r="C277" s="46" t="str">
        <f>"Объем: "&amp;Source!I180&amp;"=6*"&amp;"2"</f>
        <v>Объем: 12=6*2</v>
      </c>
    </row>
    <row r="278" spans="1:28" ht="14.25" x14ac:dyDescent="0.2">
      <c r="A278" s="38"/>
      <c r="B278" s="39"/>
      <c r="C278" s="40" t="s">
        <v>582</v>
      </c>
      <c r="D278" s="41"/>
      <c r="E278" s="42"/>
      <c r="F278" s="43">
        <f>Source!AL180</f>
        <v>20.79</v>
      </c>
      <c r="G278" s="44" t="str">
        <f>Source!DD180</f>
        <v/>
      </c>
      <c r="H278" s="43">
        <f>ROUND(Source!AC180*Source!I180, 2)</f>
        <v>249.48</v>
      </c>
      <c r="I278" s="44"/>
      <c r="J278" s="44">
        <f>IF(Source!BC180&lt;&gt; 0, Source!BC180, 1)</f>
        <v>9.93</v>
      </c>
      <c r="K278" s="43">
        <f>Source!P180</f>
        <v>2477.34</v>
      </c>
      <c r="L278" s="55"/>
    </row>
    <row r="279" spans="1:28" ht="15" x14ac:dyDescent="0.25">
      <c r="G279" s="96">
        <f>ROUND(Source!AC180*Source!I180, 2)+ROUND(Source!AF180*Source!I180, 2)+ROUND((((Source!ET180)-(Source!EU180))+Source!AE180)*Source!I180, 2)</f>
        <v>249.48</v>
      </c>
      <c r="H279" s="96"/>
      <c r="J279" s="96">
        <f>Source!O180</f>
        <v>2477.34</v>
      </c>
      <c r="K279" s="96"/>
      <c r="L279" s="37">
        <f>Source!U180</f>
        <v>0</v>
      </c>
      <c r="O279" s="36">
        <f>G279</f>
        <v>249.48</v>
      </c>
      <c r="P279" s="36">
        <f>J279</f>
        <v>2477.34</v>
      </c>
      <c r="Q279" s="36">
        <f>L279</f>
        <v>0</v>
      </c>
      <c r="W279">
        <f>IF(Source!BI180&lt;=1,G279, 0)</f>
        <v>249.48</v>
      </c>
      <c r="X279">
        <f>IF(Source!BI180=2,G279, 0)</f>
        <v>0</v>
      </c>
      <c r="Y279">
        <f>IF(Source!BI180=3,G279, 0)</f>
        <v>0</v>
      </c>
      <c r="Z279">
        <f>IF(Source!BI180=4,G279, 0)</f>
        <v>0</v>
      </c>
    </row>
    <row r="280" spans="1:28" ht="42.75" x14ac:dyDescent="0.2">
      <c r="A280" s="28" t="str">
        <f>Source!E181</f>
        <v>42</v>
      </c>
      <c r="B280" s="29" t="str">
        <f>Source!F181</f>
        <v>33-03-004-1</v>
      </c>
      <c r="C280" s="15" t="str">
        <f>Source!G181</f>
        <v>Забивка вертикальных заземлителей механизированная на глубину до 5 м</v>
      </c>
      <c r="D280" s="31" t="str">
        <f>Source!H181</f>
        <v>1 заземлитель</v>
      </c>
      <c r="E280" s="10">
        <f>Source!I181</f>
        <v>2</v>
      </c>
      <c r="F280" s="22">
        <f>IF(Source!AK181&lt;&gt; 0, Source!AK181,Source!AL181 + Source!AM181 + Source!AO181)</f>
        <v>140.05000000000001</v>
      </c>
      <c r="G280" s="16"/>
      <c r="H280" s="22"/>
      <c r="I280" s="16" t="str">
        <f>Source!BO181</f>
        <v>33-03-004-1</v>
      </c>
      <c r="J280" s="16"/>
      <c r="K280" s="22"/>
      <c r="L280" s="32"/>
      <c r="S280">
        <f>ROUND((Source!FX181/100)*((ROUND(Source!AF181*Source!I181, 2)+ROUND(Source!AE181*Source!I181, 2))), 2)</f>
        <v>24.49</v>
      </c>
      <c r="T280">
        <f>Source!X181</f>
        <v>863.88</v>
      </c>
      <c r="U280">
        <f>ROUND((Source!FY181/100)*((ROUND(Source!AF181*Source!I181, 2)+ROUND(Source!AE181*Source!I181, 2))), 2)</f>
        <v>14.27</v>
      </c>
      <c r="V280">
        <f>Source!Y181</f>
        <v>503.23</v>
      </c>
    </row>
    <row r="281" spans="1:28" ht="14.25" x14ac:dyDescent="0.2">
      <c r="A281" s="28"/>
      <c r="B281" s="29"/>
      <c r="C281" s="15" t="s">
        <v>575</v>
      </c>
      <c r="D281" s="31"/>
      <c r="E281" s="10"/>
      <c r="F281" s="22">
        <f>Source!AO181</f>
        <v>6.4</v>
      </c>
      <c r="G281" s="16" t="str">
        <f>Source!DG181</f>
        <v/>
      </c>
      <c r="H281" s="22">
        <f>ROUND(Source!AF181*Source!I181, 2)</f>
        <v>12.8</v>
      </c>
      <c r="I281" s="16"/>
      <c r="J281" s="16">
        <f>IF(Source!BA181&lt;&gt; 0, Source!BA181, 1)</f>
        <v>35.270000000000003</v>
      </c>
      <c r="K281" s="22">
        <f>Source!S181</f>
        <v>451.46</v>
      </c>
      <c r="L281" s="32"/>
      <c r="R281">
        <f>H281</f>
        <v>12.8</v>
      </c>
    </row>
    <row r="282" spans="1:28" ht="14.25" x14ac:dyDescent="0.2">
      <c r="A282" s="28"/>
      <c r="B282" s="29"/>
      <c r="C282" s="15" t="s">
        <v>59</v>
      </c>
      <c r="D282" s="31"/>
      <c r="E282" s="10"/>
      <c r="F282" s="22">
        <f>Source!AM181</f>
        <v>100.39</v>
      </c>
      <c r="G282" s="16" t="str">
        <f>Source!DE181</f>
        <v/>
      </c>
      <c r="H282" s="22">
        <f>ROUND((((Source!ET181)-(Source!EU181))+Source!AE181)*Source!I181, 2)</f>
        <v>200.78</v>
      </c>
      <c r="I282" s="16"/>
      <c r="J282" s="16">
        <f>IF(Source!BB181&lt;&gt; 0, Source!BB181, 1)</f>
        <v>9.14</v>
      </c>
      <c r="K282" s="22">
        <f>Source!Q181</f>
        <v>1835.13</v>
      </c>
      <c r="L282" s="32"/>
    </row>
    <row r="283" spans="1:28" ht="14.25" x14ac:dyDescent="0.2">
      <c r="A283" s="28"/>
      <c r="B283" s="29"/>
      <c r="C283" s="15" t="s">
        <v>576</v>
      </c>
      <c r="D283" s="31"/>
      <c r="E283" s="10"/>
      <c r="F283" s="22">
        <f>Source!AN181</f>
        <v>5.49</v>
      </c>
      <c r="G283" s="16" t="str">
        <f>Source!DF181</f>
        <v/>
      </c>
      <c r="H283" s="22">
        <f>ROUND(Source!AE181*Source!I181, 2)</f>
        <v>10.98</v>
      </c>
      <c r="I283" s="16"/>
      <c r="J283" s="16">
        <f>IF(Source!BS181&lt;&gt; 0, Source!BS181, 1)</f>
        <v>35.270000000000003</v>
      </c>
      <c r="K283" s="22">
        <f>Source!R181</f>
        <v>387.26</v>
      </c>
      <c r="L283" s="32"/>
      <c r="R283">
        <f>H283</f>
        <v>10.98</v>
      </c>
    </row>
    <row r="284" spans="1:28" ht="14.25" x14ac:dyDescent="0.2">
      <c r="A284" s="28"/>
      <c r="B284" s="29"/>
      <c r="C284" s="15" t="s">
        <v>582</v>
      </c>
      <c r="D284" s="31"/>
      <c r="E284" s="10"/>
      <c r="F284" s="22">
        <f>Source!AL181</f>
        <v>33.26</v>
      </c>
      <c r="G284" s="16" t="str">
        <f>Source!DD181</f>
        <v/>
      </c>
      <c r="H284" s="22">
        <f>ROUND(Source!AC181*Source!I181, 2)</f>
        <v>66.52</v>
      </c>
      <c r="I284" s="16"/>
      <c r="J284" s="16">
        <f>IF(Source!BC181&lt;&gt; 0, Source!BC181, 1)</f>
        <v>10.55</v>
      </c>
      <c r="K284" s="22">
        <f>Source!P181</f>
        <v>701.79</v>
      </c>
      <c r="L284" s="32"/>
    </row>
    <row r="285" spans="1:28" ht="14.25" x14ac:dyDescent="0.2">
      <c r="A285" s="28"/>
      <c r="B285" s="29"/>
      <c r="C285" s="15" t="s">
        <v>577</v>
      </c>
      <c r="D285" s="31" t="s">
        <v>578</v>
      </c>
      <c r="E285" s="10">
        <f>Source!BZ181</f>
        <v>103</v>
      </c>
      <c r="F285" s="33"/>
      <c r="G285" s="16"/>
      <c r="H285" s="22">
        <f>SUM(S280:S288)</f>
        <v>24.49</v>
      </c>
      <c r="I285" s="34"/>
      <c r="J285" s="15">
        <f>Source!AT181</f>
        <v>103</v>
      </c>
      <c r="K285" s="22">
        <f>SUM(T280:T288)</f>
        <v>863.88</v>
      </c>
      <c r="L285" s="32"/>
    </row>
    <row r="286" spans="1:28" ht="14.25" x14ac:dyDescent="0.2">
      <c r="A286" s="28"/>
      <c r="B286" s="29"/>
      <c r="C286" s="15" t="s">
        <v>579</v>
      </c>
      <c r="D286" s="31" t="s">
        <v>578</v>
      </c>
      <c r="E286" s="10">
        <f>Source!CA181</f>
        <v>60</v>
      </c>
      <c r="F286" s="33"/>
      <c r="G286" s="16"/>
      <c r="H286" s="22">
        <f>SUM(U280:U288)</f>
        <v>14.27</v>
      </c>
      <c r="I286" s="34"/>
      <c r="J286" s="15">
        <f>Source!AU181</f>
        <v>60</v>
      </c>
      <c r="K286" s="22">
        <f>SUM(V280:V288)</f>
        <v>503.23</v>
      </c>
      <c r="L286" s="32"/>
    </row>
    <row r="287" spans="1:28" ht="14.25" x14ac:dyDescent="0.2">
      <c r="A287" s="28"/>
      <c r="B287" s="29"/>
      <c r="C287" s="15" t="s">
        <v>580</v>
      </c>
      <c r="D287" s="31" t="s">
        <v>581</v>
      </c>
      <c r="E287" s="10">
        <f>Source!AQ181</f>
        <v>0.81</v>
      </c>
      <c r="F287" s="22"/>
      <c r="G287" s="16" t="str">
        <f>Source!DI181</f>
        <v/>
      </c>
      <c r="H287" s="22"/>
      <c r="I287" s="16"/>
      <c r="J287" s="16"/>
      <c r="K287" s="22"/>
      <c r="L287" s="35">
        <f>Source!U181</f>
        <v>1.62</v>
      </c>
    </row>
    <row r="288" spans="1:28" ht="42.75" x14ac:dyDescent="0.2">
      <c r="A288" s="50" t="str">
        <f>Source!E182</f>
        <v>42,1</v>
      </c>
      <c r="B288" s="50" t="str">
        <f>Source!F182</f>
        <v>204-0004</v>
      </c>
      <c r="C288" s="50" t="s">
        <v>584</v>
      </c>
      <c r="D288" s="51" t="str">
        <f>Source!H182</f>
        <v>т</v>
      </c>
      <c r="E288" s="52">
        <f>Source!I182</f>
        <v>-0.01</v>
      </c>
      <c r="F288" s="53">
        <f>Source!AK182</f>
        <v>6594</v>
      </c>
      <c r="G288" s="54" t="s">
        <v>3</v>
      </c>
      <c r="H288" s="53">
        <f>ROUND(Source!AC182*Source!I182, 2)+ROUND((((Source!ET182)-(Source!EU182))+Source!AE182)*Source!I182, 2)+ROUND(Source!AF182*Source!I182, 2)</f>
        <v>-65.94</v>
      </c>
      <c r="I288" s="51"/>
      <c r="J288" s="51">
        <f>IF(Source!BC182&lt;&gt; 0, Source!BC182, 1)</f>
        <v>10.53</v>
      </c>
      <c r="K288" s="53">
        <f>Source!O182</f>
        <v>-694.35</v>
      </c>
      <c r="L288" s="53"/>
      <c r="S288">
        <f>ROUND((Source!FX182/100)*((ROUND(Source!AF182*Source!I182, 2)+ROUND(Source!AE182*Source!I182, 2))), 2)</f>
        <v>0</v>
      </c>
      <c r="T288">
        <f>Source!X182</f>
        <v>0</v>
      </c>
      <c r="U288">
        <f>ROUND((Source!FY182/100)*((ROUND(Source!AF182*Source!I182, 2)+ROUND(Source!AE182*Source!I182, 2))), 2)</f>
        <v>0</v>
      </c>
      <c r="V288">
        <f>Source!Y182</f>
        <v>0</v>
      </c>
      <c r="Y288">
        <f>IF(Source!BI182=3,H288, 0)</f>
        <v>0</v>
      </c>
      <c r="AA288">
        <f>ROUND(Source!AC182*Source!I182, 2)+ROUND((((Source!ET182)-(Source!EU182))+Source!AE182)*Source!I182, 2)+ROUND(Source!AF182*Source!I182, 2)</f>
        <v>-65.94</v>
      </c>
      <c r="AB288">
        <f>Source!O182</f>
        <v>-694.35</v>
      </c>
    </row>
    <row r="289" spans="1:33" ht="15" x14ac:dyDescent="0.25">
      <c r="G289" s="96">
        <f>ROUND(Source!AC181*Source!I181, 2)+ROUND(Source!AF181*Source!I181, 2)+ROUND((((Source!ET181)-(Source!EU181))+Source!AE181)*Source!I181, 2)+SUM(H285:H286)+SUM(AA288:AA288)</f>
        <v>252.92000000000002</v>
      </c>
      <c r="H289" s="96"/>
      <c r="J289" s="96">
        <f>Source!O181+SUM(K285:K286)+SUM(AB288:AB288)</f>
        <v>3661.14</v>
      </c>
      <c r="K289" s="96"/>
      <c r="L289" s="37">
        <f>Source!U181</f>
        <v>1.62</v>
      </c>
      <c r="O289" s="36">
        <f>G289</f>
        <v>252.92000000000002</v>
      </c>
      <c r="P289" s="36">
        <f>J289</f>
        <v>3661.14</v>
      </c>
      <c r="Q289" s="36">
        <f>L289</f>
        <v>1.62</v>
      </c>
      <c r="W289">
        <f>IF(Source!BI181&lt;=1,G289, 0)</f>
        <v>252.92000000000002</v>
      </c>
      <c r="X289">
        <f>IF(Source!BI181=2,G289, 0)</f>
        <v>0</v>
      </c>
      <c r="Y289">
        <f>IF(Source!BI181=3,G289, 0)</f>
        <v>0</v>
      </c>
      <c r="Z289">
        <f>IF(Source!BI181=4,G289, 0)</f>
        <v>0</v>
      </c>
    </row>
    <row r="290" spans="1:33" ht="28.5" x14ac:dyDescent="0.2">
      <c r="A290" s="28" t="str">
        <f>Source!E183</f>
        <v>43</v>
      </c>
      <c r="B290" s="29" t="str">
        <f>Source!F183</f>
        <v>101-1641</v>
      </c>
      <c r="C290" s="15" t="str">
        <f>Source!G183</f>
        <v>Сталь угловая равнополочная, марка стали ВСт3кп2, размером 50x50x5 мм</v>
      </c>
      <c r="D290" s="31" t="str">
        <f>Source!H183</f>
        <v>т</v>
      </c>
      <c r="E290" s="10">
        <f>Source!I183</f>
        <v>1.1115E-2</v>
      </c>
      <c r="F290" s="22">
        <f>IF(Source!AK183&lt;&gt; 0, Source!AK183,Source!AL183 + Source!AM183 + Source!AO183)</f>
        <v>6074</v>
      </c>
      <c r="G290" s="16"/>
      <c r="H290" s="22"/>
      <c r="I290" s="16" t="str">
        <f>Source!BO183</f>
        <v>101-1641</v>
      </c>
      <c r="J290" s="16"/>
      <c r="K290" s="22"/>
      <c r="L290" s="32"/>
      <c r="S290">
        <f>ROUND((Source!FX183/100)*((ROUND(Source!AF183*Source!I183, 2)+ROUND(Source!AE183*Source!I183, 2))), 2)</f>
        <v>0</v>
      </c>
      <c r="T290">
        <f>Source!X183</f>
        <v>0</v>
      </c>
      <c r="U290">
        <f>ROUND((Source!FY183/100)*((ROUND(Source!AF183*Source!I183, 2)+ROUND(Source!AE183*Source!I183, 2))), 2)</f>
        <v>0</v>
      </c>
      <c r="V290">
        <f>Source!Y183</f>
        <v>0</v>
      </c>
    </row>
    <row r="291" spans="1:33" ht="14.25" x14ac:dyDescent="0.2">
      <c r="A291" s="38"/>
      <c r="B291" s="39"/>
      <c r="C291" s="40" t="s">
        <v>582</v>
      </c>
      <c r="D291" s="41"/>
      <c r="E291" s="42"/>
      <c r="F291" s="43">
        <f>Source!AL183</f>
        <v>6074</v>
      </c>
      <c r="G291" s="44" t="str">
        <f>Source!DD183</f>
        <v/>
      </c>
      <c r="H291" s="43">
        <f>ROUND(Source!AC183*Source!I183, 2)</f>
        <v>67.510000000000005</v>
      </c>
      <c r="I291" s="44"/>
      <c r="J291" s="44">
        <f>IF(Source!BC183&lt;&gt; 0, Source!BC183, 1)</f>
        <v>13.67</v>
      </c>
      <c r="K291" s="43">
        <f>Source!P183</f>
        <v>922.9</v>
      </c>
      <c r="L291" s="55"/>
    </row>
    <row r="292" spans="1:33" ht="15" x14ac:dyDescent="0.25">
      <c r="G292" s="96">
        <f>ROUND(Source!AC183*Source!I183, 2)+ROUND(Source!AF183*Source!I183, 2)+ROUND((((Source!ET183)-(Source!EU183))+Source!AE183)*Source!I183, 2)</f>
        <v>67.510000000000005</v>
      </c>
      <c r="H292" s="96"/>
      <c r="J292" s="96">
        <f>Source!O183</f>
        <v>922.9</v>
      </c>
      <c r="K292" s="96"/>
      <c r="L292" s="37">
        <f>Source!U183</f>
        <v>0</v>
      </c>
      <c r="O292" s="36">
        <f>G292</f>
        <v>67.510000000000005</v>
      </c>
      <c r="P292" s="36">
        <f>J292</f>
        <v>922.9</v>
      </c>
      <c r="Q292" s="36">
        <f>L292</f>
        <v>0</v>
      </c>
      <c r="W292">
        <f>IF(Source!BI183&lt;=1,G292, 0)</f>
        <v>67.510000000000005</v>
      </c>
      <c r="X292">
        <f>IF(Source!BI183=2,G292, 0)</f>
        <v>0</v>
      </c>
      <c r="Y292">
        <f>IF(Source!BI183=3,G292, 0)</f>
        <v>0</v>
      </c>
      <c r="Z292">
        <f>IF(Source!BI183=4,G292, 0)</f>
        <v>0</v>
      </c>
    </row>
    <row r="293" spans="1:33" ht="42.75" x14ac:dyDescent="0.2">
      <c r="A293" s="28" t="str">
        <f>Source!E184</f>
        <v>44</v>
      </c>
      <c r="B293" s="29" t="str">
        <f>Source!F184</f>
        <v>м08-02-144-5</v>
      </c>
      <c r="C293" s="15" t="str">
        <f>Source!G184</f>
        <v>Присоединение к зажимам жил проводов или кабелей сечением до 70 мм2</v>
      </c>
      <c r="D293" s="31" t="str">
        <f>Source!H184</f>
        <v>100 шт.</v>
      </c>
      <c r="E293" s="10">
        <f>Source!I184</f>
        <v>0.03</v>
      </c>
      <c r="F293" s="22">
        <f>IF(Source!AK184&lt;&gt; 0, Source!AK184,Source!AL184 + Source!AM184 + Source!AO184)</f>
        <v>138.65</v>
      </c>
      <c r="G293" s="16"/>
      <c r="H293" s="22"/>
      <c r="I293" s="16" t="str">
        <f>Source!BO184</f>
        <v>м08-02-144-5</v>
      </c>
      <c r="J293" s="16"/>
      <c r="K293" s="22"/>
      <c r="L293" s="32"/>
      <c r="S293">
        <f>ROUND((Source!FX184/100)*((ROUND(Source!AF184*Source!I184, 2)+ROUND(Source!AE184*Source!I184, 2))), 2)</f>
        <v>3.96</v>
      </c>
      <c r="T293">
        <f>Source!X184</f>
        <v>139.52000000000001</v>
      </c>
      <c r="U293">
        <f>ROUND((Source!FY184/100)*((ROUND(Source!AF184*Source!I184, 2)+ROUND(Source!AE184*Source!I184, 2))), 2)</f>
        <v>2.08</v>
      </c>
      <c r="V293">
        <f>Source!Y184</f>
        <v>73.349999999999994</v>
      </c>
    </row>
    <row r="294" spans="1:33" x14ac:dyDescent="0.2">
      <c r="C294" s="46" t="str">
        <f>"Объем: "&amp;Source!I184&amp;"=3/"&amp;"100"</f>
        <v>Объем: 0,03=3/100</v>
      </c>
    </row>
    <row r="295" spans="1:33" ht="14.25" x14ac:dyDescent="0.2">
      <c r="A295" s="28"/>
      <c r="B295" s="29"/>
      <c r="C295" s="15" t="s">
        <v>575</v>
      </c>
      <c r="D295" s="31"/>
      <c r="E295" s="10"/>
      <c r="F295" s="22">
        <f>Source!AO184</f>
        <v>135.93</v>
      </c>
      <c r="G295" s="16" t="str">
        <f>Source!DG184</f>
        <v/>
      </c>
      <c r="H295" s="22">
        <f>ROUND(Source!AF184*Source!I184, 2)</f>
        <v>4.08</v>
      </c>
      <c r="I295" s="16"/>
      <c r="J295" s="16">
        <f>IF(Source!BA184&lt;&gt; 0, Source!BA184, 1)</f>
        <v>35.270000000000003</v>
      </c>
      <c r="K295" s="22">
        <f>Source!S184</f>
        <v>143.83000000000001</v>
      </c>
      <c r="L295" s="32"/>
      <c r="R295">
        <f>H295</f>
        <v>4.08</v>
      </c>
    </row>
    <row r="296" spans="1:33" ht="14.25" x14ac:dyDescent="0.2">
      <c r="A296" s="28"/>
      <c r="B296" s="29"/>
      <c r="C296" s="15" t="s">
        <v>582</v>
      </c>
      <c r="D296" s="31"/>
      <c r="E296" s="10"/>
      <c r="F296" s="22">
        <f>Source!AL184</f>
        <v>2.72</v>
      </c>
      <c r="G296" s="16" t="str">
        <f>Source!DD184</f>
        <v/>
      </c>
      <c r="H296" s="22">
        <f>ROUND(Source!AC184*Source!I184, 2)</f>
        <v>0.08</v>
      </c>
      <c r="I296" s="16"/>
      <c r="J296" s="16">
        <f>IF(Source!BC184&lt;&gt; 0, Source!BC184, 1)</f>
        <v>35.25</v>
      </c>
      <c r="K296" s="22">
        <f>Source!P184</f>
        <v>2.88</v>
      </c>
      <c r="L296" s="32"/>
    </row>
    <row r="297" spans="1:33" ht="14.25" x14ac:dyDescent="0.2">
      <c r="A297" s="28"/>
      <c r="B297" s="29"/>
      <c r="C297" s="15" t="s">
        <v>577</v>
      </c>
      <c r="D297" s="31" t="s">
        <v>578</v>
      </c>
      <c r="E297" s="10">
        <f>Source!BZ184</f>
        <v>97</v>
      </c>
      <c r="F297" s="33"/>
      <c r="G297" s="16"/>
      <c r="H297" s="22">
        <f>SUM(S293:S299)</f>
        <v>3.96</v>
      </c>
      <c r="I297" s="34"/>
      <c r="J297" s="15">
        <f>Source!AT184</f>
        <v>97</v>
      </c>
      <c r="K297" s="22">
        <f>SUM(T293:T299)</f>
        <v>139.52000000000001</v>
      </c>
      <c r="L297" s="32"/>
    </row>
    <row r="298" spans="1:33" ht="14.25" x14ac:dyDescent="0.2">
      <c r="A298" s="28"/>
      <c r="B298" s="29"/>
      <c r="C298" s="15" t="s">
        <v>579</v>
      </c>
      <c r="D298" s="31" t="s">
        <v>578</v>
      </c>
      <c r="E298" s="10">
        <f>Source!CA184</f>
        <v>51</v>
      </c>
      <c r="F298" s="33"/>
      <c r="G298" s="16"/>
      <c r="H298" s="22">
        <f>SUM(U293:U299)</f>
        <v>2.08</v>
      </c>
      <c r="I298" s="34"/>
      <c r="J298" s="15">
        <f>Source!AU184</f>
        <v>51</v>
      </c>
      <c r="K298" s="22">
        <f>SUM(V293:V299)</f>
        <v>73.349999999999994</v>
      </c>
      <c r="L298" s="32"/>
    </row>
    <row r="299" spans="1:33" ht="14.25" x14ac:dyDescent="0.2">
      <c r="A299" s="38"/>
      <c r="B299" s="39"/>
      <c r="C299" s="40" t="s">
        <v>580</v>
      </c>
      <c r="D299" s="41" t="s">
        <v>581</v>
      </c>
      <c r="E299" s="42">
        <f>Source!AQ184</f>
        <v>15.12</v>
      </c>
      <c r="F299" s="43"/>
      <c r="G299" s="44" t="str">
        <f>Source!DI184</f>
        <v/>
      </c>
      <c r="H299" s="43"/>
      <c r="I299" s="44"/>
      <c r="J299" s="44"/>
      <c r="K299" s="43"/>
      <c r="L299" s="45">
        <f>Source!U184</f>
        <v>0.45359999999999995</v>
      </c>
    </row>
    <row r="300" spans="1:33" ht="15" x14ac:dyDescent="0.25">
      <c r="G300" s="96">
        <f>ROUND(Source!AC184*Source!I184, 2)+ROUND(Source!AF184*Source!I184, 2)+ROUND((((Source!ET184)-(Source!EU184))+Source!AE184)*Source!I184, 2)+SUM(H297:H298)</f>
        <v>10.199999999999999</v>
      </c>
      <c r="H300" s="96"/>
      <c r="J300" s="96">
        <f>Source!O184+SUM(K297:K298)</f>
        <v>359.58000000000004</v>
      </c>
      <c r="K300" s="96"/>
      <c r="L300" s="37">
        <f>Source!U184</f>
        <v>0.45359999999999995</v>
      </c>
      <c r="O300" s="36">
        <f>G300</f>
        <v>10.199999999999999</v>
      </c>
      <c r="P300" s="36">
        <f>J300</f>
        <v>359.58000000000004</v>
      </c>
      <c r="Q300" s="36">
        <f>L300</f>
        <v>0.45359999999999995</v>
      </c>
      <c r="W300">
        <f>IF(Source!BI184&lt;=1,G300, 0)</f>
        <v>0</v>
      </c>
      <c r="X300">
        <f>IF(Source!BI184=2,G300, 0)</f>
        <v>10.199999999999999</v>
      </c>
      <c r="Y300">
        <f>IF(Source!BI184=3,G300, 0)</f>
        <v>0</v>
      </c>
      <c r="Z300">
        <f>IF(Source!BI184=4,G300, 0)</f>
        <v>0</v>
      </c>
    </row>
    <row r="302" spans="1:33" ht="15" x14ac:dyDescent="0.25">
      <c r="A302" s="95" t="str">
        <f>CONCATENATE("Итого по разделу: ", Source!G186)</f>
        <v>Итого по разделу: Монтаж разъединителя</v>
      </c>
      <c r="B302" s="95"/>
      <c r="C302" s="95"/>
      <c r="D302" s="95"/>
      <c r="E302" s="95"/>
      <c r="F302" s="95"/>
      <c r="G302" s="96">
        <f>SUM(O231:O301)</f>
        <v>22928.559999999998</v>
      </c>
      <c r="H302" s="87"/>
      <c r="I302" s="47"/>
      <c r="J302" s="96">
        <f>SUM(P231:P301)</f>
        <v>53948.12</v>
      </c>
      <c r="K302" s="87"/>
      <c r="L302" s="37">
        <f>SUM(Q231:Q301)</f>
        <v>11.573051999999999</v>
      </c>
      <c r="AG302" s="48" t="str">
        <f>CONCATENATE("Итого по разделу: ", Source!G186)</f>
        <v>Итого по разделу: Монтаж разъединителя</v>
      </c>
    </row>
    <row r="304" spans="1:33" ht="14.25" x14ac:dyDescent="0.2">
      <c r="C304" s="15" t="str">
        <f>Source!H215</f>
        <v>ОЗП</v>
      </c>
      <c r="J304" s="88">
        <f>Source!F215</f>
        <v>3724.48</v>
      </c>
      <c r="K304" s="88"/>
    </row>
    <row r="305" spans="1:39" ht="14.25" x14ac:dyDescent="0.2">
      <c r="C305" s="15" t="str">
        <f>Source!H216</f>
        <v>ЭММ, в т.ч. ЗПМ</v>
      </c>
      <c r="J305" s="88">
        <f>Source!F216</f>
        <v>3456.76</v>
      </c>
      <c r="K305" s="88"/>
    </row>
    <row r="306" spans="1:39" ht="14.25" x14ac:dyDescent="0.2">
      <c r="C306" s="15" t="str">
        <f>Source!H217</f>
        <v>ЗПМ (справочно)</v>
      </c>
      <c r="J306" s="88">
        <f>Source!F217</f>
        <v>685.89</v>
      </c>
      <c r="K306" s="88"/>
    </row>
    <row r="307" spans="1:39" ht="14.25" x14ac:dyDescent="0.2">
      <c r="C307" s="15" t="str">
        <f>Source!H218</f>
        <v>Стоимость материалов</v>
      </c>
      <c r="J307" s="88">
        <f>Source!F218</f>
        <v>39669.120000000003</v>
      </c>
      <c r="K307" s="88"/>
    </row>
    <row r="308" spans="1:39" ht="14.25" x14ac:dyDescent="0.2">
      <c r="C308" s="15" t="str">
        <f>Source!H219</f>
        <v>НР</v>
      </c>
      <c r="J308" s="88">
        <f>Source!F219</f>
        <v>4506.2299999999996</v>
      </c>
      <c r="K308" s="88"/>
    </row>
    <row r="309" spans="1:39" ht="14.25" x14ac:dyDescent="0.2">
      <c r="C309" s="15" t="str">
        <f>Source!H220</f>
        <v>СП</v>
      </c>
      <c r="J309" s="88">
        <f>Source!F220</f>
        <v>2591.5300000000002</v>
      </c>
      <c r="K309" s="88"/>
    </row>
    <row r="310" spans="1:39" ht="14.25" x14ac:dyDescent="0.2">
      <c r="C310" s="15" t="str">
        <f>Source!H221</f>
        <v>Итого</v>
      </c>
      <c r="D310" s="99" t="str">
        <f>"="&amp;Source!F215&amp;"+"&amp;""&amp;Source!F216&amp;"+"&amp;""&amp;Source!F218&amp;"+"&amp;""&amp;Source!F219&amp;"+"&amp;""&amp;Source!F220&amp;""</f>
        <v>=3724,48+3456,76+39669,12+4506,23+2591,53</v>
      </c>
      <c r="E310" s="93"/>
      <c r="F310" s="93"/>
      <c r="G310" s="93"/>
      <c r="H310" s="93"/>
      <c r="I310" s="93"/>
      <c r="J310" s="88">
        <f>Source!F221</f>
        <v>53948.12</v>
      </c>
      <c r="K310" s="88"/>
      <c r="AM310" s="49" t="str">
        <f>"="&amp;Source!F215&amp;"+"&amp;""&amp;Source!F216&amp;"+"&amp;""&amp;Source!F218&amp;"+"&amp;""&amp;Source!F219&amp;"+"&amp;""&amp;Source!F220&amp;""</f>
        <v>=3724,48+3456,76+39669,12+4506,23+2591,53</v>
      </c>
    </row>
    <row r="311" spans="1:39" ht="14.25" x14ac:dyDescent="0.2">
      <c r="C311" s="15" t="str">
        <f>Source!H222</f>
        <v>НДС 20%</v>
      </c>
      <c r="D311" s="99" t="str">
        <f>"="&amp;Source!F221&amp;"*"&amp;"0,2"</f>
        <v>=53948,12*0,2</v>
      </c>
      <c r="E311" s="93"/>
      <c r="F311" s="93"/>
      <c r="G311" s="93"/>
      <c r="H311" s="93"/>
      <c r="I311" s="93"/>
      <c r="J311" s="88">
        <f>Source!F222</f>
        <v>10789.62</v>
      </c>
      <c r="K311" s="88"/>
      <c r="AM311" s="49" t="str">
        <f>"="&amp;Source!F221&amp;"*"&amp;"0,2"</f>
        <v>=53948,12*0,2</v>
      </c>
    </row>
    <row r="312" spans="1:39" ht="14.25" x14ac:dyDescent="0.2">
      <c r="C312" s="15" t="str">
        <f>Source!H223</f>
        <v>Всего с НДС</v>
      </c>
      <c r="D312" s="99" t="str">
        <f>"="&amp;Source!F221&amp;"+"&amp;""&amp;Source!F222&amp;""</f>
        <v>=53948,12+10789,62</v>
      </c>
      <c r="E312" s="93"/>
      <c r="F312" s="93"/>
      <c r="G312" s="93"/>
      <c r="H312" s="93"/>
      <c r="I312" s="93"/>
      <c r="J312" s="88">
        <f>Source!F223</f>
        <v>64737.74</v>
      </c>
      <c r="K312" s="88"/>
      <c r="AM312" s="49" t="str">
        <f>"="&amp;Source!F221&amp;"+"&amp;""&amp;Source!F222&amp;""</f>
        <v>=53948,12+10789,62</v>
      </c>
    </row>
    <row r="315" spans="1:39" ht="16.5" x14ac:dyDescent="0.25">
      <c r="A315" s="98" t="str">
        <f>CONCATENATE("Раздел: ", Source!G225)</f>
        <v>Раздел: Подвеска провода</v>
      </c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AE315" s="27" t="str">
        <f>CONCATENATE("Раздел: ", Source!G225)</f>
        <v>Раздел: Подвеска провода</v>
      </c>
    </row>
    <row r="316" spans="1:39" ht="71.25" x14ac:dyDescent="0.2">
      <c r="A316" s="28" t="str">
        <f>Source!E229</f>
        <v>45</v>
      </c>
      <c r="B316" s="29" t="str">
        <f>Source!F229</f>
        <v>33-04-009-2</v>
      </c>
      <c r="C316" s="15" t="str">
        <f>Source!G229</f>
        <v>Подвеска проводов ВЛ 6-10 кВ в ненаселенной местности сечением свыше 35 мм2 с помощью механизмов</v>
      </c>
      <c r="D316" s="31" t="str">
        <f>Source!H229</f>
        <v>1 км линии (3 провода) при 10 опорах</v>
      </c>
      <c r="E316" s="10">
        <f>Source!I229</f>
        <v>4.2999999999999997E-2</v>
      </c>
      <c r="F316" s="22">
        <f>IF(Source!AK229&lt;&gt; 0, Source!AK229,Source!AL229 + Source!AM229 + Source!AO229)</f>
        <v>2096.8200000000002</v>
      </c>
      <c r="G316" s="16"/>
      <c r="H316" s="22"/>
      <c r="I316" s="16" t="str">
        <f>Source!BO229</f>
        <v>33-04-009-2</v>
      </c>
      <c r="J316" s="16"/>
      <c r="K316" s="22"/>
      <c r="L316" s="32"/>
      <c r="S316">
        <f>ROUND((Source!FX229/100)*((ROUND(Source!AF229*Source!I229, 2)+ROUND(Source!AE229*Source!I229, 2))), 2)</f>
        <v>25.51</v>
      </c>
      <c r="T316">
        <f>Source!X229</f>
        <v>899.65</v>
      </c>
      <c r="U316">
        <f>ROUND((Source!FY229/100)*((ROUND(Source!AF229*Source!I229, 2)+ROUND(Source!AE229*Source!I229, 2))), 2)</f>
        <v>14.86</v>
      </c>
      <c r="V316">
        <f>Source!Y229</f>
        <v>524.07000000000005</v>
      </c>
    </row>
    <row r="317" spans="1:39" x14ac:dyDescent="0.2">
      <c r="C317" s="46" t="str">
        <f>"Объем: "&amp;Source!I229&amp;"=43/"&amp;"1000"</f>
        <v>Объем: 0,043=43/1000</v>
      </c>
    </row>
    <row r="318" spans="1:39" ht="14.25" x14ac:dyDescent="0.2">
      <c r="A318" s="28"/>
      <c r="B318" s="29"/>
      <c r="C318" s="15" t="s">
        <v>575</v>
      </c>
      <c r="D318" s="31"/>
      <c r="E318" s="10"/>
      <c r="F318" s="22">
        <f>Source!AO229</f>
        <v>424.8</v>
      </c>
      <c r="G318" s="16" t="str">
        <f>Source!DG229</f>
        <v/>
      </c>
      <c r="H318" s="22">
        <f>ROUND(Source!AF229*Source!I229, 2)</f>
        <v>18.27</v>
      </c>
      <c r="I318" s="16"/>
      <c r="J318" s="16">
        <f>IF(Source!BA229&lt;&gt; 0, Source!BA229, 1)</f>
        <v>35.270000000000003</v>
      </c>
      <c r="K318" s="22">
        <f>Source!S229</f>
        <v>644.26</v>
      </c>
      <c r="L318" s="32"/>
      <c r="R318">
        <f>H318</f>
        <v>18.27</v>
      </c>
    </row>
    <row r="319" spans="1:39" ht="14.25" x14ac:dyDescent="0.2">
      <c r="A319" s="28"/>
      <c r="B319" s="29"/>
      <c r="C319" s="15" t="s">
        <v>59</v>
      </c>
      <c r="D319" s="31"/>
      <c r="E319" s="10"/>
      <c r="F319" s="22">
        <f>Source!AM229</f>
        <v>1338.74</v>
      </c>
      <c r="G319" s="16" t="str">
        <f>Source!DE229</f>
        <v/>
      </c>
      <c r="H319" s="22">
        <f>ROUND((((Source!ET229)-(Source!EU229))+Source!AE229)*Source!I229, 2)</f>
        <v>57.57</v>
      </c>
      <c r="I319" s="16"/>
      <c r="J319" s="16">
        <f>IF(Source!BB229&lt;&gt; 0, Source!BB229, 1)</f>
        <v>12.57</v>
      </c>
      <c r="K319" s="22">
        <f>Source!Q229</f>
        <v>723.6</v>
      </c>
      <c r="L319" s="32"/>
    </row>
    <row r="320" spans="1:39" ht="14.25" x14ac:dyDescent="0.2">
      <c r="A320" s="28"/>
      <c r="B320" s="29"/>
      <c r="C320" s="15" t="s">
        <v>576</v>
      </c>
      <c r="D320" s="31"/>
      <c r="E320" s="10"/>
      <c r="F320" s="22">
        <f>Source!AN229</f>
        <v>151.12</v>
      </c>
      <c r="G320" s="16" t="str">
        <f>Source!DF229</f>
        <v/>
      </c>
      <c r="H320" s="22">
        <f>ROUND(Source!AE229*Source!I229, 2)</f>
        <v>6.5</v>
      </c>
      <c r="I320" s="16"/>
      <c r="J320" s="16">
        <f>IF(Source!BS229&lt;&gt; 0, Source!BS229, 1)</f>
        <v>35.270000000000003</v>
      </c>
      <c r="K320" s="22">
        <f>Source!R229</f>
        <v>229.19</v>
      </c>
      <c r="L320" s="32"/>
      <c r="R320">
        <f>H320</f>
        <v>6.5</v>
      </c>
    </row>
    <row r="321" spans="1:33" ht="14.25" x14ac:dyDescent="0.2">
      <c r="A321" s="28"/>
      <c r="B321" s="29"/>
      <c r="C321" s="15" t="s">
        <v>582</v>
      </c>
      <c r="D321" s="31"/>
      <c r="E321" s="10"/>
      <c r="F321" s="22">
        <f>Source!AL229</f>
        <v>333.28</v>
      </c>
      <c r="G321" s="16" t="str">
        <f>Source!DD229</f>
        <v/>
      </c>
      <c r="H321" s="22">
        <f>ROUND(Source!AC229*Source!I229, 2)</f>
        <v>14.33</v>
      </c>
      <c r="I321" s="16"/>
      <c r="J321" s="16">
        <f>IF(Source!BC229&lt;&gt; 0, Source!BC229, 1)</f>
        <v>10.39</v>
      </c>
      <c r="K321" s="22">
        <f>Source!P229</f>
        <v>148.9</v>
      </c>
      <c r="L321" s="32"/>
    </row>
    <row r="322" spans="1:33" ht="14.25" x14ac:dyDescent="0.2">
      <c r="A322" s="28"/>
      <c r="B322" s="29"/>
      <c r="C322" s="15" t="s">
        <v>577</v>
      </c>
      <c r="D322" s="31" t="s">
        <v>578</v>
      </c>
      <c r="E322" s="10">
        <f>Source!BZ229</f>
        <v>103</v>
      </c>
      <c r="F322" s="33"/>
      <c r="G322" s="16"/>
      <c r="H322" s="22">
        <f>SUM(S316:S324)</f>
        <v>25.51</v>
      </c>
      <c r="I322" s="34"/>
      <c r="J322" s="15">
        <f>Source!AT229</f>
        <v>103</v>
      </c>
      <c r="K322" s="22">
        <f>SUM(T316:T324)</f>
        <v>899.65</v>
      </c>
      <c r="L322" s="32"/>
    </row>
    <row r="323" spans="1:33" ht="14.25" x14ac:dyDescent="0.2">
      <c r="A323" s="28"/>
      <c r="B323" s="29"/>
      <c r="C323" s="15" t="s">
        <v>579</v>
      </c>
      <c r="D323" s="31" t="s">
        <v>578</v>
      </c>
      <c r="E323" s="10">
        <f>Source!CA229</f>
        <v>60</v>
      </c>
      <c r="F323" s="33"/>
      <c r="G323" s="16"/>
      <c r="H323" s="22">
        <f>SUM(U316:U324)</f>
        <v>14.86</v>
      </c>
      <c r="I323" s="34"/>
      <c r="J323" s="15">
        <f>Source!AU229</f>
        <v>60</v>
      </c>
      <c r="K323" s="22">
        <f>SUM(V316:V324)</f>
        <v>524.07000000000005</v>
      </c>
      <c r="L323" s="32"/>
    </row>
    <row r="324" spans="1:33" ht="14.25" x14ac:dyDescent="0.2">
      <c r="A324" s="38"/>
      <c r="B324" s="39"/>
      <c r="C324" s="40" t="s">
        <v>580</v>
      </c>
      <c r="D324" s="41" t="s">
        <v>581</v>
      </c>
      <c r="E324" s="42">
        <f>Source!AQ229</f>
        <v>48.94</v>
      </c>
      <c r="F324" s="43"/>
      <c r="G324" s="44" t="str">
        <f>Source!DI229</f>
        <v/>
      </c>
      <c r="H324" s="43"/>
      <c r="I324" s="44"/>
      <c r="J324" s="44"/>
      <c r="K324" s="43"/>
      <c r="L324" s="45">
        <f>Source!U229</f>
        <v>2.1044199999999997</v>
      </c>
    </row>
    <row r="325" spans="1:33" ht="15" x14ac:dyDescent="0.25">
      <c r="G325" s="96">
        <f>ROUND(Source!AC229*Source!I229, 2)+ROUND(Source!AF229*Source!I229, 2)+ROUND((((Source!ET229)-(Source!EU229))+Source!AE229)*Source!I229, 2)+SUM(H322:H323)</f>
        <v>130.54000000000002</v>
      </c>
      <c r="H325" s="96"/>
      <c r="J325" s="96">
        <f>Source!O229+SUM(K322:K323)</f>
        <v>2940.48</v>
      </c>
      <c r="K325" s="96"/>
      <c r="L325" s="37">
        <f>Source!U229</f>
        <v>2.1044199999999997</v>
      </c>
      <c r="O325" s="36">
        <f>G325</f>
        <v>130.54000000000002</v>
      </c>
      <c r="P325" s="36">
        <f>J325</f>
        <v>2940.48</v>
      </c>
      <c r="Q325" s="36">
        <f>L325</f>
        <v>2.1044199999999997</v>
      </c>
      <c r="W325">
        <f>IF(Source!BI229&lt;=1,G325, 0)</f>
        <v>130.54000000000002</v>
      </c>
      <c r="X325">
        <f>IF(Source!BI229=2,G325, 0)</f>
        <v>0</v>
      </c>
      <c r="Y325">
        <f>IF(Source!BI229=3,G325, 0)</f>
        <v>0</v>
      </c>
      <c r="Z325">
        <f>IF(Source!BI229=4,G325, 0)</f>
        <v>0</v>
      </c>
    </row>
    <row r="326" spans="1:33" ht="28.5" x14ac:dyDescent="0.2">
      <c r="A326" s="28" t="str">
        <f>Source!E233</f>
        <v>46</v>
      </c>
      <c r="B326" s="29" t="str">
        <f>Source!F233</f>
        <v>509-5892</v>
      </c>
      <c r="C326" s="15" t="str">
        <f>Source!G233</f>
        <v>Зажим плашечный соединительный ПА 2-2</v>
      </c>
      <c r="D326" s="31" t="str">
        <f>Source!H233</f>
        <v>шт.</v>
      </c>
      <c r="E326" s="10">
        <f>Source!I233</f>
        <v>3</v>
      </c>
      <c r="F326" s="22">
        <f>IF(Source!AK233&lt;&gt; 0, Source!AK233,Source!AL233 + Source!AM233 + Source!AO233)</f>
        <v>6.89</v>
      </c>
      <c r="G326" s="16"/>
      <c r="H326" s="22"/>
      <c r="I326" s="16" t="str">
        <f>Source!BO233</f>
        <v>509-5892</v>
      </c>
      <c r="J326" s="16"/>
      <c r="K326" s="22"/>
      <c r="L326" s="32"/>
      <c r="S326">
        <f>ROUND((Source!FX233/100)*((ROUND(Source!AF233*Source!I233, 2)+ROUND(Source!AE233*Source!I233, 2))), 2)</f>
        <v>0</v>
      </c>
      <c r="T326">
        <f>Source!X233</f>
        <v>0</v>
      </c>
      <c r="U326">
        <f>ROUND((Source!FY233/100)*((ROUND(Source!AF233*Source!I233, 2)+ROUND(Source!AE233*Source!I233, 2))), 2)</f>
        <v>0</v>
      </c>
      <c r="V326">
        <f>Source!Y233</f>
        <v>0</v>
      </c>
    </row>
    <row r="327" spans="1:33" ht="14.25" x14ac:dyDescent="0.2">
      <c r="A327" s="38"/>
      <c r="B327" s="39"/>
      <c r="C327" s="40" t="s">
        <v>582</v>
      </c>
      <c r="D327" s="41"/>
      <c r="E327" s="42"/>
      <c r="F327" s="43">
        <f>Source!AL233</f>
        <v>6.89</v>
      </c>
      <c r="G327" s="44" t="str">
        <f>Source!DD233</f>
        <v/>
      </c>
      <c r="H327" s="43">
        <f>ROUND(Source!AC233*Source!I233, 2)</f>
        <v>20.67</v>
      </c>
      <c r="I327" s="44"/>
      <c r="J327" s="44">
        <f>IF(Source!BC233&lt;&gt; 0, Source!BC233, 1)</f>
        <v>10.73</v>
      </c>
      <c r="K327" s="43">
        <f>Source!P233</f>
        <v>221.79</v>
      </c>
      <c r="L327" s="55"/>
    </row>
    <row r="328" spans="1:33" ht="15" x14ac:dyDescent="0.25">
      <c r="G328" s="96">
        <f>ROUND(Source!AC233*Source!I233, 2)+ROUND(Source!AF233*Source!I233, 2)+ROUND((((Source!ET233)-(Source!EU233))+Source!AE233)*Source!I233, 2)</f>
        <v>20.67</v>
      </c>
      <c r="H328" s="96"/>
      <c r="J328" s="96">
        <f>Source!O233</f>
        <v>221.79</v>
      </c>
      <c r="K328" s="96"/>
      <c r="L328" s="37">
        <f>Source!U233</f>
        <v>0</v>
      </c>
      <c r="O328" s="36">
        <f>G328</f>
        <v>20.67</v>
      </c>
      <c r="P328" s="36">
        <f>J328</f>
        <v>221.79</v>
      </c>
      <c r="Q328" s="36">
        <f>L328</f>
        <v>0</v>
      </c>
      <c r="W328">
        <f>IF(Source!BI233&lt;=1,G328, 0)</f>
        <v>0</v>
      </c>
      <c r="X328">
        <f>IF(Source!BI233=2,G328, 0)</f>
        <v>20.67</v>
      </c>
      <c r="Y328">
        <f>IF(Source!BI233=3,G328, 0)</f>
        <v>0</v>
      </c>
      <c r="Z328">
        <f>IF(Source!BI233=4,G328, 0)</f>
        <v>0</v>
      </c>
    </row>
    <row r="330" spans="1:33" ht="15" x14ac:dyDescent="0.25">
      <c r="A330" s="95" t="str">
        <f>CONCATENATE("Итого по разделу: ", Source!G235)</f>
        <v>Итого по разделу: Подвеска провода</v>
      </c>
      <c r="B330" s="95"/>
      <c r="C330" s="95"/>
      <c r="D330" s="95"/>
      <c r="E330" s="95"/>
      <c r="F330" s="95"/>
      <c r="G330" s="96">
        <f>SUM(O315:O329)</f>
        <v>151.21000000000004</v>
      </c>
      <c r="H330" s="87"/>
      <c r="I330" s="47"/>
      <c r="J330" s="96">
        <f>SUM(P315:P329)</f>
        <v>3162.27</v>
      </c>
      <c r="K330" s="87"/>
      <c r="L330" s="37">
        <f>SUM(Q315:Q329)</f>
        <v>2.1044199999999997</v>
      </c>
      <c r="AG330" s="48" t="str">
        <f>CONCATENATE("Итого по разделу: ", Source!G235)</f>
        <v>Итого по разделу: Подвеска провода</v>
      </c>
    </row>
    <row r="332" spans="1:33" ht="14.25" x14ac:dyDescent="0.2">
      <c r="C332" s="15" t="str">
        <f>Source!H264</f>
        <v>ОЗП</v>
      </c>
      <c r="J332" s="88">
        <f>Source!F264</f>
        <v>644.26</v>
      </c>
      <c r="K332" s="88"/>
    </row>
    <row r="333" spans="1:33" ht="14.25" x14ac:dyDescent="0.2">
      <c r="C333" s="15" t="str">
        <f>Source!H265</f>
        <v>ЭММ, в т.ч. ЗПМ</v>
      </c>
      <c r="J333" s="88">
        <f>Source!F265</f>
        <v>723.6</v>
      </c>
      <c r="K333" s="88"/>
    </row>
    <row r="334" spans="1:33" ht="14.25" x14ac:dyDescent="0.2">
      <c r="C334" s="15" t="str">
        <f>Source!H266</f>
        <v>ЗПМ (справочно)</v>
      </c>
      <c r="J334" s="88">
        <f>Source!F266</f>
        <v>229.19</v>
      </c>
      <c r="K334" s="88"/>
    </row>
    <row r="335" spans="1:33" ht="14.25" x14ac:dyDescent="0.2">
      <c r="C335" s="15" t="str">
        <f>Source!H267</f>
        <v>Стоимость материалов</v>
      </c>
      <c r="J335" s="88">
        <f>Source!F267</f>
        <v>370.69</v>
      </c>
      <c r="K335" s="88"/>
    </row>
    <row r="336" spans="1:33" ht="14.25" x14ac:dyDescent="0.2">
      <c r="C336" s="15" t="str">
        <f>Source!H268</f>
        <v>НР</v>
      </c>
      <c r="J336" s="88">
        <f>Source!F268</f>
        <v>899.65</v>
      </c>
      <c r="K336" s="88"/>
    </row>
    <row r="337" spans="1:39" ht="14.25" x14ac:dyDescent="0.2">
      <c r="C337" s="15" t="str">
        <f>Source!H269</f>
        <v>СП</v>
      </c>
      <c r="J337" s="88">
        <f>Source!F269</f>
        <v>524.07000000000005</v>
      </c>
      <c r="K337" s="88"/>
    </row>
    <row r="338" spans="1:39" ht="14.25" x14ac:dyDescent="0.2">
      <c r="C338" s="15" t="str">
        <f>Source!H270</f>
        <v>Итого</v>
      </c>
      <c r="D338" s="99" t="str">
        <f>"="&amp;Source!F264&amp;"+"&amp;""&amp;Source!F265&amp;"+"&amp;""&amp;Source!F267&amp;"+"&amp;""&amp;Source!F268&amp;"+"&amp;""&amp;Source!F269&amp;""</f>
        <v>=644,26+723,6+370,69+899,65+524,07</v>
      </c>
      <c r="E338" s="93"/>
      <c r="F338" s="93"/>
      <c r="G338" s="93"/>
      <c r="H338" s="93"/>
      <c r="I338" s="93"/>
      <c r="J338" s="88">
        <f>Source!F270</f>
        <v>3162.27</v>
      </c>
      <c r="K338" s="88"/>
      <c r="AM338" s="49" t="str">
        <f>"="&amp;Source!F264&amp;"+"&amp;""&amp;Source!F265&amp;"+"&amp;""&amp;Source!F267&amp;"+"&amp;""&amp;Source!F268&amp;"+"&amp;""&amp;Source!F269&amp;""</f>
        <v>=644,26+723,6+370,69+899,65+524,07</v>
      </c>
    </row>
    <row r="339" spans="1:39" ht="14.25" x14ac:dyDescent="0.2">
      <c r="C339" s="15" t="str">
        <f>Source!H271</f>
        <v>НДС 20%</v>
      </c>
      <c r="D339" s="99" t="str">
        <f>"="&amp;Source!F270&amp;"*"&amp;"0,2"</f>
        <v>=3162,27*0,2</v>
      </c>
      <c r="E339" s="93"/>
      <c r="F339" s="93"/>
      <c r="G339" s="93"/>
      <c r="H339" s="93"/>
      <c r="I339" s="93"/>
      <c r="J339" s="88">
        <f>Source!F271</f>
        <v>632.45000000000005</v>
      </c>
      <c r="K339" s="88"/>
      <c r="AM339" s="49" t="str">
        <f>"="&amp;Source!F270&amp;"*"&amp;"0,2"</f>
        <v>=3162,27*0,2</v>
      </c>
    </row>
    <row r="340" spans="1:39" ht="14.25" x14ac:dyDescent="0.2">
      <c r="C340" s="15" t="str">
        <f>Source!H272</f>
        <v>Всего с НДС</v>
      </c>
      <c r="D340" s="99" t="str">
        <f>"="&amp;Source!F270&amp;"+"&amp;""&amp;Source!F271&amp;""</f>
        <v>=3162,27+632,45</v>
      </c>
      <c r="E340" s="93"/>
      <c r="F340" s="93"/>
      <c r="G340" s="93"/>
      <c r="H340" s="93"/>
      <c r="I340" s="93"/>
      <c r="J340" s="88">
        <f>Source!F272</f>
        <v>3794.72</v>
      </c>
      <c r="K340" s="88"/>
      <c r="AM340" s="49" t="str">
        <f>"="&amp;Source!F270&amp;"+"&amp;""&amp;Source!F271&amp;""</f>
        <v>=3162,27+632,45</v>
      </c>
    </row>
    <row r="343" spans="1:39" ht="15" hidden="1" x14ac:dyDescent="0.25">
      <c r="A343" s="95" t="str">
        <f>CONCATENATE("Итого по локальной смете: ", Source!G274)</f>
        <v xml:space="preserve">Итого по локальной смете: </v>
      </c>
      <c r="B343" s="95"/>
      <c r="C343" s="95"/>
      <c r="D343" s="95"/>
      <c r="E343" s="95"/>
      <c r="F343" s="95"/>
      <c r="G343" s="96">
        <f>SUM(O34:O342)</f>
        <v>33669.440000000002</v>
      </c>
      <c r="H343" s="87"/>
      <c r="I343" s="47"/>
      <c r="J343" s="96">
        <f>SUM(P34:P342)</f>
        <v>219571.68000000005</v>
      </c>
      <c r="K343" s="87"/>
      <c r="L343" s="37">
        <f>SUM(Q34:Q342)</f>
        <v>83.73784400000001</v>
      </c>
      <c r="AG343" s="48" t="str">
        <f>CONCATENATE("Итого по локальной смете: ", Source!G274)</f>
        <v xml:space="preserve">Итого по локальной смете: </v>
      </c>
    </row>
    <row r="344" spans="1:39" hidden="1" x14ac:dyDescent="0.2"/>
    <row r="345" spans="1:39" ht="14.25" hidden="1" x14ac:dyDescent="0.2">
      <c r="C345" s="15" t="str">
        <f>Source!H303</f>
        <v>ОЗП</v>
      </c>
      <c r="J345" s="88">
        <f>Source!F303</f>
        <v>26909.65</v>
      </c>
      <c r="K345" s="88"/>
    </row>
    <row r="346" spans="1:39" ht="14.25" hidden="1" x14ac:dyDescent="0.2">
      <c r="C346" s="15" t="str">
        <f>Source!H304</f>
        <v>ЭММ, в т.ч. ЗПМ</v>
      </c>
      <c r="J346" s="88">
        <f>Source!F304</f>
        <v>27350.080000000002</v>
      </c>
      <c r="K346" s="88"/>
    </row>
    <row r="347" spans="1:39" ht="14.25" hidden="1" x14ac:dyDescent="0.2">
      <c r="C347" s="15" t="str">
        <f>Source!H305</f>
        <v>ЗПМ (справочно)</v>
      </c>
      <c r="J347" s="88">
        <f>Source!F305</f>
        <v>6426.67</v>
      </c>
      <c r="K347" s="88"/>
    </row>
    <row r="348" spans="1:39" ht="14.25" hidden="1" x14ac:dyDescent="0.2">
      <c r="C348" s="15" t="str">
        <f>Source!H306</f>
        <v>Стоимость материалов</v>
      </c>
      <c r="J348" s="88">
        <f>Source!F306</f>
        <v>114574.24</v>
      </c>
      <c r="K348" s="88"/>
    </row>
    <row r="349" spans="1:39" ht="14.25" hidden="1" x14ac:dyDescent="0.2">
      <c r="C349" s="15" t="str">
        <f>Source!H307</f>
        <v>НР</v>
      </c>
      <c r="J349" s="88">
        <f>Source!F307</f>
        <v>32478.15</v>
      </c>
      <c r="K349" s="88"/>
    </row>
    <row r="350" spans="1:39" ht="14.25" hidden="1" x14ac:dyDescent="0.2">
      <c r="C350" s="15" t="str">
        <f>Source!H308</f>
        <v>СП</v>
      </c>
      <c r="J350" s="88">
        <f>Source!F308</f>
        <v>18259.560000000001</v>
      </c>
      <c r="K350" s="88"/>
    </row>
    <row r="351" spans="1:39" ht="14.25" hidden="1" x14ac:dyDescent="0.2">
      <c r="C351" s="15" t="str">
        <f>Source!H309</f>
        <v>Итого</v>
      </c>
      <c r="D351" s="99" t="str">
        <f>"="&amp;Source!F303&amp;"+"&amp;""&amp;Source!F304&amp;"+"&amp;""&amp;Source!F306&amp;"+"&amp;""&amp;Source!F307&amp;"+"&amp;""&amp;Source!F308&amp;""</f>
        <v>=26909,65+27350,08+114574,24+32478,15+18259,56</v>
      </c>
      <c r="E351" s="93"/>
      <c r="F351" s="93"/>
      <c r="G351" s="93"/>
      <c r="H351" s="93"/>
      <c r="I351" s="93"/>
      <c r="J351" s="88">
        <f>Source!F309</f>
        <v>219571.68</v>
      </c>
      <c r="K351" s="88"/>
      <c r="AM351" s="49" t="str">
        <f>"="&amp;Source!F303&amp;"+"&amp;""&amp;Source!F304&amp;"+"&amp;""&amp;Source!F306&amp;"+"&amp;""&amp;Source!F307&amp;"+"&amp;""&amp;Source!F308&amp;""</f>
        <v>=26909,65+27350,08+114574,24+32478,15+18259,56</v>
      </c>
    </row>
    <row r="352" spans="1:39" ht="14.25" hidden="1" x14ac:dyDescent="0.2">
      <c r="C352" s="15" t="str">
        <f>Source!H310</f>
        <v>НДС 20%</v>
      </c>
      <c r="D352" s="99" t="str">
        <f>"="&amp;Source!F309&amp;"*"&amp;"0,2"</f>
        <v>=219571,68*0,2</v>
      </c>
      <c r="E352" s="93"/>
      <c r="F352" s="93"/>
      <c r="G352" s="93"/>
      <c r="H352" s="93"/>
      <c r="I352" s="93"/>
      <c r="J352" s="88">
        <f>Source!F310</f>
        <v>43914.34</v>
      </c>
      <c r="K352" s="88"/>
      <c r="AM352" s="49" t="str">
        <f>"="&amp;Source!F309&amp;"*"&amp;"0,2"</f>
        <v>=219571,68*0,2</v>
      </c>
    </row>
    <row r="353" spans="1:39" ht="14.25" hidden="1" x14ac:dyDescent="0.2">
      <c r="C353" s="15" t="str">
        <f>Source!H311</f>
        <v>Всего с НДС</v>
      </c>
      <c r="D353" s="99" t="str">
        <f>"="&amp;Source!F309&amp;"+"&amp;""&amp;Source!F310&amp;""</f>
        <v>=219571,68+43914,34</v>
      </c>
      <c r="E353" s="93"/>
      <c r="F353" s="93"/>
      <c r="G353" s="93"/>
      <c r="H353" s="93"/>
      <c r="I353" s="93"/>
      <c r="J353" s="88">
        <f>Source!F311</f>
        <v>263486.02</v>
      </c>
      <c r="K353" s="88"/>
      <c r="AM353" s="49" t="str">
        <f>"="&amp;Source!F309&amp;"+"&amp;""&amp;Source!F310&amp;""</f>
        <v>=219571,68+43914,34</v>
      </c>
    </row>
    <row r="354" spans="1:39" hidden="1" x14ac:dyDescent="0.2"/>
    <row r="355" spans="1:39" hidden="1" x14ac:dyDescent="0.2"/>
    <row r="356" spans="1:39" ht="30" x14ac:dyDescent="0.25">
      <c r="A356" s="95" t="str">
        <f>CONCATENATE("Итого по смете: ", Source!G313)</f>
        <v>Итого по смете: Установка реклоузеров на ВЛ-6 кВ на линии №11 в п. Сосновка, Заволжье</v>
      </c>
      <c r="B356" s="95"/>
      <c r="C356" s="95"/>
      <c r="D356" s="95"/>
      <c r="E356" s="95"/>
      <c r="F356" s="95"/>
      <c r="G356" s="96">
        <f>SUM(O1:O355)</f>
        <v>33669.440000000002</v>
      </c>
      <c r="H356" s="87"/>
      <c r="I356" s="47"/>
      <c r="J356" s="96">
        <f>SUM(P1:P355)</f>
        <v>219571.68000000005</v>
      </c>
      <c r="K356" s="87"/>
      <c r="L356" s="37">
        <f>SUM(Q1:Q355)</f>
        <v>83.73784400000001</v>
      </c>
      <c r="AG356" s="48" t="str">
        <f>CONCATENATE("Итого по смете: ", Source!G313)</f>
        <v>Итого по смете: Установка реклоузеров на ВЛ-6 кВ на линии №11 в п. Сосновка, Заволжье</v>
      </c>
    </row>
    <row r="358" spans="1:39" ht="14.25" x14ac:dyDescent="0.2">
      <c r="C358" s="15" t="str">
        <f>Source!H342</f>
        <v>ОЗП</v>
      </c>
      <c r="J358" s="88">
        <f>Source!F342</f>
        <v>26909.65</v>
      </c>
      <c r="K358" s="88"/>
    </row>
    <row r="359" spans="1:39" ht="14.25" x14ac:dyDescent="0.2">
      <c r="C359" s="15" t="str">
        <f>Source!H343</f>
        <v>ЭММ, в т.ч. ЗПМ</v>
      </c>
      <c r="J359" s="88">
        <f>Source!F343</f>
        <v>27350.080000000002</v>
      </c>
      <c r="K359" s="88"/>
    </row>
    <row r="360" spans="1:39" ht="14.25" x14ac:dyDescent="0.2">
      <c r="C360" s="15" t="str">
        <f>Source!H344</f>
        <v>ЗПМ (справочно)</v>
      </c>
      <c r="J360" s="88">
        <f>Source!F344</f>
        <v>6426.67</v>
      </c>
      <c r="K360" s="88"/>
    </row>
    <row r="361" spans="1:39" ht="14.25" x14ac:dyDescent="0.2">
      <c r="C361" s="15" t="str">
        <f>Source!H345</f>
        <v>Стоимость материалов</v>
      </c>
      <c r="J361" s="88">
        <f>Source!F345</f>
        <v>114574.24</v>
      </c>
      <c r="K361" s="88"/>
    </row>
    <row r="362" spans="1:39" ht="14.25" x14ac:dyDescent="0.2">
      <c r="C362" s="15" t="str">
        <f>Source!H346</f>
        <v>НР</v>
      </c>
      <c r="J362" s="88">
        <f>Source!F346</f>
        <v>32478.15</v>
      </c>
      <c r="K362" s="88"/>
    </row>
    <row r="363" spans="1:39" ht="14.25" x14ac:dyDescent="0.2">
      <c r="C363" s="15" t="str">
        <f>Source!H347</f>
        <v>СП</v>
      </c>
      <c r="J363" s="88">
        <f>Source!F347</f>
        <v>18259.560000000001</v>
      </c>
      <c r="K363" s="88"/>
    </row>
    <row r="364" spans="1:39" s="77" customFormat="1" ht="15" x14ac:dyDescent="0.25">
      <c r="C364" s="48" t="str">
        <f>Source!H348</f>
        <v>Итого</v>
      </c>
      <c r="D364" s="102" t="str">
        <f>"="&amp;Source!F342&amp;"+"&amp;""&amp;Source!F343&amp;"+"&amp;""&amp;Source!F345&amp;"+"&amp;""&amp;Source!F346&amp;"+"&amp;""&amp;Source!F347&amp;""</f>
        <v>=26909,65+27350,08+114574,24+32478,15+18259,56</v>
      </c>
      <c r="E364" s="95"/>
      <c r="F364" s="95"/>
      <c r="G364" s="95"/>
      <c r="H364" s="95"/>
      <c r="I364" s="95"/>
      <c r="J364" s="96">
        <f>Source!F348</f>
        <v>219571.68</v>
      </c>
      <c r="K364" s="96"/>
      <c r="AM364" s="78" t="str">
        <f>"="&amp;Source!F342&amp;"+"&amp;""&amp;Source!F343&amp;"+"&amp;""&amp;Source!F345&amp;"+"&amp;""&amp;Source!F346&amp;"+"&amp;""&amp;Source!F347&amp;""</f>
        <v>=26909,65+27350,08+114574,24+32478,15+18259,56</v>
      </c>
    </row>
    <row r="365" spans="1:39" ht="14.25" x14ac:dyDescent="0.2">
      <c r="C365" s="15" t="str">
        <f>Source!H349</f>
        <v>НДС 20%</v>
      </c>
      <c r="D365" s="99" t="str">
        <f>"="&amp;Source!F348&amp;"*"&amp;"0,2"</f>
        <v>=219571,68*0,2</v>
      </c>
      <c r="E365" s="93"/>
      <c r="F365" s="93"/>
      <c r="G365" s="93"/>
      <c r="H365" s="93"/>
      <c r="I365" s="93"/>
      <c r="J365" s="88">
        <f>Source!F349</f>
        <v>43914.34</v>
      </c>
      <c r="K365" s="88"/>
      <c r="AM365" s="49" t="str">
        <f>"="&amp;Source!F348&amp;"*"&amp;"0,2"</f>
        <v>=219571,68*0,2</v>
      </c>
    </row>
    <row r="366" spans="1:39" s="77" customFormat="1" ht="15" x14ac:dyDescent="0.25">
      <c r="C366" s="48" t="str">
        <f>Source!H350</f>
        <v>Всего с НДС</v>
      </c>
      <c r="D366" s="102" t="str">
        <f>"="&amp;Source!F348&amp;"+"&amp;""&amp;Source!F349&amp;""</f>
        <v>=219571,68+43914,34</v>
      </c>
      <c r="E366" s="95"/>
      <c r="F366" s="95"/>
      <c r="G366" s="95"/>
      <c r="H366" s="95"/>
      <c r="I366" s="95"/>
      <c r="J366" s="96">
        <f>Source!F350</f>
        <v>263486.02</v>
      </c>
      <c r="K366" s="96"/>
      <c r="AM366" s="78" t="str">
        <f>"="&amp;Source!F348&amp;"+"&amp;""&amp;Source!F349&amp;""</f>
        <v>=219571,68+43914,34</v>
      </c>
    </row>
    <row r="370" spans="1:12" ht="14.25" x14ac:dyDescent="0.2">
      <c r="A370" s="103" t="s">
        <v>587</v>
      </c>
      <c r="B370" s="103"/>
      <c r="C370" s="56" t="str">
        <f>IF(Source!AC12&lt;&gt;"", Source!AC12," ")</f>
        <v xml:space="preserve"> </v>
      </c>
      <c r="D370" s="11"/>
      <c r="E370" s="56"/>
      <c r="F370" s="56"/>
      <c r="G370" s="11"/>
      <c r="H370" s="56" t="str">
        <f>IF(Source!AB12&lt;&gt;"", Source!AB12," ")</f>
        <v xml:space="preserve"> </v>
      </c>
      <c r="I370" s="56"/>
      <c r="J370" s="56"/>
      <c r="K370" s="56"/>
      <c r="L370" s="11"/>
    </row>
    <row r="371" spans="1:12" ht="14.25" x14ac:dyDescent="0.2">
      <c r="A371" s="11"/>
      <c r="B371" s="11"/>
      <c r="C371" s="57" t="s">
        <v>588</v>
      </c>
      <c r="D371" s="11"/>
      <c r="E371" s="101" t="s">
        <v>589</v>
      </c>
      <c r="F371" s="101"/>
      <c r="G371" s="11"/>
      <c r="H371" s="101" t="s">
        <v>590</v>
      </c>
      <c r="I371" s="101"/>
      <c r="J371" s="101"/>
      <c r="K371" s="101"/>
      <c r="L371" s="11"/>
    </row>
    <row r="372" spans="1:12" ht="14.25" x14ac:dyDescent="0.2">
      <c r="A372" s="11"/>
      <c r="B372" s="10"/>
      <c r="C372" s="11"/>
      <c r="D372" s="10"/>
      <c r="E372" s="11" t="s">
        <v>591</v>
      </c>
      <c r="F372" s="11"/>
      <c r="G372" s="11"/>
      <c r="H372" s="11"/>
      <c r="I372" s="11"/>
      <c r="J372" s="11"/>
      <c r="K372" s="11"/>
      <c r="L372" s="11"/>
    </row>
    <row r="373" spans="1:12" ht="14.25" x14ac:dyDescent="0.2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</row>
    <row r="374" spans="1:12" ht="14.25" x14ac:dyDescent="0.2">
      <c r="A374" s="103" t="s">
        <v>592</v>
      </c>
      <c r="B374" s="103"/>
      <c r="C374" s="56" t="str">
        <f>IF(Source!AE12&lt;&gt;"", Source!AE12," ")</f>
        <v xml:space="preserve"> </v>
      </c>
      <c r="D374" s="11"/>
      <c r="E374" s="56"/>
      <c r="F374" s="56"/>
      <c r="G374" s="11"/>
      <c r="H374" s="56" t="str">
        <f>IF(Source!AD12&lt;&gt;"", Source!AD12," ")</f>
        <v xml:space="preserve"> </v>
      </c>
      <c r="I374" s="56"/>
      <c r="J374" s="56"/>
      <c r="K374" s="56"/>
      <c r="L374" s="11"/>
    </row>
    <row r="375" spans="1:12" ht="14.25" x14ac:dyDescent="0.2">
      <c r="A375" s="11"/>
      <c r="B375" s="11"/>
      <c r="C375" s="57" t="s">
        <v>588</v>
      </c>
      <c r="D375" s="11"/>
      <c r="E375" s="101" t="s">
        <v>589</v>
      </c>
      <c r="F375" s="101"/>
      <c r="G375" s="11"/>
      <c r="H375" s="101" t="s">
        <v>590</v>
      </c>
      <c r="I375" s="101"/>
      <c r="J375" s="101"/>
      <c r="K375" s="101"/>
      <c r="L375" s="11"/>
    </row>
    <row r="376" spans="1:12" ht="14.25" x14ac:dyDescent="0.2">
      <c r="C376" s="11"/>
      <c r="D376" s="58"/>
      <c r="E376" s="11" t="s">
        <v>591</v>
      </c>
      <c r="L376" s="11"/>
    </row>
  </sheetData>
  <mergeCells count="241">
    <mergeCell ref="E375:F375"/>
    <mergeCell ref="H375:K375"/>
    <mergeCell ref="D366:I366"/>
    <mergeCell ref="J366:K366"/>
    <mergeCell ref="A370:B370"/>
    <mergeCell ref="E371:F371"/>
    <mergeCell ref="H371:K371"/>
    <mergeCell ref="A374:B374"/>
    <mergeCell ref="J361:K361"/>
    <mergeCell ref="J362:K362"/>
    <mergeCell ref="J363:K363"/>
    <mergeCell ref="D364:I364"/>
    <mergeCell ref="J364:K364"/>
    <mergeCell ref="D365:I365"/>
    <mergeCell ref="J365:K365"/>
    <mergeCell ref="A356:F356"/>
    <mergeCell ref="J356:K356"/>
    <mergeCell ref="G356:H356"/>
    <mergeCell ref="J358:K358"/>
    <mergeCell ref="J359:K359"/>
    <mergeCell ref="J360:K360"/>
    <mergeCell ref="D351:I351"/>
    <mergeCell ref="J351:K351"/>
    <mergeCell ref="D352:I352"/>
    <mergeCell ref="J352:K352"/>
    <mergeCell ref="D353:I353"/>
    <mergeCell ref="J353:K353"/>
    <mergeCell ref="J345:K345"/>
    <mergeCell ref="J346:K346"/>
    <mergeCell ref="J347:K347"/>
    <mergeCell ref="J348:K348"/>
    <mergeCell ref="J349:K349"/>
    <mergeCell ref="J350:K350"/>
    <mergeCell ref="D339:I339"/>
    <mergeCell ref="J339:K339"/>
    <mergeCell ref="D340:I340"/>
    <mergeCell ref="J340:K340"/>
    <mergeCell ref="A343:F343"/>
    <mergeCell ref="J343:K343"/>
    <mergeCell ref="G343:H343"/>
    <mergeCell ref="J333:K333"/>
    <mergeCell ref="J334:K334"/>
    <mergeCell ref="J335:K335"/>
    <mergeCell ref="J336:K336"/>
    <mergeCell ref="J337:K337"/>
    <mergeCell ref="D338:I338"/>
    <mergeCell ref="J338:K338"/>
    <mergeCell ref="G328:H328"/>
    <mergeCell ref="J328:K328"/>
    <mergeCell ref="A330:F330"/>
    <mergeCell ref="J330:K330"/>
    <mergeCell ref="G330:H330"/>
    <mergeCell ref="J332:K332"/>
    <mergeCell ref="D311:I311"/>
    <mergeCell ref="J311:K311"/>
    <mergeCell ref="D312:I312"/>
    <mergeCell ref="J312:K312"/>
    <mergeCell ref="A315:L315"/>
    <mergeCell ref="G325:H325"/>
    <mergeCell ref="J325:K325"/>
    <mergeCell ref="J305:K305"/>
    <mergeCell ref="J306:K306"/>
    <mergeCell ref="J307:K307"/>
    <mergeCell ref="J308:K308"/>
    <mergeCell ref="J309:K309"/>
    <mergeCell ref="D310:I310"/>
    <mergeCell ref="J310:K310"/>
    <mergeCell ref="G300:H300"/>
    <mergeCell ref="J300:K300"/>
    <mergeCell ref="A302:F302"/>
    <mergeCell ref="J302:K302"/>
    <mergeCell ref="G302:H302"/>
    <mergeCell ref="J304:K304"/>
    <mergeCell ref="G279:H279"/>
    <mergeCell ref="J279:K279"/>
    <mergeCell ref="G289:H289"/>
    <mergeCell ref="J289:K289"/>
    <mergeCell ref="G292:H292"/>
    <mergeCell ref="J292:K292"/>
    <mergeCell ref="G268:H268"/>
    <mergeCell ref="J268:K268"/>
    <mergeCell ref="G272:H272"/>
    <mergeCell ref="J272:K272"/>
    <mergeCell ref="G275:H275"/>
    <mergeCell ref="J275:K275"/>
    <mergeCell ref="G259:H259"/>
    <mergeCell ref="J259:K259"/>
    <mergeCell ref="G262:H262"/>
    <mergeCell ref="J262:K262"/>
    <mergeCell ref="G265:H265"/>
    <mergeCell ref="J265:K265"/>
    <mergeCell ref="G250:H250"/>
    <mergeCell ref="J250:K250"/>
    <mergeCell ref="G253:H253"/>
    <mergeCell ref="J253:K253"/>
    <mergeCell ref="G256:H256"/>
    <mergeCell ref="J256:K256"/>
    <mergeCell ref="D227:I227"/>
    <mergeCell ref="J227:K227"/>
    <mergeCell ref="D228:I228"/>
    <mergeCell ref="J228:K228"/>
    <mergeCell ref="A231:L231"/>
    <mergeCell ref="G241:H241"/>
    <mergeCell ref="J241:K241"/>
    <mergeCell ref="J221:K221"/>
    <mergeCell ref="J222:K222"/>
    <mergeCell ref="J223:K223"/>
    <mergeCell ref="J224:K224"/>
    <mergeCell ref="J225:K225"/>
    <mergeCell ref="D226:I226"/>
    <mergeCell ref="J226:K226"/>
    <mergeCell ref="G216:H216"/>
    <mergeCell ref="J216:K216"/>
    <mergeCell ref="A218:F218"/>
    <mergeCell ref="J218:K218"/>
    <mergeCell ref="G218:H218"/>
    <mergeCell ref="J220:K220"/>
    <mergeCell ref="G199:H199"/>
    <mergeCell ref="J199:K199"/>
    <mergeCell ref="G203:H203"/>
    <mergeCell ref="J203:K203"/>
    <mergeCell ref="G209:H209"/>
    <mergeCell ref="J209:K209"/>
    <mergeCell ref="G176:H176"/>
    <mergeCell ref="J176:K176"/>
    <mergeCell ref="G186:H186"/>
    <mergeCell ref="J186:K186"/>
    <mergeCell ref="G189:H189"/>
    <mergeCell ref="J189:K189"/>
    <mergeCell ref="G159:H159"/>
    <mergeCell ref="J159:K159"/>
    <mergeCell ref="G161:H161"/>
    <mergeCell ref="J161:K161"/>
    <mergeCell ref="C162:L162"/>
    <mergeCell ref="G169:H169"/>
    <mergeCell ref="J169:K169"/>
    <mergeCell ref="G137:H137"/>
    <mergeCell ref="J137:K137"/>
    <mergeCell ref="G147:H147"/>
    <mergeCell ref="J147:K147"/>
    <mergeCell ref="G151:H151"/>
    <mergeCell ref="J151:K151"/>
    <mergeCell ref="G122:H122"/>
    <mergeCell ref="J122:K122"/>
    <mergeCell ref="G125:H125"/>
    <mergeCell ref="J125:K125"/>
    <mergeCell ref="G134:H134"/>
    <mergeCell ref="J134:K134"/>
    <mergeCell ref="G113:H113"/>
    <mergeCell ref="J113:K113"/>
    <mergeCell ref="G116:H116"/>
    <mergeCell ref="J116:K116"/>
    <mergeCell ref="G119:H119"/>
    <mergeCell ref="J119:K119"/>
    <mergeCell ref="G104:H104"/>
    <mergeCell ref="J104:K104"/>
    <mergeCell ref="G107:H107"/>
    <mergeCell ref="J107:K107"/>
    <mergeCell ref="G110:H110"/>
    <mergeCell ref="J110:K110"/>
    <mergeCell ref="G95:H95"/>
    <mergeCell ref="J95:K95"/>
    <mergeCell ref="G98:H98"/>
    <mergeCell ref="J98:K98"/>
    <mergeCell ref="G101:H101"/>
    <mergeCell ref="J101:K101"/>
    <mergeCell ref="A65:L65"/>
    <mergeCell ref="G73:H73"/>
    <mergeCell ref="J73:K73"/>
    <mergeCell ref="G82:H82"/>
    <mergeCell ref="J82:K82"/>
    <mergeCell ref="G92:H92"/>
    <mergeCell ref="J92:K92"/>
    <mergeCell ref="D60:I60"/>
    <mergeCell ref="J60:K60"/>
    <mergeCell ref="D61:I61"/>
    <mergeCell ref="J61:K61"/>
    <mergeCell ref="D62:I62"/>
    <mergeCell ref="J62:K62"/>
    <mergeCell ref="J54:K54"/>
    <mergeCell ref="J55:K55"/>
    <mergeCell ref="J56:K56"/>
    <mergeCell ref="J57:K57"/>
    <mergeCell ref="J58:K58"/>
    <mergeCell ref="J59:K59"/>
    <mergeCell ref="G43:H43"/>
    <mergeCell ref="J43:K43"/>
    <mergeCell ref="G50:H50"/>
    <mergeCell ref="J50:K50"/>
    <mergeCell ref="A52:F52"/>
    <mergeCell ref="J52:K52"/>
    <mergeCell ref="G52:H52"/>
    <mergeCell ref="C29:F29"/>
    <mergeCell ref="G29:H29"/>
    <mergeCell ref="I29:J29"/>
    <mergeCell ref="K29:L29"/>
    <mergeCell ref="A31:L31"/>
    <mergeCell ref="A35:L35"/>
    <mergeCell ref="C27:F27"/>
    <mergeCell ref="G27:H27"/>
    <mergeCell ref="I27:J27"/>
    <mergeCell ref="K27:L27"/>
    <mergeCell ref="C28:F28"/>
    <mergeCell ref="G28:H28"/>
    <mergeCell ref="I28:J28"/>
    <mergeCell ref="K28:L28"/>
    <mergeCell ref="C25:F25"/>
    <mergeCell ref="G25:H25"/>
    <mergeCell ref="I25:J25"/>
    <mergeCell ref="K25:L25"/>
    <mergeCell ref="C26:F26"/>
    <mergeCell ref="G26:H26"/>
    <mergeCell ref="I26:J26"/>
    <mergeCell ref="K26:L26"/>
    <mergeCell ref="C23:F23"/>
    <mergeCell ref="G23:H23"/>
    <mergeCell ref="I23:J23"/>
    <mergeCell ref="K23:L23"/>
    <mergeCell ref="C24:F24"/>
    <mergeCell ref="G24:H24"/>
    <mergeCell ref="I24:J24"/>
    <mergeCell ref="K24:L24"/>
    <mergeCell ref="B12:K12"/>
    <mergeCell ref="B14:K14"/>
    <mergeCell ref="B16:K16"/>
    <mergeCell ref="B17:K17"/>
    <mergeCell ref="A19:L19"/>
    <mergeCell ref="G22:H22"/>
    <mergeCell ref="I22:J22"/>
    <mergeCell ref="H7:L7"/>
    <mergeCell ref="B11:K11"/>
    <mergeCell ref="B3:E3"/>
    <mergeCell ref="H3:L3"/>
    <mergeCell ref="B4:E4"/>
    <mergeCell ref="H4:L4"/>
    <mergeCell ref="H6:L6"/>
    <mergeCell ref="H5:L5"/>
    <mergeCell ref="B9:E9"/>
    <mergeCell ref="H9:L9"/>
    <mergeCell ref="B10:E10"/>
    <mergeCell ref="H10:L10"/>
  </mergeCells>
  <pageMargins left="0.4" right="0.2" top="0.2" bottom="0.4" header="0.2" footer="0.2"/>
  <pageSetup paperSize="9" scale="58" orientation="portrait" verticalDpi="0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3CA37-D7AA-4A0A-A2BF-C4F0190B69E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3556-733A-47E4-A10C-0D91F61E49BF}">
  <dimension ref="A1:AB80"/>
  <sheetViews>
    <sheetView workbookViewId="0"/>
  </sheetViews>
  <sheetFormatPr defaultRowHeight="12.75" x14ac:dyDescent="0.2"/>
  <sheetData>
    <row r="1" spans="1:28" x14ac:dyDescent="0.2">
      <c r="A1" t="s">
        <v>621</v>
      </c>
      <c r="B1" t="s">
        <v>623</v>
      </c>
      <c r="C1" t="s">
        <v>624</v>
      </c>
      <c r="D1" t="s">
        <v>625</v>
      </c>
      <c r="E1" t="s">
        <v>626</v>
      </c>
      <c r="F1" t="s">
        <v>627</v>
      </c>
      <c r="G1" t="s">
        <v>628</v>
      </c>
      <c r="H1" t="s">
        <v>629</v>
      </c>
      <c r="I1" t="s">
        <v>630</v>
      </c>
      <c r="J1" t="s">
        <v>631</v>
      </c>
      <c r="K1" t="s">
        <v>632</v>
      </c>
      <c r="L1" t="s">
        <v>633</v>
      </c>
      <c r="M1" t="s">
        <v>634</v>
      </c>
      <c r="N1" t="s">
        <v>635</v>
      </c>
      <c r="O1" t="s">
        <v>622</v>
      </c>
    </row>
    <row r="2" spans="1:28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1</v>
      </c>
      <c r="H2">
        <v>0</v>
      </c>
      <c r="I2">
        <v>1</v>
      </c>
      <c r="J2">
        <v>0</v>
      </c>
      <c r="K2">
        <v>1</v>
      </c>
      <c r="L2">
        <v>84185495</v>
      </c>
      <c r="M2">
        <v>0</v>
      </c>
      <c r="N2">
        <v>0</v>
      </c>
      <c r="O2">
        <v>0</v>
      </c>
    </row>
    <row r="4" spans="1:28" x14ac:dyDescent="0.2">
      <c r="A4" t="s">
        <v>593</v>
      </c>
      <c r="B4" t="s">
        <v>594</v>
      </c>
      <c r="C4" t="s">
        <v>595</v>
      </c>
      <c r="D4" t="s">
        <v>596</v>
      </c>
      <c r="E4" t="s">
        <v>597</v>
      </c>
      <c r="F4" t="s">
        <v>598</v>
      </c>
      <c r="G4" t="s">
        <v>599</v>
      </c>
      <c r="H4" t="s">
        <v>600</v>
      </c>
      <c r="I4" t="s">
        <v>601</v>
      </c>
      <c r="J4" t="s">
        <v>602</v>
      </c>
      <c r="K4" t="s">
        <v>603</v>
      </c>
      <c r="L4" t="s">
        <v>604</v>
      </c>
      <c r="M4" t="s">
        <v>605</v>
      </c>
      <c r="N4" t="s">
        <v>606</v>
      </c>
      <c r="O4" t="s">
        <v>607</v>
      </c>
      <c r="P4" t="s">
        <v>608</v>
      </c>
      <c r="Q4" t="s">
        <v>609</v>
      </c>
      <c r="R4" t="s">
        <v>610</v>
      </c>
      <c r="S4" t="s">
        <v>611</v>
      </c>
      <c r="T4" t="s">
        <v>612</v>
      </c>
      <c r="U4" t="s">
        <v>616</v>
      </c>
      <c r="V4" t="s">
        <v>617</v>
      </c>
      <c r="W4" t="s">
        <v>618</v>
      </c>
      <c r="X4" t="s">
        <v>619</v>
      </c>
      <c r="Y4" t="s">
        <v>620</v>
      </c>
      <c r="Z4" t="s">
        <v>613</v>
      </c>
      <c r="AA4" t="s">
        <v>614</v>
      </c>
      <c r="AB4" t="s">
        <v>615</v>
      </c>
    </row>
    <row r="6" spans="1:28" x14ac:dyDescent="0.2">
      <c r="A6">
        <f>Source!A20</f>
        <v>3</v>
      </c>
      <c r="B6">
        <v>20</v>
      </c>
      <c r="G6" t="str">
        <f>Source!G20</f>
        <v/>
      </c>
    </row>
    <row r="7" spans="1:28" x14ac:dyDescent="0.2">
      <c r="A7">
        <f>Source!A24</f>
        <v>4</v>
      </c>
      <c r="B7">
        <v>24</v>
      </c>
      <c r="G7" t="str">
        <f>Source!G24</f>
        <v>Демонтажные работы</v>
      </c>
    </row>
    <row r="8" spans="1:28" x14ac:dyDescent="0.2">
      <c r="A8">
        <f>Source!A70</f>
        <v>4</v>
      </c>
      <c r="B8">
        <v>70</v>
      </c>
      <c r="G8" t="str">
        <f>Source!G70</f>
        <v>Монтаж реклоузера</v>
      </c>
    </row>
    <row r="9" spans="1:28" x14ac:dyDescent="0.2">
      <c r="A9">
        <v>20</v>
      </c>
      <c r="B9">
        <v>23</v>
      </c>
      <c r="C9">
        <v>3</v>
      </c>
      <c r="D9">
        <v>0</v>
      </c>
      <c r="E9">
        <f>SmtRes!AV23</f>
        <v>0</v>
      </c>
      <c r="F9" t="str">
        <f>SmtRes!I23</f>
        <v>999-9950</v>
      </c>
      <c r="G9" t="str">
        <f>SmtRes!K23</f>
        <v>Вспомогательные ненормируемые материалы (2% от ОЗП)</v>
      </c>
      <c r="H9" t="str">
        <f>SmtRes!O23</f>
        <v>РУБ</v>
      </c>
      <c r="I9">
        <f>SmtRes!Y23*Source!I75</f>
        <v>0.31818279999999999</v>
      </c>
      <c r="J9">
        <f>SmtRes!AO23</f>
        <v>1</v>
      </c>
      <c r="K9">
        <f>SmtRes!AE23</f>
        <v>1</v>
      </c>
      <c r="L9">
        <f>SmtRes!DB23</f>
        <v>11.18</v>
      </c>
      <c r="M9">
        <f>ROUND(ROUND(L9*Source!I75, 2)*1, 2)</f>
        <v>0.32</v>
      </c>
      <c r="N9">
        <f>SmtRes!AA23</f>
        <v>1</v>
      </c>
      <c r="O9">
        <f>ROUND(ROUND(L9*Source!I75, 2)*SmtRes!DA23, 2)</f>
        <v>0.32</v>
      </c>
      <c r="P9">
        <f>SmtRes!AG23</f>
        <v>0</v>
      </c>
      <c r="Q9">
        <f>SmtRes!DC23</f>
        <v>0</v>
      </c>
      <c r="R9">
        <f>ROUND(ROUND(Q9*Source!I75, 2)*1, 2)</f>
        <v>0</v>
      </c>
      <c r="S9">
        <f>SmtRes!AC23</f>
        <v>0</v>
      </c>
      <c r="T9">
        <f>ROUND(ROUND(Q9*Source!I75, 2)*SmtRes!AK23, 2)</f>
        <v>0</v>
      </c>
      <c r="U9">
        <v>3</v>
      </c>
      <c r="Z9">
        <f>SmtRes!X23</f>
        <v>2131831278</v>
      </c>
      <c r="AA9">
        <v>1992150135</v>
      </c>
      <c r="AB9">
        <v>1992150135</v>
      </c>
    </row>
    <row r="10" spans="1:28" x14ac:dyDescent="0.2">
      <c r="A10">
        <v>20</v>
      </c>
      <c r="B10">
        <v>22</v>
      </c>
      <c r="C10">
        <v>3</v>
      </c>
      <c r="D10">
        <v>0</v>
      </c>
      <c r="E10">
        <f>SmtRes!AV22</f>
        <v>0</v>
      </c>
      <c r="F10" t="str">
        <f>SmtRes!I22</f>
        <v>408-0141</v>
      </c>
      <c r="G10" t="str">
        <f>SmtRes!K22</f>
        <v>Песок природный для строительных растворов средний</v>
      </c>
      <c r="H10" t="str">
        <f>SmtRes!O22</f>
        <v>м3</v>
      </c>
      <c r="I10">
        <f>SmtRes!Y22*Source!I75</f>
        <v>4.2689999999999994E-3</v>
      </c>
      <c r="J10">
        <f>SmtRes!AO22</f>
        <v>1</v>
      </c>
      <c r="K10">
        <f>SmtRes!AE22</f>
        <v>64.959999999999994</v>
      </c>
      <c r="L10">
        <f>SmtRes!DB22</f>
        <v>9.74</v>
      </c>
      <c r="M10">
        <f>ROUND(ROUND(L10*Source!I75, 2)*1, 2)</f>
        <v>0.28000000000000003</v>
      </c>
      <c r="N10">
        <f>SmtRes!AA22</f>
        <v>975.05</v>
      </c>
      <c r="O10">
        <f>ROUND(ROUND(L10*Source!I75, 2)*SmtRes!DA22, 2)</f>
        <v>4.2</v>
      </c>
      <c r="P10">
        <f>SmtRes!AG22</f>
        <v>0</v>
      </c>
      <c r="Q10">
        <f>SmtRes!DC22</f>
        <v>0</v>
      </c>
      <c r="R10">
        <f>ROUND(ROUND(Q10*Source!I75, 2)*1, 2)</f>
        <v>0</v>
      </c>
      <c r="S10">
        <f>SmtRes!AC22</f>
        <v>0</v>
      </c>
      <c r="T10">
        <f>ROUND(ROUND(Q10*Source!I75, 2)*SmtRes!AK22, 2)</f>
        <v>0</v>
      </c>
      <c r="U10">
        <v>3</v>
      </c>
      <c r="Z10">
        <f>SmtRes!X22</f>
        <v>1123154371</v>
      </c>
      <c r="AA10">
        <v>1317345418</v>
      </c>
      <c r="AB10">
        <v>1589826181</v>
      </c>
    </row>
    <row r="11" spans="1:28" x14ac:dyDescent="0.2">
      <c r="A11">
        <v>20</v>
      </c>
      <c r="B11">
        <v>21</v>
      </c>
      <c r="C11">
        <v>3</v>
      </c>
      <c r="D11">
        <v>0</v>
      </c>
      <c r="E11">
        <f>SmtRes!AV21</f>
        <v>0</v>
      </c>
      <c r="F11" t="str">
        <f>SmtRes!I21</f>
        <v>201-0843</v>
      </c>
      <c r="G11" t="str">
        <f>SmtRes!K21</f>
        <v>Конструкции стальные индивидуальные решетчатые сварные массой до 0,1 т</v>
      </c>
      <c r="H11" t="str">
        <f>SmtRes!O21</f>
        <v>т</v>
      </c>
      <c r="I11">
        <f>SmtRes!Y21*Source!I75</f>
        <v>2.8459999999999999E-2</v>
      </c>
      <c r="J11">
        <f>SmtRes!AO21</f>
        <v>1</v>
      </c>
      <c r="K11">
        <f>SmtRes!AE21</f>
        <v>11672.49</v>
      </c>
      <c r="L11">
        <f>SmtRes!DB21</f>
        <v>11672.49</v>
      </c>
      <c r="M11">
        <f>ROUND(ROUND(L11*Source!I75, 2)*1, 2)</f>
        <v>332.2</v>
      </c>
      <c r="N11">
        <f>SmtRes!AA21</f>
        <v>125245.82</v>
      </c>
      <c r="O11">
        <f>ROUND(ROUND(L11*Source!I75, 2)*SmtRes!DA21, 2)</f>
        <v>3564.51</v>
      </c>
      <c r="P11">
        <f>SmtRes!AG21</f>
        <v>0</v>
      </c>
      <c r="Q11">
        <f>SmtRes!DC21</f>
        <v>0</v>
      </c>
      <c r="R11">
        <f>ROUND(ROUND(Q11*Source!I75, 2)*1, 2)</f>
        <v>0</v>
      </c>
      <c r="S11">
        <f>SmtRes!AC21</f>
        <v>0</v>
      </c>
      <c r="T11">
        <f>ROUND(ROUND(Q11*Source!I75, 2)*SmtRes!AK21, 2)</f>
        <v>0</v>
      </c>
      <c r="U11">
        <v>3</v>
      </c>
      <c r="Z11">
        <f>SmtRes!X21</f>
        <v>-1120195284</v>
      </c>
      <c r="AA11">
        <v>1540553624</v>
      </c>
      <c r="AB11">
        <v>-1567632015</v>
      </c>
    </row>
    <row r="12" spans="1:28" x14ac:dyDescent="0.2">
      <c r="A12">
        <v>20</v>
      </c>
      <c r="B12">
        <v>20</v>
      </c>
      <c r="C12">
        <v>3</v>
      </c>
      <c r="D12">
        <v>0</v>
      </c>
      <c r="E12">
        <f>SmtRes!AV20</f>
        <v>0</v>
      </c>
      <c r="F12" t="str">
        <f>SmtRes!I20</f>
        <v>101-1977</v>
      </c>
      <c r="G12" t="str">
        <f>SmtRes!K20</f>
        <v>Болты с гайками и шайбами строительные</v>
      </c>
      <c r="H12" t="str">
        <f>SmtRes!O20</f>
        <v>кг</v>
      </c>
      <c r="I12">
        <f>SmtRes!Y20*Source!I75</f>
        <v>0.76841999999999999</v>
      </c>
      <c r="J12">
        <f>SmtRes!AO20</f>
        <v>1</v>
      </c>
      <c r="K12">
        <f>SmtRes!AE20</f>
        <v>9.49</v>
      </c>
      <c r="L12">
        <f>SmtRes!DB20</f>
        <v>256.23</v>
      </c>
      <c r="M12">
        <f>ROUND(ROUND(L12*Source!I75, 2)*1, 2)</f>
        <v>7.29</v>
      </c>
      <c r="N12">
        <f>SmtRes!AA20</f>
        <v>288.5</v>
      </c>
      <c r="O12">
        <f>ROUND(ROUND(L12*Source!I75, 2)*SmtRes!DA20, 2)</f>
        <v>221.62</v>
      </c>
      <c r="P12">
        <f>SmtRes!AG20</f>
        <v>0</v>
      </c>
      <c r="Q12">
        <f>SmtRes!DC20</f>
        <v>0</v>
      </c>
      <c r="R12">
        <f>ROUND(ROUND(Q12*Source!I75, 2)*1, 2)</f>
        <v>0</v>
      </c>
      <c r="S12">
        <f>SmtRes!AC20</f>
        <v>0</v>
      </c>
      <c r="T12">
        <f>ROUND(ROUND(Q12*Source!I75, 2)*SmtRes!AK20, 2)</f>
        <v>0</v>
      </c>
      <c r="U12">
        <v>3</v>
      </c>
      <c r="Z12">
        <f>SmtRes!X20</f>
        <v>-1815671160</v>
      </c>
      <c r="AA12">
        <v>1358235642</v>
      </c>
      <c r="AB12">
        <v>1334651650</v>
      </c>
    </row>
    <row r="13" spans="1:28" x14ac:dyDescent="0.2">
      <c r="A13">
        <v>20</v>
      </c>
      <c r="B13">
        <v>19</v>
      </c>
      <c r="C13">
        <v>3</v>
      </c>
      <c r="D13">
        <v>0</v>
      </c>
      <c r="E13">
        <f>SmtRes!AV19</f>
        <v>0</v>
      </c>
      <c r="F13" t="str">
        <f>SmtRes!I19</f>
        <v>101-1924</v>
      </c>
      <c r="G13" t="str">
        <f>SmtRes!K19</f>
        <v>Электроды диаметром 4 мм Э42А</v>
      </c>
      <c r="H13" t="str">
        <f>SmtRes!O19</f>
        <v>кг</v>
      </c>
      <c r="I13">
        <f>SmtRes!Y19*Source!I75</f>
        <v>0.119532</v>
      </c>
      <c r="J13">
        <f>SmtRes!AO19</f>
        <v>1</v>
      </c>
      <c r="K13">
        <f>SmtRes!AE19</f>
        <v>12.65</v>
      </c>
      <c r="L13">
        <f>SmtRes!DB19</f>
        <v>53.13</v>
      </c>
      <c r="M13">
        <f>ROUND(ROUND(L13*Source!I75, 2)*1, 2)</f>
        <v>1.51</v>
      </c>
      <c r="N13">
        <f>SmtRes!AA19</f>
        <v>121.82</v>
      </c>
      <c r="O13">
        <f>ROUND(ROUND(L13*Source!I75, 2)*SmtRes!DA19, 2)</f>
        <v>14.54</v>
      </c>
      <c r="P13">
        <f>SmtRes!AG19</f>
        <v>0</v>
      </c>
      <c r="Q13">
        <f>SmtRes!DC19</f>
        <v>0</v>
      </c>
      <c r="R13">
        <f>ROUND(ROUND(Q13*Source!I75, 2)*1, 2)</f>
        <v>0</v>
      </c>
      <c r="S13">
        <f>SmtRes!AC19</f>
        <v>0</v>
      </c>
      <c r="T13">
        <f>ROUND(ROUND(Q13*Source!I75, 2)*SmtRes!AK19, 2)</f>
        <v>0</v>
      </c>
      <c r="U13">
        <v>3</v>
      </c>
      <c r="Z13">
        <f>SmtRes!X19</f>
        <v>-347328291</v>
      </c>
      <c r="AA13">
        <v>-1317950517</v>
      </c>
      <c r="AB13">
        <v>280888119</v>
      </c>
    </row>
    <row r="14" spans="1:28" x14ac:dyDescent="0.2">
      <c r="A14">
        <v>20</v>
      </c>
      <c r="B14">
        <v>18</v>
      </c>
      <c r="C14">
        <v>3</v>
      </c>
      <c r="D14">
        <v>0</v>
      </c>
      <c r="E14">
        <f>SmtRes!AV18</f>
        <v>0</v>
      </c>
      <c r="F14" t="str">
        <f>SmtRes!I18</f>
        <v>101-1728</v>
      </c>
      <c r="G14" t="str">
        <f>SmtRes!K18</f>
        <v>Дюбели распорные с гайкой</v>
      </c>
      <c r="H14" t="str">
        <f>SmtRes!O18</f>
        <v>100 шт.</v>
      </c>
      <c r="I14">
        <f>SmtRes!Y18*Source!I75</f>
        <v>2.2768E-2</v>
      </c>
      <c r="J14">
        <f>SmtRes!AO18</f>
        <v>1</v>
      </c>
      <c r="K14">
        <f>SmtRes!AE18</f>
        <v>111.65</v>
      </c>
      <c r="L14">
        <f>SmtRes!DB18</f>
        <v>89.32</v>
      </c>
      <c r="M14">
        <f>ROUND(ROUND(L14*Source!I75, 2)*1, 2)</f>
        <v>2.54</v>
      </c>
      <c r="N14">
        <f>SmtRes!AA18</f>
        <v>464.46</v>
      </c>
      <c r="O14">
        <f>ROUND(ROUND(L14*Source!I75, 2)*SmtRes!DA18, 2)</f>
        <v>10.57</v>
      </c>
      <c r="P14">
        <f>SmtRes!AG18</f>
        <v>0</v>
      </c>
      <c r="Q14">
        <f>SmtRes!DC18</f>
        <v>0</v>
      </c>
      <c r="R14">
        <f>ROUND(ROUND(Q14*Source!I75, 2)*1, 2)</f>
        <v>0</v>
      </c>
      <c r="S14">
        <f>SmtRes!AC18</f>
        <v>0</v>
      </c>
      <c r="T14">
        <f>ROUND(ROUND(Q14*Source!I75, 2)*SmtRes!AK18, 2)</f>
        <v>0</v>
      </c>
      <c r="U14">
        <v>3</v>
      </c>
      <c r="Z14">
        <f>SmtRes!X18</f>
        <v>-1585051097</v>
      </c>
      <c r="AA14">
        <v>-1280685159</v>
      </c>
      <c r="AB14">
        <v>-844708560</v>
      </c>
    </row>
    <row r="15" spans="1:28" x14ac:dyDescent="0.2">
      <c r="A15">
        <v>20</v>
      </c>
      <c r="B15">
        <v>17</v>
      </c>
      <c r="C15">
        <v>3</v>
      </c>
      <c r="D15">
        <v>0</v>
      </c>
      <c r="E15">
        <f>SmtRes!AV17</f>
        <v>0</v>
      </c>
      <c r="F15" t="str">
        <f>SmtRes!I17</f>
        <v>101-1306</v>
      </c>
      <c r="G15" t="str">
        <f>SmtRes!K17</f>
        <v>Портландцемент общестроительного назначения бездобавочный, марки 500</v>
      </c>
      <c r="H15" t="str">
        <f>SmtRes!O17</f>
        <v>т</v>
      </c>
      <c r="I15">
        <f>SmtRes!Y17*Source!I75</f>
        <v>5.1227999999999994E-3</v>
      </c>
      <c r="J15">
        <f>SmtRes!AO17</f>
        <v>1</v>
      </c>
      <c r="K15">
        <f>SmtRes!AE17</f>
        <v>582</v>
      </c>
      <c r="L15">
        <f>SmtRes!DB17</f>
        <v>104.76</v>
      </c>
      <c r="M15">
        <f>ROUND(ROUND(L15*Source!I75, 2)*1, 2)</f>
        <v>2.98</v>
      </c>
      <c r="N15">
        <f>SmtRes!AA17</f>
        <v>10045.32</v>
      </c>
      <c r="O15">
        <f>ROUND(ROUND(L15*Source!I75, 2)*SmtRes!DA17, 2)</f>
        <v>51.43</v>
      </c>
      <c r="P15">
        <f>SmtRes!AG17</f>
        <v>0</v>
      </c>
      <c r="Q15">
        <f>SmtRes!DC17</f>
        <v>0</v>
      </c>
      <c r="R15">
        <f>ROUND(ROUND(Q15*Source!I75, 2)*1, 2)</f>
        <v>0</v>
      </c>
      <c r="S15">
        <f>SmtRes!AC17</f>
        <v>0</v>
      </c>
      <c r="T15">
        <f>ROUND(ROUND(Q15*Source!I75, 2)*SmtRes!AK17, 2)</f>
        <v>0</v>
      </c>
      <c r="U15">
        <v>3</v>
      </c>
      <c r="Z15">
        <f>SmtRes!X17</f>
        <v>994982934</v>
      </c>
      <c r="AA15">
        <v>-921879620</v>
      </c>
      <c r="AB15">
        <v>1108209291</v>
      </c>
    </row>
    <row r="16" spans="1:28" x14ac:dyDescent="0.2">
      <c r="A16">
        <v>20</v>
      </c>
      <c r="B16">
        <v>42</v>
      </c>
      <c r="C16">
        <v>3</v>
      </c>
      <c r="D16">
        <v>0</v>
      </c>
      <c r="E16">
        <f>SmtRes!AV42</f>
        <v>0</v>
      </c>
      <c r="F16" t="str">
        <f>SmtRes!I42</f>
        <v>509-1073</v>
      </c>
      <c r="G16" t="str">
        <f>SmtRes!K42</f>
        <v>Колпачки полиэтиленовые</v>
      </c>
      <c r="H16" t="str">
        <f>SmtRes!O42</f>
        <v>шт.</v>
      </c>
      <c r="I16">
        <f>SmtRes!Y42*Source!I76</f>
        <v>6</v>
      </c>
      <c r="J16">
        <f>SmtRes!AO42</f>
        <v>1</v>
      </c>
      <c r="K16">
        <f>SmtRes!AE42</f>
        <v>6.2</v>
      </c>
      <c r="L16">
        <f>SmtRes!DB42</f>
        <v>37.200000000000003</v>
      </c>
      <c r="M16">
        <f>ROUND(ROUND(L16*Source!I76, 2)*1, 2)</f>
        <v>37.200000000000003</v>
      </c>
      <c r="N16">
        <f>SmtRes!AA42</f>
        <v>15.19</v>
      </c>
      <c r="O16">
        <f>ROUND(ROUND(L16*Source!I76, 2)*SmtRes!DA42, 2)</f>
        <v>91.14</v>
      </c>
      <c r="P16">
        <f>SmtRes!AG42</f>
        <v>0</v>
      </c>
      <c r="Q16">
        <f>SmtRes!DC42</f>
        <v>0</v>
      </c>
      <c r="R16">
        <f>ROUND(ROUND(Q16*Source!I76, 2)*1, 2)</f>
        <v>0</v>
      </c>
      <c r="S16">
        <f>SmtRes!AC42</f>
        <v>0</v>
      </c>
      <c r="T16">
        <f>ROUND(ROUND(Q16*Source!I76, 2)*SmtRes!AK42, 2)</f>
        <v>0</v>
      </c>
      <c r="U16">
        <v>3</v>
      </c>
      <c r="Z16">
        <f>SmtRes!X42</f>
        <v>1199042919</v>
      </c>
      <c r="AA16">
        <v>-254957445</v>
      </c>
      <c r="AB16">
        <v>1171172368</v>
      </c>
    </row>
    <row r="17" spans="1:28" x14ac:dyDescent="0.2">
      <c r="A17">
        <v>20</v>
      </c>
      <c r="B17">
        <v>37</v>
      </c>
      <c r="C17">
        <v>3</v>
      </c>
      <c r="D17">
        <v>0</v>
      </c>
      <c r="E17">
        <f>SmtRes!AV37</f>
        <v>0</v>
      </c>
      <c r="F17" t="str">
        <f>SmtRes!I37</f>
        <v>113-0079</v>
      </c>
      <c r="G17" t="str">
        <f>SmtRes!K37</f>
        <v>Лак БТ-577</v>
      </c>
      <c r="H17" t="str">
        <f>SmtRes!O37</f>
        <v>т</v>
      </c>
      <c r="I17">
        <f>SmtRes!Y37*Source!I76</f>
        <v>1E-4</v>
      </c>
      <c r="J17">
        <f>SmtRes!AO37</f>
        <v>1</v>
      </c>
      <c r="K17">
        <f>SmtRes!AE37</f>
        <v>9550.01</v>
      </c>
      <c r="L17">
        <f>SmtRes!DB37</f>
        <v>0.96</v>
      </c>
      <c r="M17">
        <f>ROUND(ROUND(L17*Source!I76, 2)*1, 2)</f>
        <v>0.96</v>
      </c>
      <c r="N17">
        <f>SmtRes!AA37</f>
        <v>85854.59</v>
      </c>
      <c r="O17">
        <f>ROUND(ROUND(L17*Source!I76, 2)*SmtRes!DA37, 2)</f>
        <v>8.6300000000000008</v>
      </c>
      <c r="P17">
        <f>SmtRes!AG37</f>
        <v>0</v>
      </c>
      <c r="Q17">
        <f>SmtRes!DC37</f>
        <v>0</v>
      </c>
      <c r="R17">
        <f>ROUND(ROUND(Q17*Source!I76, 2)*1, 2)</f>
        <v>0</v>
      </c>
      <c r="S17">
        <f>SmtRes!AC37</f>
        <v>0</v>
      </c>
      <c r="T17">
        <f>ROUND(ROUND(Q17*Source!I76, 2)*SmtRes!AK37, 2)</f>
        <v>0</v>
      </c>
      <c r="U17">
        <v>3</v>
      </c>
      <c r="Z17">
        <f>SmtRes!X37</f>
        <v>911236404</v>
      </c>
      <c r="AA17">
        <v>433044666</v>
      </c>
      <c r="AB17">
        <v>-92041477</v>
      </c>
    </row>
    <row r="18" spans="1:28" x14ac:dyDescent="0.2">
      <c r="A18">
        <v>20</v>
      </c>
      <c r="B18">
        <v>32</v>
      </c>
      <c r="C18">
        <v>3</v>
      </c>
      <c r="D18">
        <v>0</v>
      </c>
      <c r="E18">
        <f>SmtRes!AV32</f>
        <v>0</v>
      </c>
      <c r="F18" t="str">
        <f>SmtRes!I32</f>
        <v>101-2349</v>
      </c>
      <c r="G18" t="str">
        <f>SmtRes!K32</f>
        <v>Смазка ЗЭС</v>
      </c>
      <c r="H18" t="str">
        <f>SmtRes!O32</f>
        <v>кг</v>
      </c>
      <c r="I18">
        <f>SmtRes!Y32*Source!I76</f>
        <v>0.1</v>
      </c>
      <c r="J18">
        <f>SmtRes!AO32</f>
        <v>1</v>
      </c>
      <c r="K18">
        <f>SmtRes!AE32</f>
        <v>14.62</v>
      </c>
      <c r="L18">
        <f>SmtRes!DB32</f>
        <v>1.46</v>
      </c>
      <c r="M18">
        <f>ROUND(ROUND(L18*Source!I76, 2)*1, 2)</f>
        <v>1.46</v>
      </c>
      <c r="N18">
        <f>SmtRes!AA32</f>
        <v>238.6</v>
      </c>
      <c r="O18">
        <f>ROUND(ROUND(L18*Source!I76, 2)*SmtRes!DA32, 2)</f>
        <v>23.83</v>
      </c>
      <c r="P18">
        <f>SmtRes!AG32</f>
        <v>0</v>
      </c>
      <c r="Q18">
        <f>SmtRes!DC32</f>
        <v>0</v>
      </c>
      <c r="R18">
        <f>ROUND(ROUND(Q18*Source!I76, 2)*1, 2)</f>
        <v>0</v>
      </c>
      <c r="S18">
        <f>SmtRes!AC32</f>
        <v>0</v>
      </c>
      <c r="T18">
        <f>ROUND(ROUND(Q18*Source!I76, 2)*SmtRes!AK32, 2)</f>
        <v>0</v>
      </c>
      <c r="U18">
        <v>3</v>
      </c>
      <c r="Z18">
        <f>SmtRes!X32</f>
        <v>-1589564529</v>
      </c>
      <c r="AA18">
        <v>931675150</v>
      </c>
      <c r="AB18">
        <v>1099975433</v>
      </c>
    </row>
    <row r="19" spans="1:28" x14ac:dyDescent="0.2">
      <c r="A19">
        <v>20</v>
      </c>
      <c r="B19">
        <v>31</v>
      </c>
      <c r="C19">
        <v>3</v>
      </c>
      <c r="D19">
        <v>0</v>
      </c>
      <c r="E19">
        <f>SmtRes!AV31</f>
        <v>0</v>
      </c>
      <c r="F19" t="str">
        <f>SmtRes!I31</f>
        <v>101-1757</v>
      </c>
      <c r="G19" t="str">
        <f>SmtRes!K31</f>
        <v>Ветошь</v>
      </c>
      <c r="H19" t="str">
        <f>SmtRes!O31</f>
        <v>кг</v>
      </c>
      <c r="I19">
        <f>SmtRes!Y31*Source!I76</f>
        <v>0.02</v>
      </c>
      <c r="J19">
        <f>SmtRes!AO31</f>
        <v>1</v>
      </c>
      <c r="K19">
        <f>SmtRes!AE31</f>
        <v>1.82</v>
      </c>
      <c r="L19">
        <f>SmtRes!DB31</f>
        <v>0.04</v>
      </c>
      <c r="M19">
        <f>ROUND(ROUND(L19*Source!I76, 2)*1, 2)</f>
        <v>0.04</v>
      </c>
      <c r="N19">
        <f>SmtRes!AA31</f>
        <v>27.37</v>
      </c>
      <c r="O19">
        <f>ROUND(ROUND(L19*Source!I76, 2)*SmtRes!DA31, 2)</f>
        <v>0.6</v>
      </c>
      <c r="P19">
        <f>SmtRes!AG31</f>
        <v>0</v>
      </c>
      <c r="Q19">
        <f>SmtRes!DC31</f>
        <v>0</v>
      </c>
      <c r="R19">
        <f>ROUND(ROUND(Q19*Source!I76, 2)*1, 2)</f>
        <v>0</v>
      </c>
      <c r="S19">
        <f>SmtRes!AC31</f>
        <v>0</v>
      </c>
      <c r="T19">
        <f>ROUND(ROUND(Q19*Source!I76, 2)*SmtRes!AK31, 2)</f>
        <v>0</v>
      </c>
      <c r="U19">
        <v>3</v>
      </c>
      <c r="Z19">
        <f>SmtRes!X31</f>
        <v>844235703</v>
      </c>
      <c r="AA19">
        <v>-1982503573</v>
      </c>
      <c r="AB19">
        <v>1926936468</v>
      </c>
    </row>
    <row r="20" spans="1:28" x14ac:dyDescent="0.2">
      <c r="A20">
        <v>20</v>
      </c>
      <c r="B20">
        <v>29</v>
      </c>
      <c r="C20">
        <v>3</v>
      </c>
      <c r="D20">
        <v>0</v>
      </c>
      <c r="E20">
        <f>SmtRes!AV29</f>
        <v>0</v>
      </c>
      <c r="F20" t="str">
        <f>SmtRes!I29</f>
        <v>101-0962</v>
      </c>
      <c r="G20" t="str">
        <f>SmtRes!K29</f>
        <v>Смазка солидол жировой марки «Ж»</v>
      </c>
      <c r="H20" t="str">
        <f>SmtRes!O29</f>
        <v>т</v>
      </c>
      <c r="I20">
        <f>SmtRes!Y29*Source!I76</f>
        <v>3.0000000000000001E-5</v>
      </c>
      <c r="J20">
        <f>SmtRes!AO29</f>
        <v>1</v>
      </c>
      <c r="K20">
        <f>SmtRes!AE29</f>
        <v>9662</v>
      </c>
      <c r="L20">
        <f>SmtRes!DB29</f>
        <v>0.28999999999999998</v>
      </c>
      <c r="M20">
        <f>ROUND(ROUND(L20*Source!I76, 2)*1, 2)</f>
        <v>0.28999999999999998</v>
      </c>
      <c r="N20">
        <f>SmtRes!AA29</f>
        <v>163867.51999999999</v>
      </c>
      <c r="O20">
        <f>ROUND(ROUND(L20*Source!I76, 2)*SmtRes!DA29, 2)</f>
        <v>4.92</v>
      </c>
      <c r="P20">
        <f>SmtRes!AG29</f>
        <v>0</v>
      </c>
      <c r="Q20">
        <f>SmtRes!DC29</f>
        <v>0</v>
      </c>
      <c r="R20">
        <f>ROUND(ROUND(Q20*Source!I76, 2)*1, 2)</f>
        <v>0</v>
      </c>
      <c r="S20">
        <f>SmtRes!AC29</f>
        <v>0</v>
      </c>
      <c r="T20">
        <f>ROUND(ROUND(Q20*Source!I76, 2)*SmtRes!AK29, 2)</f>
        <v>0</v>
      </c>
      <c r="U20">
        <v>3</v>
      </c>
      <c r="Z20">
        <f>SmtRes!X29</f>
        <v>-1121770783</v>
      </c>
      <c r="AA20">
        <v>187131418</v>
      </c>
      <c r="AB20">
        <v>2090751514</v>
      </c>
    </row>
    <row r="21" spans="1:28" x14ac:dyDescent="0.2">
      <c r="A21">
        <v>20</v>
      </c>
      <c r="B21">
        <v>28</v>
      </c>
      <c r="C21">
        <v>3</v>
      </c>
      <c r="D21">
        <v>0</v>
      </c>
      <c r="E21">
        <f>SmtRes!AV28</f>
        <v>0</v>
      </c>
      <c r="F21" t="str">
        <f>SmtRes!I28</f>
        <v>101-0404</v>
      </c>
      <c r="G21" t="str">
        <f>SmtRes!K28</f>
        <v>Краска для наружных работ черная, марок МА-015, ПФ-014</v>
      </c>
      <c r="H21" t="str">
        <f>SmtRes!O28</f>
        <v>т</v>
      </c>
      <c r="I21">
        <f>SmtRes!Y28*Source!I76</f>
        <v>4.0000000000000002E-4</v>
      </c>
      <c r="J21">
        <f>SmtRes!AO28</f>
        <v>1</v>
      </c>
      <c r="K21">
        <f>SmtRes!AE28</f>
        <v>15954.5</v>
      </c>
      <c r="L21">
        <f>SmtRes!DB28</f>
        <v>6.38</v>
      </c>
      <c r="M21">
        <f>ROUND(ROUND(L21*Source!I76, 2)*1, 2)</f>
        <v>6.38</v>
      </c>
      <c r="N21">
        <f>SmtRes!AA28</f>
        <v>83122.95</v>
      </c>
      <c r="O21">
        <f>ROUND(ROUND(L21*Source!I76, 2)*SmtRes!DA28, 2)</f>
        <v>33.24</v>
      </c>
      <c r="P21">
        <f>SmtRes!AG28</f>
        <v>0</v>
      </c>
      <c r="Q21">
        <f>SmtRes!DC28</f>
        <v>0</v>
      </c>
      <c r="R21">
        <f>ROUND(ROUND(Q21*Source!I76, 2)*1, 2)</f>
        <v>0</v>
      </c>
      <c r="S21">
        <f>SmtRes!AC28</f>
        <v>0</v>
      </c>
      <c r="T21">
        <f>ROUND(ROUND(Q21*Source!I76, 2)*SmtRes!AK28, 2)</f>
        <v>0</v>
      </c>
      <c r="U21">
        <v>3</v>
      </c>
      <c r="Z21">
        <f>SmtRes!X28</f>
        <v>-1700027683</v>
      </c>
      <c r="AA21">
        <v>1995854254</v>
      </c>
      <c r="AB21">
        <v>513487788</v>
      </c>
    </row>
    <row r="22" spans="1:28" x14ac:dyDescent="0.2">
      <c r="A22">
        <f>Source!A86</f>
        <v>17</v>
      </c>
      <c r="B22">
        <v>86</v>
      </c>
      <c r="C22">
        <v>3</v>
      </c>
      <c r="D22">
        <f>Source!BI86</f>
        <v>1</v>
      </c>
      <c r="E22">
        <f>Source!FS86</f>
        <v>0</v>
      </c>
      <c r="F22" t="str">
        <f>Source!F86</f>
        <v>403-2127</v>
      </c>
      <c r="G22" t="str">
        <f>Source!G86</f>
        <v>Стойка опоры СВ 110-3,5 /бетон В30 (М400), объем 0,45 м3, расход ар-ры 66,8 кг/ (серия 3.407.1-143 вып.7)</v>
      </c>
      <c r="H22" t="str">
        <f>Source!H86</f>
        <v>шт.</v>
      </c>
      <c r="I22">
        <f>Source!I86</f>
        <v>2</v>
      </c>
      <c r="J22">
        <v>1</v>
      </c>
      <c r="K22">
        <f>Source!AC86</f>
        <v>1525.42</v>
      </c>
      <c r="M22">
        <f t="shared" ref="M22:M32" si="0">ROUND(K22*I22, 2)</f>
        <v>3050.84</v>
      </c>
      <c r="N22">
        <f>Source!AC86*IF(Source!BC86&lt;&gt; 0, Source!BC86, 1)</f>
        <v>19311.817200000001</v>
      </c>
      <c r="O22">
        <f t="shared" ref="O22:O32" si="1">ROUND(N22*I22, 2)</f>
        <v>38623.629999999997</v>
      </c>
      <c r="P22">
        <f>Source!AE86</f>
        <v>0</v>
      </c>
      <c r="R22">
        <f t="shared" ref="R22:R32" si="2">ROUND(P22*I22, 2)</f>
        <v>0</v>
      </c>
      <c r="S22">
        <f>Source!AE86*IF(Source!BS86&lt;&gt; 0, Source!BS86, 1)</f>
        <v>0</v>
      </c>
      <c r="T22">
        <f t="shared" ref="T22:T32" si="3">ROUND(S22*I22, 2)</f>
        <v>0</v>
      </c>
      <c r="U22">
        <v>3</v>
      </c>
      <c r="Z22">
        <f>Source!GF86</f>
        <v>-1757675419</v>
      </c>
      <c r="AA22">
        <v>497275943</v>
      </c>
      <c r="AB22">
        <v>1258684363</v>
      </c>
    </row>
    <row r="23" spans="1:28" x14ac:dyDescent="0.2">
      <c r="A23">
        <f>Source!A87</f>
        <v>17</v>
      </c>
      <c r="B23">
        <v>87</v>
      </c>
      <c r="C23">
        <v>3</v>
      </c>
      <c r="D23">
        <f>Source!BI87</f>
        <v>1</v>
      </c>
      <c r="E23">
        <f>Source!FS87</f>
        <v>0</v>
      </c>
      <c r="F23" t="str">
        <f>Source!F87</f>
        <v>201-8113</v>
      </c>
      <c r="G23" t="str">
        <f>Source!G87</f>
        <v>Траверсы стальные (Траверса ТМ-71 21,76 кг и траверса ТМ-66 6,7 кг)</v>
      </c>
      <c r="H23" t="str">
        <f>Source!H87</f>
        <v>т</v>
      </c>
      <c r="I23">
        <f>Source!I87</f>
        <v>2.8459999999999999E-2</v>
      </c>
      <c r="J23">
        <v>1</v>
      </c>
      <c r="K23">
        <f>Source!AC87</f>
        <v>10995.42</v>
      </c>
      <c r="M23">
        <f t="shared" si="0"/>
        <v>312.93</v>
      </c>
      <c r="N23">
        <f>Source!AC87*IF(Source!BC87&lt;&gt; 0, Source!BC87, 1)</f>
        <v>251795.11799999999</v>
      </c>
      <c r="O23">
        <f t="shared" si="1"/>
        <v>7166.09</v>
      </c>
      <c r="P23">
        <f>Source!AE87</f>
        <v>0</v>
      </c>
      <c r="R23">
        <f t="shared" si="2"/>
        <v>0</v>
      </c>
      <c r="S23">
        <f>Source!AE87*IF(Source!BS87&lt;&gt; 0, Source!BS87, 1)</f>
        <v>0</v>
      </c>
      <c r="T23">
        <f t="shared" si="3"/>
        <v>0</v>
      </c>
      <c r="U23">
        <v>3</v>
      </c>
      <c r="Z23">
        <f>Source!GF87</f>
        <v>-735871856</v>
      </c>
      <c r="AA23">
        <v>-590417042</v>
      </c>
      <c r="AB23">
        <v>-537919849</v>
      </c>
    </row>
    <row r="24" spans="1:28" x14ac:dyDescent="0.2">
      <c r="A24">
        <f>Source!A88</f>
        <v>17</v>
      </c>
      <c r="B24">
        <v>88</v>
      </c>
      <c r="C24">
        <v>3</v>
      </c>
      <c r="D24">
        <f>Source!BI88</f>
        <v>1</v>
      </c>
      <c r="E24">
        <f>Source!FS88</f>
        <v>0</v>
      </c>
      <c r="F24" t="str">
        <f>Source!F88</f>
        <v>201-0856</v>
      </c>
      <c r="G24" t="str">
        <f>Source!G88</f>
        <v>Хомуты стальные (Хомут Х-12 1,18 кг)</v>
      </c>
      <c r="H24" t="str">
        <f>Source!H88</f>
        <v>кг</v>
      </c>
      <c r="I24">
        <f>Source!I88</f>
        <v>2.36</v>
      </c>
      <c r="J24">
        <v>1</v>
      </c>
      <c r="K24">
        <f>Source!AC88</f>
        <v>9.74</v>
      </c>
      <c r="M24">
        <f t="shared" si="0"/>
        <v>22.99</v>
      </c>
      <c r="N24">
        <f>Source!AC88*IF(Source!BC88&lt;&gt; 0, Source!BC88, 1)</f>
        <v>71.881200000000007</v>
      </c>
      <c r="O24">
        <f t="shared" si="1"/>
        <v>169.64</v>
      </c>
      <c r="P24">
        <f>Source!AE88</f>
        <v>0</v>
      </c>
      <c r="R24">
        <f t="shared" si="2"/>
        <v>0</v>
      </c>
      <c r="S24">
        <f>Source!AE88*IF(Source!BS88&lt;&gt; 0, Source!BS88, 1)</f>
        <v>0</v>
      </c>
      <c r="T24">
        <f t="shared" si="3"/>
        <v>0</v>
      </c>
      <c r="U24">
        <v>3</v>
      </c>
      <c r="Z24">
        <f>Source!GF88</f>
        <v>-262877765</v>
      </c>
      <c r="AA24">
        <v>1852318982</v>
      </c>
      <c r="AB24">
        <v>-969601686</v>
      </c>
    </row>
    <row r="25" spans="1:28" x14ac:dyDescent="0.2">
      <c r="A25">
        <f>Source!A89</f>
        <v>17</v>
      </c>
      <c r="B25">
        <v>89</v>
      </c>
      <c r="C25">
        <v>3</v>
      </c>
      <c r="D25">
        <f>Source!BI89</f>
        <v>1</v>
      </c>
      <c r="E25">
        <f>Source!FS89</f>
        <v>0</v>
      </c>
      <c r="F25" t="str">
        <f>Source!F89</f>
        <v>204-0003</v>
      </c>
      <c r="G25" t="str">
        <f>Source!G89</f>
        <v>Горячекатаная арматурная сталь гладкая класса А-I, диаметром 10 мм</v>
      </c>
      <c r="H25" t="str">
        <f>Source!H89</f>
        <v>т</v>
      </c>
      <c r="I25">
        <f>Source!I89</f>
        <v>5.169E-3</v>
      </c>
      <c r="J25">
        <v>1</v>
      </c>
      <c r="K25">
        <f>Source!AC89</f>
        <v>6813</v>
      </c>
      <c r="M25">
        <f t="shared" si="0"/>
        <v>35.22</v>
      </c>
      <c r="N25">
        <f>Source!AC89*IF(Source!BC89&lt;&gt; 0, Source!BC89, 1)</f>
        <v>71059.59</v>
      </c>
      <c r="O25">
        <f t="shared" si="1"/>
        <v>367.31</v>
      </c>
      <c r="P25">
        <f>Source!AE89</f>
        <v>0</v>
      </c>
      <c r="R25">
        <f t="shared" si="2"/>
        <v>0</v>
      </c>
      <c r="S25">
        <f>Source!AE89*IF(Source!BS89&lt;&gt; 0, Source!BS89, 1)</f>
        <v>0</v>
      </c>
      <c r="T25">
        <f t="shared" si="3"/>
        <v>0</v>
      </c>
      <c r="U25">
        <v>3</v>
      </c>
      <c r="Z25">
        <f>Source!GF89</f>
        <v>-1375793846</v>
      </c>
      <c r="AA25">
        <v>-25435460</v>
      </c>
      <c r="AB25">
        <v>371618959</v>
      </c>
    </row>
    <row r="26" spans="1:28" x14ac:dyDescent="0.2">
      <c r="A26">
        <f>Source!A90</f>
        <v>17</v>
      </c>
      <c r="B26">
        <v>90</v>
      </c>
      <c r="C26">
        <v>3</v>
      </c>
      <c r="D26">
        <f>Source!BI90</f>
        <v>1</v>
      </c>
      <c r="E26">
        <f>Source!FS90</f>
        <v>0</v>
      </c>
      <c r="F26" t="str">
        <f>Source!F90</f>
        <v>110-0318</v>
      </c>
      <c r="G26" t="str">
        <f>Source!G90</f>
        <v>Изоляторы линейные штыревые высоковольтные ШФ 20-Г (прим. Изолятор ШФ-20)</v>
      </c>
      <c r="H26" t="str">
        <f>Source!H90</f>
        <v>шт.</v>
      </c>
      <c r="I26">
        <f>Source!I90</f>
        <v>3</v>
      </c>
      <c r="J26">
        <v>1</v>
      </c>
      <c r="K26">
        <f>Source!AC90</f>
        <v>43.95</v>
      </c>
      <c r="M26">
        <f t="shared" si="0"/>
        <v>131.85</v>
      </c>
      <c r="N26">
        <f>Source!AC90*IF(Source!BC90&lt;&gt; 0, Source!BC90, 1)</f>
        <v>291.38850000000002</v>
      </c>
      <c r="O26">
        <f t="shared" si="1"/>
        <v>874.17</v>
      </c>
      <c r="P26">
        <f>Source!AE90</f>
        <v>0</v>
      </c>
      <c r="R26">
        <f t="shared" si="2"/>
        <v>0</v>
      </c>
      <c r="S26">
        <f>Source!AE90*IF(Source!BS90&lt;&gt; 0, Source!BS90, 1)</f>
        <v>0</v>
      </c>
      <c r="T26">
        <f t="shared" si="3"/>
        <v>0</v>
      </c>
      <c r="U26">
        <v>3</v>
      </c>
      <c r="Z26">
        <f>Source!GF90</f>
        <v>-1794469599</v>
      </c>
      <c r="AA26">
        <v>-111976166</v>
      </c>
      <c r="AB26">
        <v>1528588727</v>
      </c>
    </row>
    <row r="27" spans="1:28" x14ac:dyDescent="0.2">
      <c r="A27">
        <f>Source!A91</f>
        <v>17</v>
      </c>
      <c r="B27">
        <v>91</v>
      </c>
      <c r="C27">
        <v>3</v>
      </c>
      <c r="D27">
        <f>Source!BI91</f>
        <v>2</v>
      </c>
      <c r="E27">
        <f>Source!FS91</f>
        <v>0</v>
      </c>
      <c r="F27" t="str">
        <f>Source!F91</f>
        <v>509-1714</v>
      </c>
      <c r="G27" t="str">
        <f>Source!G91</f>
        <v>Зажим натяжной болтовый НБ-2-6</v>
      </c>
      <c r="H27" t="str">
        <f>Source!H91</f>
        <v>шт.</v>
      </c>
      <c r="I27">
        <f>Source!I91</f>
        <v>3</v>
      </c>
      <c r="J27">
        <v>1</v>
      </c>
      <c r="K27">
        <f>Source!AC91</f>
        <v>90.78</v>
      </c>
      <c r="M27">
        <f t="shared" si="0"/>
        <v>272.33999999999997</v>
      </c>
      <c r="N27">
        <f>Source!AC91*IF(Source!BC91&lt;&gt; 0, Source!BC91, 1)</f>
        <v>752.56619999999998</v>
      </c>
      <c r="O27">
        <f t="shared" si="1"/>
        <v>2257.6999999999998</v>
      </c>
      <c r="P27">
        <f>Source!AE91</f>
        <v>0</v>
      </c>
      <c r="R27">
        <f t="shared" si="2"/>
        <v>0</v>
      </c>
      <c r="S27">
        <f>Source!AE91*IF(Source!BS91&lt;&gt; 0, Source!BS91, 1)</f>
        <v>0</v>
      </c>
      <c r="T27">
        <f t="shared" si="3"/>
        <v>0</v>
      </c>
      <c r="U27">
        <v>3</v>
      </c>
      <c r="Z27">
        <f>Source!GF91</f>
        <v>1038320011</v>
      </c>
      <c r="AA27">
        <v>1588715676</v>
      </c>
      <c r="AB27">
        <v>323588553</v>
      </c>
    </row>
    <row r="28" spans="1:28" x14ac:dyDescent="0.2">
      <c r="A28">
        <f>Source!A92</f>
        <v>17</v>
      </c>
      <c r="B28">
        <v>92</v>
      </c>
      <c r="C28">
        <v>3</v>
      </c>
      <c r="D28">
        <f>Source!BI92</f>
        <v>1</v>
      </c>
      <c r="E28">
        <f>Source!FS92</f>
        <v>0</v>
      </c>
      <c r="F28" t="str">
        <f>Source!F92</f>
        <v>110-0316</v>
      </c>
      <c r="G28" t="str">
        <f>Source!G92</f>
        <v>Звено промежуточное трехлапчатое ПРТ-7-1</v>
      </c>
      <c r="H28" t="str">
        <f>Source!H92</f>
        <v>шт.</v>
      </c>
      <c r="I28">
        <f>Source!I92</f>
        <v>3</v>
      </c>
      <c r="J28">
        <v>1</v>
      </c>
      <c r="K28">
        <f>Source!AC92</f>
        <v>36.979999999999997</v>
      </c>
      <c r="M28">
        <f t="shared" si="0"/>
        <v>110.94</v>
      </c>
      <c r="N28">
        <f>Source!AC92*IF(Source!BC92&lt;&gt; 0, Source!BC92, 1)</f>
        <v>181.94159999999999</v>
      </c>
      <c r="O28">
        <f t="shared" si="1"/>
        <v>545.82000000000005</v>
      </c>
      <c r="P28">
        <f>Source!AE92</f>
        <v>0</v>
      </c>
      <c r="R28">
        <f t="shared" si="2"/>
        <v>0</v>
      </c>
      <c r="S28">
        <f>Source!AE92*IF(Source!BS92&lt;&gt; 0, Source!BS92, 1)</f>
        <v>0</v>
      </c>
      <c r="T28">
        <f t="shared" si="3"/>
        <v>0</v>
      </c>
      <c r="U28">
        <v>3</v>
      </c>
      <c r="Z28">
        <f>Source!GF92</f>
        <v>-367802843</v>
      </c>
      <c r="AA28">
        <v>2020657303</v>
      </c>
      <c r="AB28">
        <v>-1018128656</v>
      </c>
    </row>
    <row r="29" spans="1:28" x14ac:dyDescent="0.2">
      <c r="A29">
        <f>Source!A93</f>
        <v>17</v>
      </c>
      <c r="B29">
        <v>93</v>
      </c>
      <c r="C29">
        <v>3</v>
      </c>
      <c r="D29">
        <f>Source!BI93</f>
        <v>2</v>
      </c>
      <c r="E29">
        <f>Source!FS93</f>
        <v>0</v>
      </c>
      <c r="F29" t="str">
        <f>Source!F93</f>
        <v>509-1771</v>
      </c>
      <c r="G29" t="str">
        <f>Source!G93</f>
        <v>Ушко однолапчатое У1-7-16</v>
      </c>
      <c r="H29" t="str">
        <f>Source!H93</f>
        <v>шт.</v>
      </c>
      <c r="I29">
        <f>Source!I93</f>
        <v>3</v>
      </c>
      <c r="J29">
        <v>1</v>
      </c>
      <c r="K29">
        <f>Source!AC93</f>
        <v>39.909999999999997</v>
      </c>
      <c r="M29">
        <f t="shared" si="0"/>
        <v>119.73</v>
      </c>
      <c r="N29">
        <f>Source!AC93*IF(Source!BC93&lt;&gt; 0, Source!BC93, 1)</f>
        <v>179.59499999999997</v>
      </c>
      <c r="O29">
        <f t="shared" si="1"/>
        <v>538.79</v>
      </c>
      <c r="P29">
        <f>Source!AE93</f>
        <v>0</v>
      </c>
      <c r="R29">
        <f t="shared" si="2"/>
        <v>0</v>
      </c>
      <c r="S29">
        <f>Source!AE93*IF(Source!BS93&lt;&gt; 0, Source!BS93, 1)</f>
        <v>0</v>
      </c>
      <c r="T29">
        <f t="shared" si="3"/>
        <v>0</v>
      </c>
      <c r="U29">
        <v>3</v>
      </c>
      <c r="Z29">
        <f>Source!GF93</f>
        <v>-1642552679</v>
      </c>
      <c r="AA29">
        <v>1384331352</v>
      </c>
      <c r="AB29">
        <v>651493885</v>
      </c>
    </row>
    <row r="30" spans="1:28" x14ac:dyDescent="0.2">
      <c r="A30">
        <f>Source!A94</f>
        <v>17</v>
      </c>
      <c r="B30">
        <v>94</v>
      </c>
      <c r="C30">
        <v>3</v>
      </c>
      <c r="D30">
        <f>Source!BI94</f>
        <v>1</v>
      </c>
      <c r="E30">
        <f>Source!FS94</f>
        <v>0</v>
      </c>
      <c r="F30" t="str">
        <f>Source!F94</f>
        <v>110-0345</v>
      </c>
      <c r="G30" t="str">
        <f>Source!G94</f>
        <v>Изоляторы линейные подвесные стеклянные ПСД-70Е  (прим. Изолятор ПС-70)</v>
      </c>
      <c r="H30" t="str">
        <f>Source!H94</f>
        <v>шт.</v>
      </c>
      <c r="I30">
        <f>Source!I94</f>
        <v>6</v>
      </c>
      <c r="J30">
        <v>1</v>
      </c>
      <c r="K30">
        <f>Source!AC94</f>
        <v>171.79</v>
      </c>
      <c r="M30">
        <f t="shared" si="0"/>
        <v>1030.74</v>
      </c>
      <c r="N30">
        <f>Source!AC94*IF(Source!BC94&lt;&gt; 0, Source!BC94, 1)</f>
        <v>1743.6685</v>
      </c>
      <c r="O30">
        <f t="shared" si="1"/>
        <v>10462.01</v>
      </c>
      <c r="P30">
        <f>Source!AE94</f>
        <v>0</v>
      </c>
      <c r="R30">
        <f t="shared" si="2"/>
        <v>0</v>
      </c>
      <c r="S30">
        <f>Source!AE94*IF(Source!BS94&lt;&gt; 0, Source!BS94, 1)</f>
        <v>0</v>
      </c>
      <c r="T30">
        <f t="shared" si="3"/>
        <v>0</v>
      </c>
      <c r="U30">
        <v>3</v>
      </c>
      <c r="Z30">
        <f>Source!GF94</f>
        <v>-1870749598</v>
      </c>
      <c r="AA30">
        <v>-121472904</v>
      </c>
      <c r="AB30">
        <v>-1190233930</v>
      </c>
    </row>
    <row r="31" spans="1:28" x14ac:dyDescent="0.2">
      <c r="A31">
        <f>Source!A95</f>
        <v>17</v>
      </c>
      <c r="B31">
        <v>95</v>
      </c>
      <c r="C31">
        <v>3</v>
      </c>
      <c r="D31">
        <f>Source!BI95</f>
        <v>2</v>
      </c>
      <c r="E31">
        <f>Source!FS95</f>
        <v>0</v>
      </c>
      <c r="F31" t="str">
        <f>Source!F95</f>
        <v>509-5944</v>
      </c>
      <c r="G31" t="str">
        <f>Source!G95</f>
        <v>Зажим аппаратный прессуемый А1А-70-2</v>
      </c>
      <c r="H31" t="str">
        <f>Source!H95</f>
        <v>шт.</v>
      </c>
      <c r="I31">
        <f>Source!I95</f>
        <v>6</v>
      </c>
      <c r="J31">
        <v>1</v>
      </c>
      <c r="K31">
        <f>Source!AC95</f>
        <v>17.260000000000002</v>
      </c>
      <c r="M31">
        <f t="shared" si="0"/>
        <v>103.56</v>
      </c>
      <c r="N31">
        <f>Source!AC95*IF(Source!BC95&lt;&gt; 0, Source!BC95, 1)</f>
        <v>145.32920000000001</v>
      </c>
      <c r="O31">
        <f t="shared" si="1"/>
        <v>871.98</v>
      </c>
      <c r="P31">
        <f>Source!AE95</f>
        <v>0</v>
      </c>
      <c r="R31">
        <f t="shared" si="2"/>
        <v>0</v>
      </c>
      <c r="S31">
        <f>Source!AE95*IF(Source!BS95&lt;&gt; 0, Source!BS95, 1)</f>
        <v>0</v>
      </c>
      <c r="T31">
        <f t="shared" si="3"/>
        <v>0</v>
      </c>
      <c r="U31">
        <v>3</v>
      </c>
      <c r="Z31">
        <f>Source!GF95</f>
        <v>-2066277925</v>
      </c>
      <c r="AA31">
        <v>-277154372</v>
      </c>
      <c r="AB31">
        <v>-157471096</v>
      </c>
    </row>
    <row r="32" spans="1:28" x14ac:dyDescent="0.2">
      <c r="A32">
        <f>Source!A96</f>
        <v>17</v>
      </c>
      <c r="B32">
        <v>96</v>
      </c>
      <c r="C32">
        <v>3</v>
      </c>
      <c r="D32">
        <f>Source!BI96</f>
        <v>1</v>
      </c>
      <c r="E32">
        <f>Source!FS96</f>
        <v>0</v>
      </c>
      <c r="F32" t="str">
        <f>Source!F96</f>
        <v>Прайс-лист</v>
      </c>
      <c r="G32" t="str">
        <f>Source!G96</f>
        <v>Узел крепления У-1</v>
      </c>
      <c r="H32" t="str">
        <f>Source!H96</f>
        <v>шт.</v>
      </c>
      <c r="I32">
        <f>Source!I96</f>
        <v>1</v>
      </c>
      <c r="J32">
        <v>1</v>
      </c>
      <c r="K32">
        <f>Source!AC96</f>
        <v>583.33000000000004</v>
      </c>
      <c r="M32">
        <f t="shared" si="0"/>
        <v>583.33000000000004</v>
      </c>
      <c r="N32">
        <f>Source!AC96*IF(Source!BC96&lt;&gt; 0, Source!BC96, 1)</f>
        <v>583.33000000000004</v>
      </c>
      <c r="O32">
        <f t="shared" si="1"/>
        <v>583.33000000000004</v>
      </c>
      <c r="P32">
        <f>Source!AE96</f>
        <v>0</v>
      </c>
      <c r="R32">
        <f t="shared" si="2"/>
        <v>0</v>
      </c>
      <c r="S32">
        <f>Source!AE96*IF(Source!BS96&lt;&gt; 0, Source!BS96, 1)</f>
        <v>0</v>
      </c>
      <c r="T32">
        <f t="shared" si="3"/>
        <v>0</v>
      </c>
      <c r="U32">
        <v>3</v>
      </c>
      <c r="Z32">
        <f>Source!GF96</f>
        <v>-1753609087</v>
      </c>
      <c r="AA32">
        <v>-2064534955</v>
      </c>
      <c r="AB32">
        <v>-2064534955</v>
      </c>
    </row>
    <row r="33" spans="1:28" x14ac:dyDescent="0.2">
      <c r="A33">
        <v>20</v>
      </c>
      <c r="B33">
        <v>54</v>
      </c>
      <c r="C33">
        <v>3</v>
      </c>
      <c r="D33">
        <v>0</v>
      </c>
      <c r="E33">
        <f>SmtRes!AV54</f>
        <v>0</v>
      </c>
      <c r="F33" t="str">
        <f>SmtRes!I54</f>
        <v>113-0079</v>
      </c>
      <c r="G33" t="str">
        <f>SmtRes!K54</f>
        <v>Лак БТ-577</v>
      </c>
      <c r="H33" t="str">
        <f>SmtRes!O54</f>
        <v>т</v>
      </c>
      <c r="I33">
        <f>SmtRes!Y54*Source!I97</f>
        <v>1E-4</v>
      </c>
      <c r="J33">
        <f>SmtRes!AO54</f>
        <v>1</v>
      </c>
      <c r="K33">
        <f>SmtRes!AE54</f>
        <v>9550.01</v>
      </c>
      <c r="L33">
        <f>SmtRes!DB54</f>
        <v>0.96</v>
      </c>
      <c r="M33">
        <f>ROUND(ROUND(L33*Source!I97, 2)*1, 2)</f>
        <v>0.96</v>
      </c>
      <c r="N33">
        <f>SmtRes!AA54</f>
        <v>85854.59</v>
      </c>
      <c r="O33">
        <f>ROUND(ROUND(L33*Source!I97, 2)*SmtRes!DA54, 2)</f>
        <v>8.6300000000000008</v>
      </c>
      <c r="P33">
        <f>SmtRes!AG54</f>
        <v>0</v>
      </c>
      <c r="Q33">
        <f>SmtRes!DC54</f>
        <v>0</v>
      </c>
      <c r="R33">
        <f>ROUND(ROUND(Q33*Source!I97, 2)*1, 2)</f>
        <v>0</v>
      </c>
      <c r="S33">
        <f>SmtRes!AC54</f>
        <v>0</v>
      </c>
      <c r="T33">
        <f>ROUND(ROUND(Q33*Source!I97, 2)*SmtRes!AK54, 2)</f>
        <v>0</v>
      </c>
      <c r="U33">
        <v>3</v>
      </c>
      <c r="Z33">
        <f>SmtRes!X54</f>
        <v>911236404</v>
      </c>
      <c r="AA33">
        <v>433044666</v>
      </c>
      <c r="AB33">
        <v>-92041477</v>
      </c>
    </row>
    <row r="34" spans="1:28" x14ac:dyDescent="0.2">
      <c r="A34">
        <v>20</v>
      </c>
      <c r="B34">
        <v>51</v>
      </c>
      <c r="C34">
        <v>3</v>
      </c>
      <c r="D34">
        <v>0</v>
      </c>
      <c r="E34">
        <f>SmtRes!AV51</f>
        <v>0</v>
      </c>
      <c r="F34" t="str">
        <f>SmtRes!I51</f>
        <v>101-2349</v>
      </c>
      <c r="G34" t="str">
        <f>SmtRes!K51</f>
        <v>Смазка ЗЭС</v>
      </c>
      <c r="H34" t="str">
        <f>SmtRes!O51</f>
        <v>кг</v>
      </c>
      <c r="I34">
        <f>SmtRes!Y51*Source!I97</f>
        <v>0.1</v>
      </c>
      <c r="J34">
        <f>SmtRes!AO51</f>
        <v>1</v>
      </c>
      <c r="K34">
        <f>SmtRes!AE51</f>
        <v>14.62</v>
      </c>
      <c r="L34">
        <f>SmtRes!DB51</f>
        <v>1.46</v>
      </c>
      <c r="M34">
        <f>ROUND(ROUND(L34*Source!I97, 2)*1, 2)</f>
        <v>1.46</v>
      </c>
      <c r="N34">
        <f>SmtRes!AA51</f>
        <v>238.6</v>
      </c>
      <c r="O34">
        <f>ROUND(ROUND(L34*Source!I97, 2)*SmtRes!DA51, 2)</f>
        <v>23.83</v>
      </c>
      <c r="P34">
        <f>SmtRes!AG51</f>
        <v>0</v>
      </c>
      <c r="Q34">
        <f>SmtRes!DC51</f>
        <v>0</v>
      </c>
      <c r="R34">
        <f>ROUND(ROUND(Q34*Source!I97, 2)*1, 2)</f>
        <v>0</v>
      </c>
      <c r="S34">
        <f>SmtRes!AC51</f>
        <v>0</v>
      </c>
      <c r="T34">
        <f>ROUND(ROUND(Q34*Source!I97, 2)*SmtRes!AK51, 2)</f>
        <v>0</v>
      </c>
      <c r="U34">
        <v>3</v>
      </c>
      <c r="Z34">
        <f>SmtRes!X51</f>
        <v>-1589564529</v>
      </c>
      <c r="AA34">
        <v>931675150</v>
      </c>
      <c r="AB34">
        <v>1099975433</v>
      </c>
    </row>
    <row r="35" spans="1:28" x14ac:dyDescent="0.2">
      <c r="A35">
        <v>20</v>
      </c>
      <c r="B35">
        <v>50</v>
      </c>
      <c r="C35">
        <v>3</v>
      </c>
      <c r="D35">
        <v>0</v>
      </c>
      <c r="E35">
        <f>SmtRes!AV50</f>
        <v>0</v>
      </c>
      <c r="F35" t="str">
        <f>SmtRes!I50</f>
        <v>101-1757</v>
      </c>
      <c r="G35" t="str">
        <f>SmtRes!K50</f>
        <v>Ветошь</v>
      </c>
      <c r="H35" t="str">
        <f>SmtRes!O50</f>
        <v>кг</v>
      </c>
      <c r="I35">
        <f>SmtRes!Y50*Source!I97</f>
        <v>0.02</v>
      </c>
      <c r="J35">
        <f>SmtRes!AO50</f>
        <v>1</v>
      </c>
      <c r="K35">
        <f>SmtRes!AE50</f>
        <v>1.82</v>
      </c>
      <c r="L35">
        <f>SmtRes!DB50</f>
        <v>0.04</v>
      </c>
      <c r="M35">
        <f>ROUND(ROUND(L35*Source!I97, 2)*1, 2)</f>
        <v>0.04</v>
      </c>
      <c r="N35">
        <f>SmtRes!AA50</f>
        <v>27.37</v>
      </c>
      <c r="O35">
        <f>ROUND(ROUND(L35*Source!I97, 2)*SmtRes!DA50, 2)</f>
        <v>0.6</v>
      </c>
      <c r="P35">
        <f>SmtRes!AG50</f>
        <v>0</v>
      </c>
      <c r="Q35">
        <f>SmtRes!DC50</f>
        <v>0</v>
      </c>
      <c r="R35">
        <f>ROUND(ROUND(Q35*Source!I97, 2)*1, 2)</f>
        <v>0</v>
      </c>
      <c r="S35">
        <f>SmtRes!AC50</f>
        <v>0</v>
      </c>
      <c r="T35">
        <f>ROUND(ROUND(Q35*Source!I97, 2)*SmtRes!AK50, 2)</f>
        <v>0</v>
      </c>
      <c r="U35">
        <v>3</v>
      </c>
      <c r="Z35">
        <f>SmtRes!X50</f>
        <v>844235703</v>
      </c>
      <c r="AA35">
        <v>-1982503573</v>
      </c>
      <c r="AB35">
        <v>1926936468</v>
      </c>
    </row>
    <row r="36" spans="1:28" x14ac:dyDescent="0.2">
      <c r="A36">
        <v>20</v>
      </c>
      <c r="B36">
        <v>48</v>
      </c>
      <c r="C36">
        <v>3</v>
      </c>
      <c r="D36">
        <v>0</v>
      </c>
      <c r="E36">
        <f>SmtRes!AV48</f>
        <v>0</v>
      </c>
      <c r="F36" t="str">
        <f>SmtRes!I48</f>
        <v>101-1292</v>
      </c>
      <c r="G36" t="str">
        <f>SmtRes!K48</f>
        <v>Уайт-спирит</v>
      </c>
      <c r="H36" t="str">
        <f>SmtRes!O48</f>
        <v>т</v>
      </c>
      <c r="I36">
        <f>SmtRes!Y48*Source!I97</f>
        <v>3.0000000000000001E-5</v>
      </c>
      <c r="J36">
        <f>SmtRes!AO48</f>
        <v>1</v>
      </c>
      <c r="K36">
        <f>SmtRes!AE48</f>
        <v>6667</v>
      </c>
      <c r="L36">
        <f>SmtRes!DB48</f>
        <v>0.2</v>
      </c>
      <c r="M36">
        <f>ROUND(ROUND(L36*Source!I97, 2)*1, 2)</f>
        <v>0.2</v>
      </c>
      <c r="N36">
        <f>SmtRes!AA48</f>
        <v>74870.41</v>
      </c>
      <c r="O36">
        <f>ROUND(ROUND(L36*Source!I97, 2)*SmtRes!DA48, 2)</f>
        <v>2.25</v>
      </c>
      <c r="P36">
        <f>SmtRes!AG48</f>
        <v>0</v>
      </c>
      <c r="Q36">
        <f>SmtRes!DC48</f>
        <v>0</v>
      </c>
      <c r="R36">
        <f>ROUND(ROUND(Q36*Source!I97, 2)*1, 2)</f>
        <v>0</v>
      </c>
      <c r="S36">
        <f>SmtRes!AC48</f>
        <v>0</v>
      </c>
      <c r="T36">
        <f>ROUND(ROUND(Q36*Source!I97, 2)*SmtRes!AK48, 2)</f>
        <v>0</v>
      </c>
      <c r="U36">
        <v>3</v>
      </c>
      <c r="Z36">
        <f>SmtRes!X48</f>
        <v>-31802417</v>
      </c>
      <c r="AA36">
        <v>1057528375</v>
      </c>
      <c r="AB36">
        <v>-2009841352</v>
      </c>
    </row>
    <row r="37" spans="1:28" x14ac:dyDescent="0.2">
      <c r="A37">
        <v>20</v>
      </c>
      <c r="B37">
        <v>47</v>
      </c>
      <c r="C37">
        <v>3</v>
      </c>
      <c r="D37">
        <v>0</v>
      </c>
      <c r="E37">
        <f>SmtRes!AV47</f>
        <v>0</v>
      </c>
      <c r="F37" t="str">
        <f>SmtRes!I47</f>
        <v>101-0962</v>
      </c>
      <c r="G37" t="str">
        <f>SmtRes!K47</f>
        <v>Смазка солидол жировой марки «Ж»</v>
      </c>
      <c r="H37" t="str">
        <f>SmtRes!O47</f>
        <v>т</v>
      </c>
      <c r="I37">
        <f>SmtRes!Y47*Source!I97</f>
        <v>3.0000000000000001E-5</v>
      </c>
      <c r="J37">
        <f>SmtRes!AO47</f>
        <v>1</v>
      </c>
      <c r="K37">
        <f>SmtRes!AE47</f>
        <v>9662</v>
      </c>
      <c r="L37">
        <f>SmtRes!DB47</f>
        <v>0.28999999999999998</v>
      </c>
      <c r="M37">
        <f>ROUND(ROUND(L37*Source!I97, 2)*1, 2)</f>
        <v>0.28999999999999998</v>
      </c>
      <c r="N37">
        <f>SmtRes!AA47</f>
        <v>163867.51999999999</v>
      </c>
      <c r="O37">
        <f>ROUND(ROUND(L37*Source!I97, 2)*SmtRes!DA47, 2)</f>
        <v>4.92</v>
      </c>
      <c r="P37">
        <f>SmtRes!AG47</f>
        <v>0</v>
      </c>
      <c r="Q37">
        <f>SmtRes!DC47</f>
        <v>0</v>
      </c>
      <c r="R37">
        <f>ROUND(ROUND(Q37*Source!I97, 2)*1, 2)</f>
        <v>0</v>
      </c>
      <c r="S37">
        <f>SmtRes!AC47</f>
        <v>0</v>
      </c>
      <c r="T37">
        <f>ROUND(ROUND(Q37*Source!I97, 2)*SmtRes!AK47, 2)</f>
        <v>0</v>
      </c>
      <c r="U37">
        <v>3</v>
      </c>
      <c r="Z37">
        <f>SmtRes!X47</f>
        <v>-1121770783</v>
      </c>
      <c r="AA37">
        <v>187131418</v>
      </c>
      <c r="AB37">
        <v>2090751514</v>
      </c>
    </row>
    <row r="38" spans="1:28" x14ac:dyDescent="0.2">
      <c r="A38">
        <f>Source!A103</f>
        <v>17</v>
      </c>
      <c r="B38">
        <v>103</v>
      </c>
      <c r="C38">
        <v>3</v>
      </c>
      <c r="D38">
        <f>Source!BI103</f>
        <v>1</v>
      </c>
      <c r="E38">
        <f>Source!FS103</f>
        <v>0</v>
      </c>
      <c r="F38" t="str">
        <f>Source!F103</f>
        <v>204-0003</v>
      </c>
      <c r="G38" t="str">
        <f>Source!G103</f>
        <v>Горячекатаная арматурная сталь гладкая класса А-I, диаметром 10 мм</v>
      </c>
      <c r="H38" t="str">
        <f>Source!H103</f>
        <v>т</v>
      </c>
      <c r="I38">
        <f>Source!I103</f>
        <v>5.169E-3</v>
      </c>
      <c r="J38">
        <v>1</v>
      </c>
      <c r="K38">
        <f>Source!AC103</f>
        <v>6813</v>
      </c>
      <c r="M38">
        <f>ROUND(K38*I38, 2)</f>
        <v>35.22</v>
      </c>
      <c r="N38">
        <f>Source!AC103*IF(Source!BC103&lt;&gt; 0, Source!BC103, 1)</f>
        <v>71059.59</v>
      </c>
      <c r="O38">
        <f>ROUND(N38*I38, 2)</f>
        <v>367.31</v>
      </c>
      <c r="P38">
        <f>Source!AE103</f>
        <v>0</v>
      </c>
      <c r="R38">
        <f>ROUND(P38*I38, 2)</f>
        <v>0</v>
      </c>
      <c r="S38">
        <f>Source!AE103*IF(Source!BS103&lt;&gt; 0, Source!BS103, 1)</f>
        <v>0</v>
      </c>
      <c r="T38">
        <f>ROUND(S38*I38, 2)</f>
        <v>0</v>
      </c>
      <c r="U38">
        <v>3</v>
      </c>
      <c r="Z38">
        <f>Source!GF103</f>
        <v>-1375793846</v>
      </c>
      <c r="AA38">
        <v>-25435460</v>
      </c>
      <c r="AB38">
        <v>371618959</v>
      </c>
    </row>
    <row r="39" spans="1:28" x14ac:dyDescent="0.2">
      <c r="A39">
        <v>20</v>
      </c>
      <c r="B39">
        <v>62</v>
      </c>
      <c r="C39">
        <v>3</v>
      </c>
      <c r="D39">
        <v>0</v>
      </c>
      <c r="E39">
        <f>SmtRes!AV62</f>
        <v>0</v>
      </c>
      <c r="F39" t="str">
        <f>SmtRes!I62</f>
        <v>101-1513</v>
      </c>
      <c r="G39" t="str">
        <f>SmtRes!K62</f>
        <v>Электроды диаметром 4 мм Э42</v>
      </c>
      <c r="H39" t="str">
        <f>SmtRes!O62</f>
        <v>т</v>
      </c>
      <c r="I39">
        <f>SmtRes!Y62*Source!I104</f>
        <v>6.0000000000000002E-5</v>
      </c>
      <c r="J39">
        <f>SmtRes!AO62</f>
        <v>1</v>
      </c>
      <c r="K39">
        <f>SmtRes!AE62</f>
        <v>9750</v>
      </c>
      <c r="L39">
        <f>SmtRes!DB62</f>
        <v>0.28999999999999998</v>
      </c>
      <c r="M39">
        <f>ROUND(ROUND(L39*Source!I104, 2)*1, 2)</f>
        <v>0.57999999999999996</v>
      </c>
      <c r="N39">
        <f>SmtRes!AA62</f>
        <v>119730</v>
      </c>
      <c r="O39">
        <f>ROUND(ROUND(L39*Source!I104, 2)*SmtRes!DA62, 2)</f>
        <v>7.12</v>
      </c>
      <c r="P39">
        <f>SmtRes!AG62</f>
        <v>0</v>
      </c>
      <c r="Q39">
        <f>SmtRes!DC62</f>
        <v>0</v>
      </c>
      <c r="R39">
        <f>ROUND(ROUND(Q39*Source!I104, 2)*1, 2)</f>
        <v>0</v>
      </c>
      <c r="S39">
        <f>SmtRes!AC62</f>
        <v>0</v>
      </c>
      <c r="T39">
        <f>ROUND(ROUND(Q39*Source!I104, 2)*SmtRes!AK62, 2)</f>
        <v>0</v>
      </c>
      <c r="U39">
        <v>3</v>
      </c>
      <c r="Z39">
        <f>SmtRes!X62</f>
        <v>1483167196</v>
      </c>
      <c r="AA39">
        <v>1048653327</v>
      </c>
      <c r="AB39">
        <v>-458246638</v>
      </c>
    </row>
    <row r="40" spans="1:28" x14ac:dyDescent="0.2">
      <c r="A40">
        <f>Source!A106</f>
        <v>17</v>
      </c>
      <c r="B40">
        <v>106</v>
      </c>
      <c r="C40">
        <v>3</v>
      </c>
      <c r="D40">
        <f>Source!BI106</f>
        <v>1</v>
      </c>
      <c r="E40">
        <f>Source!FS106</f>
        <v>0</v>
      </c>
      <c r="F40" t="str">
        <f>Source!F106</f>
        <v>101-1641</v>
      </c>
      <c r="G40" t="str">
        <f>Source!G106</f>
        <v>Сталь угловая равнополочная, марка стали ВСт3кп2, размером 50x50x5 мм</v>
      </c>
      <c r="H40" t="str">
        <f>Source!H106</f>
        <v>т</v>
      </c>
      <c r="I40">
        <f>Source!I106</f>
        <v>2.223E-2</v>
      </c>
      <c r="J40">
        <v>1</v>
      </c>
      <c r="K40">
        <f>Source!AC106</f>
        <v>6074</v>
      </c>
      <c r="M40">
        <f>ROUND(K40*I40, 2)</f>
        <v>135.03</v>
      </c>
      <c r="N40">
        <f>Source!AC106*IF(Source!BC106&lt;&gt; 0, Source!BC106, 1)</f>
        <v>83031.58</v>
      </c>
      <c r="O40">
        <f>ROUND(N40*I40, 2)</f>
        <v>1845.79</v>
      </c>
      <c r="P40">
        <f>Source!AE106</f>
        <v>0</v>
      </c>
      <c r="R40">
        <f>ROUND(P40*I40, 2)</f>
        <v>0</v>
      </c>
      <c r="S40">
        <f>Source!AE106*IF(Source!BS106&lt;&gt; 0, Source!BS106, 1)</f>
        <v>0</v>
      </c>
      <c r="T40">
        <f>ROUND(S40*I40, 2)</f>
        <v>0</v>
      </c>
      <c r="U40">
        <v>3</v>
      </c>
      <c r="Z40">
        <f>Source!GF106</f>
        <v>-362657570</v>
      </c>
      <c r="AA40">
        <v>-293074326</v>
      </c>
      <c r="AB40">
        <v>-1273745666</v>
      </c>
    </row>
    <row r="41" spans="1:28" x14ac:dyDescent="0.2">
      <c r="A41">
        <v>20</v>
      </c>
      <c r="B41">
        <v>79</v>
      </c>
      <c r="C41">
        <v>3</v>
      </c>
      <c r="D41">
        <v>0</v>
      </c>
      <c r="E41">
        <f>SmtRes!AV79</f>
        <v>0</v>
      </c>
      <c r="F41" t="str">
        <f>SmtRes!I79</f>
        <v>999-9950</v>
      </c>
      <c r="G41" t="str">
        <f>SmtRes!K79</f>
        <v>Вспомогательные ненормируемые материалы (2% от ОЗП)</v>
      </c>
      <c r="H41" t="str">
        <f>SmtRes!O79</f>
        <v>РУБ</v>
      </c>
      <c r="I41">
        <f>SmtRes!Y79*Source!I113</f>
        <v>0.26279999999999998</v>
      </c>
      <c r="J41">
        <f>SmtRes!AO79</f>
        <v>1</v>
      </c>
      <c r="K41">
        <f>SmtRes!AE79</f>
        <v>1</v>
      </c>
      <c r="L41">
        <f>SmtRes!DB79</f>
        <v>2.92</v>
      </c>
      <c r="M41">
        <f>ROUND(ROUND(L41*Source!I113, 2)*1, 2)</f>
        <v>0.26</v>
      </c>
      <c r="N41">
        <f>SmtRes!AA79</f>
        <v>1</v>
      </c>
      <c r="O41">
        <f>ROUND(ROUND(L41*Source!I113, 2)*SmtRes!DA79, 2)</f>
        <v>0.26</v>
      </c>
      <c r="P41">
        <f>SmtRes!AG79</f>
        <v>0</v>
      </c>
      <c r="Q41">
        <f>SmtRes!DC79</f>
        <v>0</v>
      </c>
      <c r="R41">
        <f>ROUND(ROUND(Q41*Source!I113, 2)*1, 2)</f>
        <v>0</v>
      </c>
      <c r="S41">
        <f>SmtRes!AC79</f>
        <v>0</v>
      </c>
      <c r="T41">
        <f>ROUND(ROUND(Q41*Source!I113, 2)*SmtRes!AK79, 2)</f>
        <v>0</v>
      </c>
      <c r="U41">
        <v>3</v>
      </c>
      <c r="Z41">
        <f>SmtRes!X79</f>
        <v>2131831278</v>
      </c>
      <c r="AA41">
        <v>1992150135</v>
      </c>
      <c r="AB41">
        <v>1992150135</v>
      </c>
    </row>
    <row r="42" spans="1:28" x14ac:dyDescent="0.2">
      <c r="A42">
        <v>20</v>
      </c>
      <c r="B42">
        <v>78</v>
      </c>
      <c r="C42">
        <v>3</v>
      </c>
      <c r="D42">
        <v>0</v>
      </c>
      <c r="E42">
        <f>SmtRes!AV78</f>
        <v>0</v>
      </c>
      <c r="F42" t="str">
        <f>SmtRes!I78</f>
        <v>113-1786</v>
      </c>
      <c r="G42" t="str">
        <f>SmtRes!K78</f>
        <v>Лак битумный БТ-123</v>
      </c>
      <c r="H42" t="str">
        <f>SmtRes!O78</f>
        <v>т</v>
      </c>
      <c r="I42">
        <f>SmtRes!Y78*Source!I113</f>
        <v>3.3300000000000002E-4</v>
      </c>
      <c r="J42">
        <f>SmtRes!AO78</f>
        <v>1</v>
      </c>
      <c r="K42">
        <f>SmtRes!AE78</f>
        <v>9528</v>
      </c>
      <c r="L42">
        <f>SmtRes!DB78</f>
        <v>35.25</v>
      </c>
      <c r="M42">
        <f>ROUND(ROUND(L42*Source!I113, 2)*1, 2)</f>
        <v>3.17</v>
      </c>
      <c r="N42">
        <f>SmtRes!AA78</f>
        <v>77557.919999999998</v>
      </c>
      <c r="O42">
        <f>ROUND(ROUND(L42*Source!I113, 2)*SmtRes!DA78, 2)</f>
        <v>25.8</v>
      </c>
      <c r="P42">
        <f>SmtRes!AG78</f>
        <v>0</v>
      </c>
      <c r="Q42">
        <f>SmtRes!DC78</f>
        <v>0</v>
      </c>
      <c r="R42">
        <f>ROUND(ROUND(Q42*Source!I113, 2)*1, 2)</f>
        <v>0</v>
      </c>
      <c r="S42">
        <f>SmtRes!AC78</f>
        <v>0</v>
      </c>
      <c r="T42">
        <f>ROUND(ROUND(Q42*Source!I113, 2)*SmtRes!AK78, 2)</f>
        <v>0</v>
      </c>
      <c r="U42">
        <v>3</v>
      </c>
      <c r="Z42">
        <f>SmtRes!X78</f>
        <v>-1286039561</v>
      </c>
      <c r="AA42">
        <v>-989385321</v>
      </c>
      <c r="AB42">
        <v>1752246270</v>
      </c>
    </row>
    <row r="43" spans="1:28" x14ac:dyDescent="0.2">
      <c r="A43">
        <v>20</v>
      </c>
      <c r="B43">
        <v>77</v>
      </c>
      <c r="C43">
        <v>3</v>
      </c>
      <c r="D43">
        <v>0</v>
      </c>
      <c r="E43">
        <f>SmtRes!AV77</f>
        <v>0</v>
      </c>
      <c r="F43" t="str">
        <f>SmtRes!I77</f>
        <v>101-1924</v>
      </c>
      <c r="G43" t="str">
        <f>SmtRes!K77</f>
        <v>Электроды диаметром 4 мм Э42А</v>
      </c>
      <c r="H43" t="str">
        <f>SmtRes!O77</f>
        <v>кг</v>
      </c>
      <c r="I43">
        <f>SmtRes!Y77*Source!I113</f>
        <v>8.1000000000000003E-2</v>
      </c>
      <c r="J43">
        <f>SmtRes!AO77</f>
        <v>1</v>
      </c>
      <c r="K43">
        <f>SmtRes!AE77</f>
        <v>12.65</v>
      </c>
      <c r="L43">
        <f>SmtRes!DB77</f>
        <v>11.39</v>
      </c>
      <c r="M43">
        <f>ROUND(ROUND(L43*Source!I113, 2)*1, 2)</f>
        <v>1.03</v>
      </c>
      <c r="N43">
        <f>SmtRes!AA77</f>
        <v>121.82</v>
      </c>
      <c r="O43">
        <f>ROUND(ROUND(L43*Source!I113, 2)*SmtRes!DA77, 2)</f>
        <v>9.92</v>
      </c>
      <c r="P43">
        <f>SmtRes!AG77</f>
        <v>0</v>
      </c>
      <c r="Q43">
        <f>SmtRes!DC77</f>
        <v>0</v>
      </c>
      <c r="R43">
        <f>ROUND(ROUND(Q43*Source!I113, 2)*1, 2)</f>
        <v>0</v>
      </c>
      <c r="S43">
        <f>SmtRes!AC77</f>
        <v>0</v>
      </c>
      <c r="T43">
        <f>ROUND(ROUND(Q43*Source!I113, 2)*SmtRes!AK77, 2)</f>
        <v>0</v>
      </c>
      <c r="U43">
        <v>3</v>
      </c>
      <c r="Z43">
        <f>SmtRes!X77</f>
        <v>-347328291</v>
      </c>
      <c r="AA43">
        <v>-1317950517</v>
      </c>
      <c r="AB43">
        <v>280888119</v>
      </c>
    </row>
    <row r="44" spans="1:28" x14ac:dyDescent="0.2">
      <c r="A44">
        <f>Source!A114</f>
        <v>17</v>
      </c>
      <c r="B44">
        <v>114</v>
      </c>
      <c r="C44">
        <v>3</v>
      </c>
      <c r="D44">
        <f>Source!BI114</f>
        <v>1</v>
      </c>
      <c r="E44">
        <f>Source!FS114</f>
        <v>0</v>
      </c>
      <c r="F44" t="str">
        <f>Source!F114</f>
        <v>101-2548</v>
      </c>
      <c r="G44" t="str">
        <f>Source!G114</f>
        <v>Сталь полосовая 40х4 мм</v>
      </c>
      <c r="H44" t="str">
        <f>Source!H114</f>
        <v>т</v>
      </c>
      <c r="I44">
        <f>Source!I114</f>
        <v>3.3345E-2</v>
      </c>
      <c r="J44">
        <v>1</v>
      </c>
      <c r="K44">
        <f>Source!AC114</f>
        <v>6258.8</v>
      </c>
      <c r="M44">
        <f>ROUND(K44*I44, 2)</f>
        <v>208.7</v>
      </c>
      <c r="N44">
        <f>Source!AC114*IF(Source!BC114&lt;&gt; 0, Source!BC114, 1)</f>
        <v>88436.844000000012</v>
      </c>
      <c r="O44">
        <f>ROUND(N44*I44, 2)</f>
        <v>2948.93</v>
      </c>
      <c r="P44">
        <f>Source!AE114</f>
        <v>0</v>
      </c>
      <c r="R44">
        <f>ROUND(P44*I44, 2)</f>
        <v>0</v>
      </c>
      <c r="S44">
        <f>Source!AE114*IF(Source!BS114&lt;&gt; 0, Source!BS114, 1)</f>
        <v>0</v>
      </c>
      <c r="T44">
        <f>ROUND(S44*I44, 2)</f>
        <v>0</v>
      </c>
      <c r="U44">
        <v>3</v>
      </c>
      <c r="Z44">
        <f>Source!GF114</f>
        <v>1445180807</v>
      </c>
      <c r="AA44">
        <v>2140074567</v>
      </c>
      <c r="AB44">
        <v>1986113436</v>
      </c>
    </row>
    <row r="45" spans="1:28" x14ac:dyDescent="0.2">
      <c r="A45">
        <v>20</v>
      </c>
      <c r="B45">
        <v>85</v>
      </c>
      <c r="C45">
        <v>3</v>
      </c>
      <c r="D45">
        <v>0</v>
      </c>
      <c r="E45">
        <f>SmtRes!AV85</f>
        <v>0</v>
      </c>
      <c r="F45" t="str">
        <f>SmtRes!I85</f>
        <v>101-1513</v>
      </c>
      <c r="G45" t="str">
        <f>SmtRes!K85</f>
        <v>Электроды диаметром 4 мм Э42</v>
      </c>
      <c r="H45" t="str">
        <f>SmtRes!O85</f>
        <v>т</v>
      </c>
      <c r="I45">
        <f>SmtRes!Y85*Source!I115</f>
        <v>9.0000000000000006E-5</v>
      </c>
      <c r="J45">
        <f>SmtRes!AO85</f>
        <v>1</v>
      </c>
      <c r="K45">
        <f>SmtRes!AE85</f>
        <v>9750</v>
      </c>
      <c r="L45">
        <f>SmtRes!DB85</f>
        <v>0.28999999999999998</v>
      </c>
      <c r="M45">
        <f>ROUND(ROUND(L45*Source!I115, 2)*1, 2)</f>
        <v>0.87</v>
      </c>
      <c r="N45">
        <f>SmtRes!AA85</f>
        <v>119730</v>
      </c>
      <c r="O45">
        <f>ROUND(ROUND(L45*Source!I115, 2)*SmtRes!DA85, 2)</f>
        <v>10.68</v>
      </c>
      <c r="P45">
        <f>SmtRes!AG85</f>
        <v>0</v>
      </c>
      <c r="Q45">
        <f>SmtRes!DC85</f>
        <v>0</v>
      </c>
      <c r="R45">
        <f>ROUND(ROUND(Q45*Source!I115, 2)*1, 2)</f>
        <v>0</v>
      </c>
      <c r="S45">
        <f>SmtRes!AC85</f>
        <v>0</v>
      </c>
      <c r="T45">
        <f>ROUND(ROUND(Q45*Source!I115, 2)*SmtRes!AK85, 2)</f>
        <v>0</v>
      </c>
      <c r="U45">
        <v>3</v>
      </c>
      <c r="Z45">
        <f>SmtRes!X85</f>
        <v>1483167196</v>
      </c>
      <c r="AA45">
        <v>1048653327</v>
      </c>
      <c r="AB45">
        <v>-458246638</v>
      </c>
    </row>
    <row r="46" spans="1:28" x14ac:dyDescent="0.2">
      <c r="A46">
        <f>Source!A117</f>
        <v>17</v>
      </c>
      <c r="B46">
        <v>117</v>
      </c>
      <c r="C46">
        <v>3</v>
      </c>
      <c r="D46">
        <f>Source!BI117</f>
        <v>1</v>
      </c>
      <c r="E46">
        <f>Source!FS117</f>
        <v>0</v>
      </c>
      <c r="F46" t="str">
        <f>Source!F117</f>
        <v>101-1641</v>
      </c>
      <c r="G46" t="str">
        <f>Source!G117</f>
        <v>Сталь угловая равнополочная, марка стали ВСт3кп2, размером 50x50x5 мм</v>
      </c>
      <c r="H46" t="str">
        <f>Source!H117</f>
        <v>т</v>
      </c>
      <c r="I46">
        <f>Source!I117</f>
        <v>3.3345E-2</v>
      </c>
      <c r="J46">
        <v>1</v>
      </c>
      <c r="K46">
        <f>Source!AC117</f>
        <v>6074</v>
      </c>
      <c r="M46">
        <f>ROUND(K46*I46, 2)</f>
        <v>202.54</v>
      </c>
      <c r="N46">
        <f>Source!AC117*IF(Source!BC117&lt;&gt; 0, Source!BC117, 1)</f>
        <v>83031.58</v>
      </c>
      <c r="O46">
        <f>ROUND(N46*I46, 2)</f>
        <v>2768.69</v>
      </c>
      <c r="P46">
        <f>Source!AE117</f>
        <v>0</v>
      </c>
      <c r="R46">
        <f>ROUND(P46*I46, 2)</f>
        <v>0</v>
      </c>
      <c r="S46">
        <f>Source!AE117*IF(Source!BS117&lt;&gt; 0, Source!BS117, 1)</f>
        <v>0</v>
      </c>
      <c r="T46">
        <f>ROUND(S46*I46, 2)</f>
        <v>0</v>
      </c>
      <c r="U46">
        <v>3</v>
      </c>
      <c r="Z46">
        <f>Source!GF117</f>
        <v>-362657570</v>
      </c>
      <c r="AA46">
        <v>-293074326</v>
      </c>
      <c r="AB46">
        <v>-1273745666</v>
      </c>
    </row>
    <row r="47" spans="1:28" x14ac:dyDescent="0.2">
      <c r="A47">
        <f>Source!A160</f>
        <v>4</v>
      </c>
      <c r="B47">
        <v>160</v>
      </c>
      <c r="G47" t="str">
        <f>Source!G160</f>
        <v>Монтаж разъединителя</v>
      </c>
    </row>
    <row r="48" spans="1:28" x14ac:dyDescent="0.2">
      <c r="A48">
        <v>20</v>
      </c>
      <c r="B48">
        <v>102</v>
      </c>
      <c r="C48">
        <v>3</v>
      </c>
      <c r="D48">
        <v>0</v>
      </c>
      <c r="E48">
        <f>SmtRes!AV102</f>
        <v>0</v>
      </c>
      <c r="F48" t="str">
        <f>SmtRes!I102</f>
        <v>999-9950</v>
      </c>
      <c r="G48" t="str">
        <f>SmtRes!K102</f>
        <v>Вспомогательные ненормируемые материалы (2% от ОЗП)</v>
      </c>
      <c r="H48" t="str">
        <f>SmtRes!O102</f>
        <v>РУБ</v>
      </c>
      <c r="I48">
        <f>SmtRes!Y102*Source!I164</f>
        <v>0.25333879999999998</v>
      </c>
      <c r="J48">
        <f>SmtRes!AO102</f>
        <v>1</v>
      </c>
      <c r="K48">
        <f>SmtRes!AE102</f>
        <v>1</v>
      </c>
      <c r="L48">
        <f>SmtRes!DB102</f>
        <v>11.18</v>
      </c>
      <c r="M48">
        <f>ROUND(ROUND(L48*Source!I164, 2)*1, 2)</f>
        <v>0.25</v>
      </c>
      <c r="N48">
        <f>SmtRes!AA102</f>
        <v>1</v>
      </c>
      <c r="O48">
        <f>ROUND(ROUND(L48*Source!I164, 2)*SmtRes!DA102, 2)</f>
        <v>0.25</v>
      </c>
      <c r="P48">
        <f>SmtRes!AG102</f>
        <v>0</v>
      </c>
      <c r="Q48">
        <f>SmtRes!DC102</f>
        <v>0</v>
      </c>
      <c r="R48">
        <f>ROUND(ROUND(Q48*Source!I164, 2)*1, 2)</f>
        <v>0</v>
      </c>
      <c r="S48">
        <f>SmtRes!AC102</f>
        <v>0</v>
      </c>
      <c r="T48">
        <f>ROUND(ROUND(Q48*Source!I164, 2)*SmtRes!AK102, 2)</f>
        <v>0</v>
      </c>
      <c r="U48">
        <v>3</v>
      </c>
      <c r="Z48">
        <f>SmtRes!X102</f>
        <v>2131831278</v>
      </c>
      <c r="AA48">
        <v>1992150135</v>
      </c>
      <c r="AB48">
        <v>1992150135</v>
      </c>
    </row>
    <row r="49" spans="1:28" x14ac:dyDescent="0.2">
      <c r="A49">
        <v>20</v>
      </c>
      <c r="B49">
        <v>101</v>
      </c>
      <c r="C49">
        <v>3</v>
      </c>
      <c r="D49">
        <v>0</v>
      </c>
      <c r="E49">
        <f>SmtRes!AV101</f>
        <v>0</v>
      </c>
      <c r="F49" t="str">
        <f>SmtRes!I101</f>
        <v>408-0141</v>
      </c>
      <c r="G49" t="str">
        <f>SmtRes!K101</f>
        <v>Песок природный для строительных растворов средний</v>
      </c>
      <c r="H49" t="str">
        <f>SmtRes!O101</f>
        <v>м3</v>
      </c>
      <c r="I49">
        <f>SmtRes!Y101*Source!I164</f>
        <v>3.3989999999999997E-3</v>
      </c>
      <c r="J49">
        <f>SmtRes!AO101</f>
        <v>1</v>
      </c>
      <c r="K49">
        <f>SmtRes!AE101</f>
        <v>64.959999999999994</v>
      </c>
      <c r="L49">
        <f>SmtRes!DB101</f>
        <v>9.74</v>
      </c>
      <c r="M49">
        <f>ROUND(ROUND(L49*Source!I164, 2)*1, 2)</f>
        <v>0.22</v>
      </c>
      <c r="N49">
        <f>SmtRes!AA101</f>
        <v>975.05</v>
      </c>
      <c r="O49">
        <f>ROUND(ROUND(L49*Source!I164, 2)*SmtRes!DA101, 2)</f>
        <v>3.3</v>
      </c>
      <c r="P49">
        <f>SmtRes!AG101</f>
        <v>0</v>
      </c>
      <c r="Q49">
        <f>SmtRes!DC101</f>
        <v>0</v>
      </c>
      <c r="R49">
        <f>ROUND(ROUND(Q49*Source!I164, 2)*1, 2)</f>
        <v>0</v>
      </c>
      <c r="S49">
        <f>SmtRes!AC101</f>
        <v>0</v>
      </c>
      <c r="T49">
        <f>ROUND(ROUND(Q49*Source!I164, 2)*SmtRes!AK101, 2)</f>
        <v>0</v>
      </c>
      <c r="U49">
        <v>3</v>
      </c>
      <c r="Z49">
        <f>SmtRes!X101</f>
        <v>1123154371</v>
      </c>
      <c r="AA49">
        <v>1317345418</v>
      </c>
      <c r="AB49">
        <v>1589826181</v>
      </c>
    </row>
    <row r="50" spans="1:28" x14ac:dyDescent="0.2">
      <c r="A50">
        <v>20</v>
      </c>
      <c r="B50">
        <v>100</v>
      </c>
      <c r="C50">
        <v>3</v>
      </c>
      <c r="D50">
        <v>0</v>
      </c>
      <c r="E50">
        <f>SmtRes!AV100</f>
        <v>0</v>
      </c>
      <c r="F50" t="str">
        <f>SmtRes!I100</f>
        <v>201-0843</v>
      </c>
      <c r="G50" t="str">
        <f>SmtRes!K100</f>
        <v>Конструкции стальные индивидуальные решетчатые сварные массой до 0,1 т</v>
      </c>
      <c r="H50" t="str">
        <f>SmtRes!O100</f>
        <v>т</v>
      </c>
      <c r="I50">
        <f>SmtRes!Y100*Source!I164</f>
        <v>2.266E-2</v>
      </c>
      <c r="J50">
        <f>SmtRes!AO100</f>
        <v>1</v>
      </c>
      <c r="K50">
        <f>SmtRes!AE100</f>
        <v>11672.49</v>
      </c>
      <c r="L50">
        <f>SmtRes!DB100</f>
        <v>11672.49</v>
      </c>
      <c r="M50">
        <f>ROUND(ROUND(L50*Source!I164, 2)*1, 2)</f>
        <v>264.5</v>
      </c>
      <c r="N50">
        <f>SmtRes!AA100</f>
        <v>125245.82</v>
      </c>
      <c r="O50">
        <f>ROUND(ROUND(L50*Source!I164, 2)*SmtRes!DA100, 2)</f>
        <v>2838.09</v>
      </c>
      <c r="P50">
        <f>SmtRes!AG100</f>
        <v>0</v>
      </c>
      <c r="Q50">
        <f>SmtRes!DC100</f>
        <v>0</v>
      </c>
      <c r="R50">
        <f>ROUND(ROUND(Q50*Source!I164, 2)*1, 2)</f>
        <v>0</v>
      </c>
      <c r="S50">
        <f>SmtRes!AC100</f>
        <v>0</v>
      </c>
      <c r="T50">
        <f>ROUND(ROUND(Q50*Source!I164, 2)*SmtRes!AK100, 2)</f>
        <v>0</v>
      </c>
      <c r="U50">
        <v>3</v>
      </c>
      <c r="Z50">
        <f>SmtRes!X100</f>
        <v>-1120195284</v>
      </c>
      <c r="AA50">
        <v>1540553624</v>
      </c>
      <c r="AB50">
        <v>-1567632015</v>
      </c>
    </row>
    <row r="51" spans="1:28" x14ac:dyDescent="0.2">
      <c r="A51">
        <v>20</v>
      </c>
      <c r="B51">
        <v>99</v>
      </c>
      <c r="C51">
        <v>3</v>
      </c>
      <c r="D51">
        <v>0</v>
      </c>
      <c r="E51">
        <f>SmtRes!AV99</f>
        <v>0</v>
      </c>
      <c r="F51" t="str">
        <f>SmtRes!I99</f>
        <v>101-1977</v>
      </c>
      <c r="G51" t="str">
        <f>SmtRes!K99</f>
        <v>Болты с гайками и шайбами строительные</v>
      </c>
      <c r="H51" t="str">
        <f>SmtRes!O99</f>
        <v>кг</v>
      </c>
      <c r="I51">
        <f>SmtRes!Y99*Source!I164</f>
        <v>0.61182000000000003</v>
      </c>
      <c r="J51">
        <f>SmtRes!AO99</f>
        <v>1</v>
      </c>
      <c r="K51">
        <f>SmtRes!AE99</f>
        <v>9.49</v>
      </c>
      <c r="L51">
        <f>SmtRes!DB99</f>
        <v>256.23</v>
      </c>
      <c r="M51">
        <f>ROUND(ROUND(L51*Source!I164, 2)*1, 2)</f>
        <v>5.81</v>
      </c>
      <c r="N51">
        <f>SmtRes!AA99</f>
        <v>288.5</v>
      </c>
      <c r="O51">
        <f>ROUND(ROUND(L51*Source!I164, 2)*SmtRes!DA99, 2)</f>
        <v>176.62</v>
      </c>
      <c r="P51">
        <f>SmtRes!AG99</f>
        <v>0</v>
      </c>
      <c r="Q51">
        <f>SmtRes!DC99</f>
        <v>0</v>
      </c>
      <c r="R51">
        <f>ROUND(ROUND(Q51*Source!I164, 2)*1, 2)</f>
        <v>0</v>
      </c>
      <c r="S51">
        <f>SmtRes!AC99</f>
        <v>0</v>
      </c>
      <c r="T51">
        <f>ROUND(ROUND(Q51*Source!I164, 2)*SmtRes!AK99, 2)</f>
        <v>0</v>
      </c>
      <c r="U51">
        <v>3</v>
      </c>
      <c r="Z51">
        <f>SmtRes!X99</f>
        <v>-1815671160</v>
      </c>
      <c r="AA51">
        <v>1358235642</v>
      </c>
      <c r="AB51">
        <v>1334651650</v>
      </c>
    </row>
    <row r="52" spans="1:28" x14ac:dyDescent="0.2">
      <c r="A52">
        <v>20</v>
      </c>
      <c r="B52">
        <v>98</v>
      </c>
      <c r="C52">
        <v>3</v>
      </c>
      <c r="D52">
        <v>0</v>
      </c>
      <c r="E52">
        <f>SmtRes!AV98</f>
        <v>0</v>
      </c>
      <c r="F52" t="str">
        <f>SmtRes!I98</f>
        <v>101-1924</v>
      </c>
      <c r="G52" t="str">
        <f>SmtRes!K98</f>
        <v>Электроды диаметром 4 мм Э42А</v>
      </c>
      <c r="H52" t="str">
        <f>SmtRes!O98</f>
        <v>кг</v>
      </c>
      <c r="I52">
        <f>SmtRes!Y98*Source!I164</f>
        <v>9.5172000000000007E-2</v>
      </c>
      <c r="J52">
        <f>SmtRes!AO98</f>
        <v>1</v>
      </c>
      <c r="K52">
        <f>SmtRes!AE98</f>
        <v>12.65</v>
      </c>
      <c r="L52">
        <f>SmtRes!DB98</f>
        <v>53.13</v>
      </c>
      <c r="M52">
        <f>ROUND(ROUND(L52*Source!I164, 2)*1, 2)</f>
        <v>1.2</v>
      </c>
      <c r="N52">
        <f>SmtRes!AA98</f>
        <v>121.82</v>
      </c>
      <c r="O52">
        <f>ROUND(ROUND(L52*Source!I164, 2)*SmtRes!DA98, 2)</f>
        <v>11.56</v>
      </c>
      <c r="P52">
        <f>SmtRes!AG98</f>
        <v>0</v>
      </c>
      <c r="Q52">
        <f>SmtRes!DC98</f>
        <v>0</v>
      </c>
      <c r="R52">
        <f>ROUND(ROUND(Q52*Source!I164, 2)*1, 2)</f>
        <v>0</v>
      </c>
      <c r="S52">
        <f>SmtRes!AC98</f>
        <v>0</v>
      </c>
      <c r="T52">
        <f>ROUND(ROUND(Q52*Source!I164, 2)*SmtRes!AK98, 2)</f>
        <v>0</v>
      </c>
      <c r="U52">
        <v>3</v>
      </c>
      <c r="Z52">
        <f>SmtRes!X98</f>
        <v>-347328291</v>
      </c>
      <c r="AA52">
        <v>-1317950517</v>
      </c>
      <c r="AB52">
        <v>280888119</v>
      </c>
    </row>
    <row r="53" spans="1:28" x14ac:dyDescent="0.2">
      <c r="A53">
        <v>20</v>
      </c>
      <c r="B53">
        <v>97</v>
      </c>
      <c r="C53">
        <v>3</v>
      </c>
      <c r="D53">
        <v>0</v>
      </c>
      <c r="E53">
        <f>SmtRes!AV97</f>
        <v>0</v>
      </c>
      <c r="F53" t="str">
        <f>SmtRes!I97</f>
        <v>101-1728</v>
      </c>
      <c r="G53" t="str">
        <f>SmtRes!K97</f>
        <v>Дюбели распорные с гайкой</v>
      </c>
      <c r="H53" t="str">
        <f>SmtRes!O97</f>
        <v>100 шт.</v>
      </c>
      <c r="I53">
        <f>SmtRes!Y97*Source!I164</f>
        <v>1.8128000000000002E-2</v>
      </c>
      <c r="J53">
        <f>SmtRes!AO97</f>
        <v>1</v>
      </c>
      <c r="K53">
        <f>SmtRes!AE97</f>
        <v>111.65</v>
      </c>
      <c r="L53">
        <f>SmtRes!DB97</f>
        <v>89.32</v>
      </c>
      <c r="M53">
        <f>ROUND(ROUND(L53*Source!I164, 2)*1, 2)</f>
        <v>2.02</v>
      </c>
      <c r="N53">
        <f>SmtRes!AA97</f>
        <v>464.46</v>
      </c>
      <c r="O53">
        <f>ROUND(ROUND(L53*Source!I164, 2)*SmtRes!DA97, 2)</f>
        <v>8.4</v>
      </c>
      <c r="P53">
        <f>SmtRes!AG97</f>
        <v>0</v>
      </c>
      <c r="Q53">
        <f>SmtRes!DC97</f>
        <v>0</v>
      </c>
      <c r="R53">
        <f>ROUND(ROUND(Q53*Source!I164, 2)*1, 2)</f>
        <v>0</v>
      </c>
      <c r="S53">
        <f>SmtRes!AC97</f>
        <v>0</v>
      </c>
      <c r="T53">
        <f>ROUND(ROUND(Q53*Source!I164, 2)*SmtRes!AK97, 2)</f>
        <v>0</v>
      </c>
      <c r="U53">
        <v>3</v>
      </c>
      <c r="Z53">
        <f>SmtRes!X97</f>
        <v>-1585051097</v>
      </c>
      <c r="AA53">
        <v>-1280685159</v>
      </c>
      <c r="AB53">
        <v>-844708560</v>
      </c>
    </row>
    <row r="54" spans="1:28" x14ac:dyDescent="0.2">
      <c r="A54">
        <v>20</v>
      </c>
      <c r="B54">
        <v>96</v>
      </c>
      <c r="C54">
        <v>3</v>
      </c>
      <c r="D54">
        <v>0</v>
      </c>
      <c r="E54">
        <f>SmtRes!AV96</f>
        <v>0</v>
      </c>
      <c r="F54" t="str">
        <f>SmtRes!I96</f>
        <v>101-1306</v>
      </c>
      <c r="G54" t="str">
        <f>SmtRes!K96</f>
        <v>Портландцемент общестроительного назначения бездобавочный, марки 500</v>
      </c>
      <c r="H54" t="str">
        <f>SmtRes!O96</f>
        <v>т</v>
      </c>
      <c r="I54">
        <f>SmtRes!Y96*Source!I164</f>
        <v>4.0787999999999996E-3</v>
      </c>
      <c r="J54">
        <f>SmtRes!AO96</f>
        <v>1</v>
      </c>
      <c r="K54">
        <f>SmtRes!AE96</f>
        <v>582</v>
      </c>
      <c r="L54">
        <f>SmtRes!DB96</f>
        <v>104.76</v>
      </c>
      <c r="M54">
        <f>ROUND(ROUND(L54*Source!I164, 2)*1, 2)</f>
        <v>2.37</v>
      </c>
      <c r="N54">
        <f>SmtRes!AA96</f>
        <v>10045.32</v>
      </c>
      <c r="O54">
        <f>ROUND(ROUND(L54*Source!I164, 2)*SmtRes!DA96, 2)</f>
        <v>40.909999999999997</v>
      </c>
      <c r="P54">
        <f>SmtRes!AG96</f>
        <v>0</v>
      </c>
      <c r="Q54">
        <f>SmtRes!DC96</f>
        <v>0</v>
      </c>
      <c r="R54">
        <f>ROUND(ROUND(Q54*Source!I164, 2)*1, 2)</f>
        <v>0</v>
      </c>
      <c r="S54">
        <f>SmtRes!AC96</f>
        <v>0</v>
      </c>
      <c r="T54">
        <f>ROUND(ROUND(Q54*Source!I164, 2)*SmtRes!AK96, 2)</f>
        <v>0</v>
      </c>
      <c r="U54">
        <v>3</v>
      </c>
      <c r="Z54">
        <f>SmtRes!X96</f>
        <v>994982934</v>
      </c>
      <c r="AA54">
        <v>-921879620</v>
      </c>
      <c r="AB54">
        <v>1108209291</v>
      </c>
    </row>
    <row r="55" spans="1:28" x14ac:dyDescent="0.2">
      <c r="A55">
        <v>20</v>
      </c>
      <c r="B55">
        <v>114</v>
      </c>
      <c r="C55">
        <v>3</v>
      </c>
      <c r="D55">
        <v>0</v>
      </c>
      <c r="E55">
        <f>SmtRes!AV114</f>
        <v>0</v>
      </c>
      <c r="F55" t="str">
        <f>SmtRes!I114</f>
        <v>113-0079</v>
      </c>
      <c r="G55" t="str">
        <f>SmtRes!K114</f>
        <v>Лак БТ-577</v>
      </c>
      <c r="H55" t="str">
        <f>SmtRes!O114</f>
        <v>т</v>
      </c>
      <c r="I55">
        <f>SmtRes!Y114*Source!I165</f>
        <v>1E-4</v>
      </c>
      <c r="J55">
        <f>SmtRes!AO114</f>
        <v>1</v>
      </c>
      <c r="K55">
        <f>SmtRes!AE114</f>
        <v>9550.01</v>
      </c>
      <c r="L55">
        <f>SmtRes!DB114</f>
        <v>0.96</v>
      </c>
      <c r="M55">
        <f>ROUND(ROUND(L55*Source!I165, 2)*1, 2)</f>
        <v>0.96</v>
      </c>
      <c r="N55">
        <f>SmtRes!AA114</f>
        <v>85854.59</v>
      </c>
      <c r="O55">
        <f>ROUND(ROUND(L55*Source!I165, 2)*SmtRes!DA114, 2)</f>
        <v>8.6300000000000008</v>
      </c>
      <c r="P55">
        <f>SmtRes!AG114</f>
        <v>0</v>
      </c>
      <c r="Q55">
        <f>SmtRes!DC114</f>
        <v>0</v>
      </c>
      <c r="R55">
        <f>ROUND(ROUND(Q55*Source!I165, 2)*1, 2)</f>
        <v>0</v>
      </c>
      <c r="S55">
        <f>SmtRes!AC114</f>
        <v>0</v>
      </c>
      <c r="T55">
        <f>ROUND(ROUND(Q55*Source!I165, 2)*SmtRes!AK114, 2)</f>
        <v>0</v>
      </c>
      <c r="U55">
        <v>3</v>
      </c>
      <c r="Z55">
        <f>SmtRes!X114</f>
        <v>911236404</v>
      </c>
      <c r="AA55">
        <v>433044666</v>
      </c>
      <c r="AB55">
        <v>-92041477</v>
      </c>
    </row>
    <row r="56" spans="1:28" x14ac:dyDescent="0.2">
      <c r="A56">
        <v>20</v>
      </c>
      <c r="B56">
        <v>111</v>
      </c>
      <c r="C56">
        <v>3</v>
      </c>
      <c r="D56">
        <v>0</v>
      </c>
      <c r="E56">
        <f>SmtRes!AV111</f>
        <v>0</v>
      </c>
      <c r="F56" t="str">
        <f>SmtRes!I111</f>
        <v>101-2349</v>
      </c>
      <c r="G56" t="str">
        <f>SmtRes!K111</f>
        <v>Смазка ЗЭС</v>
      </c>
      <c r="H56" t="str">
        <f>SmtRes!O111</f>
        <v>кг</v>
      </c>
      <c r="I56">
        <f>SmtRes!Y111*Source!I165</f>
        <v>0.01</v>
      </c>
      <c r="J56">
        <f>SmtRes!AO111</f>
        <v>1</v>
      </c>
      <c r="K56">
        <f>SmtRes!AE111</f>
        <v>14.62</v>
      </c>
      <c r="L56">
        <f>SmtRes!DB111</f>
        <v>0.15</v>
      </c>
      <c r="M56">
        <f>ROUND(ROUND(L56*Source!I165, 2)*1, 2)</f>
        <v>0.15</v>
      </c>
      <c r="N56">
        <f>SmtRes!AA111</f>
        <v>238.6</v>
      </c>
      <c r="O56">
        <f>ROUND(ROUND(L56*Source!I165, 2)*SmtRes!DA111, 2)</f>
        <v>2.4500000000000002</v>
      </c>
      <c r="P56">
        <f>SmtRes!AG111</f>
        <v>0</v>
      </c>
      <c r="Q56">
        <f>SmtRes!DC111</f>
        <v>0</v>
      </c>
      <c r="R56">
        <f>ROUND(ROUND(Q56*Source!I165, 2)*1, 2)</f>
        <v>0</v>
      </c>
      <c r="S56">
        <f>SmtRes!AC111</f>
        <v>0</v>
      </c>
      <c r="T56">
        <f>ROUND(ROUND(Q56*Source!I165, 2)*SmtRes!AK111, 2)</f>
        <v>0</v>
      </c>
      <c r="U56">
        <v>3</v>
      </c>
      <c r="Z56">
        <f>SmtRes!X111</f>
        <v>-1589564529</v>
      </c>
      <c r="AA56">
        <v>931675150</v>
      </c>
      <c r="AB56">
        <v>1099975433</v>
      </c>
    </row>
    <row r="57" spans="1:28" x14ac:dyDescent="0.2">
      <c r="A57">
        <v>20</v>
      </c>
      <c r="B57">
        <v>110</v>
      </c>
      <c r="C57">
        <v>3</v>
      </c>
      <c r="D57">
        <v>0</v>
      </c>
      <c r="E57">
        <f>SmtRes!AV110</f>
        <v>0</v>
      </c>
      <c r="F57" t="str">
        <f>SmtRes!I110</f>
        <v>101-1757</v>
      </c>
      <c r="G57" t="str">
        <f>SmtRes!K110</f>
        <v>Ветошь</v>
      </c>
      <c r="H57" t="str">
        <f>SmtRes!O110</f>
        <v>кг</v>
      </c>
      <c r="I57">
        <f>SmtRes!Y110*Source!I165</f>
        <v>0.02</v>
      </c>
      <c r="J57">
        <f>SmtRes!AO110</f>
        <v>1</v>
      </c>
      <c r="K57">
        <f>SmtRes!AE110</f>
        <v>1.82</v>
      </c>
      <c r="L57">
        <f>SmtRes!DB110</f>
        <v>0.04</v>
      </c>
      <c r="M57">
        <f>ROUND(ROUND(L57*Source!I165, 2)*1, 2)</f>
        <v>0.04</v>
      </c>
      <c r="N57">
        <f>SmtRes!AA110</f>
        <v>27.37</v>
      </c>
      <c r="O57">
        <f>ROUND(ROUND(L57*Source!I165, 2)*SmtRes!DA110, 2)</f>
        <v>0.6</v>
      </c>
      <c r="P57">
        <f>SmtRes!AG110</f>
        <v>0</v>
      </c>
      <c r="Q57">
        <f>SmtRes!DC110</f>
        <v>0</v>
      </c>
      <c r="R57">
        <f>ROUND(ROUND(Q57*Source!I165, 2)*1, 2)</f>
        <v>0</v>
      </c>
      <c r="S57">
        <f>SmtRes!AC110</f>
        <v>0</v>
      </c>
      <c r="T57">
        <f>ROUND(ROUND(Q57*Source!I165, 2)*SmtRes!AK110, 2)</f>
        <v>0</v>
      </c>
      <c r="U57">
        <v>3</v>
      </c>
      <c r="Z57">
        <f>SmtRes!X110</f>
        <v>844235703</v>
      </c>
      <c r="AA57">
        <v>-1982503573</v>
      </c>
      <c r="AB57">
        <v>1926936468</v>
      </c>
    </row>
    <row r="58" spans="1:28" x14ac:dyDescent="0.2">
      <c r="A58">
        <v>20</v>
      </c>
      <c r="B58">
        <v>108</v>
      </c>
      <c r="C58">
        <v>3</v>
      </c>
      <c r="D58">
        <v>0</v>
      </c>
      <c r="E58">
        <f>SmtRes!AV108</f>
        <v>0</v>
      </c>
      <c r="F58" t="str">
        <f>SmtRes!I108</f>
        <v>101-1292</v>
      </c>
      <c r="G58" t="str">
        <f>SmtRes!K108</f>
        <v>Уайт-спирит</v>
      </c>
      <c r="H58" t="str">
        <f>SmtRes!O108</f>
        <v>т</v>
      </c>
      <c r="I58">
        <f>SmtRes!Y108*Source!I165</f>
        <v>1.2E-4</v>
      </c>
      <c r="J58">
        <f>SmtRes!AO108</f>
        <v>1</v>
      </c>
      <c r="K58">
        <f>SmtRes!AE108</f>
        <v>6667</v>
      </c>
      <c r="L58">
        <f>SmtRes!DB108</f>
        <v>0.8</v>
      </c>
      <c r="M58">
        <f>ROUND(ROUND(L58*Source!I165, 2)*1, 2)</f>
        <v>0.8</v>
      </c>
      <c r="N58">
        <f>SmtRes!AA108</f>
        <v>74870.41</v>
      </c>
      <c r="O58">
        <f>ROUND(ROUND(L58*Source!I165, 2)*SmtRes!DA108, 2)</f>
        <v>8.98</v>
      </c>
      <c r="P58">
        <f>SmtRes!AG108</f>
        <v>0</v>
      </c>
      <c r="Q58">
        <f>SmtRes!DC108</f>
        <v>0</v>
      </c>
      <c r="R58">
        <f>ROUND(ROUND(Q58*Source!I165, 2)*1, 2)</f>
        <v>0</v>
      </c>
      <c r="S58">
        <f>SmtRes!AC108</f>
        <v>0</v>
      </c>
      <c r="T58">
        <f>ROUND(ROUND(Q58*Source!I165, 2)*SmtRes!AK108, 2)</f>
        <v>0</v>
      </c>
      <c r="U58">
        <v>3</v>
      </c>
      <c r="Z58">
        <f>SmtRes!X108</f>
        <v>-31802417</v>
      </c>
      <c r="AA58">
        <v>1057528375</v>
      </c>
      <c r="AB58">
        <v>-2009841352</v>
      </c>
    </row>
    <row r="59" spans="1:28" x14ac:dyDescent="0.2">
      <c r="A59">
        <v>20</v>
      </c>
      <c r="B59">
        <v>107</v>
      </c>
      <c r="C59">
        <v>3</v>
      </c>
      <c r="D59">
        <v>0</v>
      </c>
      <c r="E59">
        <f>SmtRes!AV107</f>
        <v>0</v>
      </c>
      <c r="F59" t="str">
        <f>SmtRes!I107</f>
        <v>101-0962</v>
      </c>
      <c r="G59" t="str">
        <f>SmtRes!K107</f>
        <v>Смазка солидол жировой марки «Ж»</v>
      </c>
      <c r="H59" t="str">
        <f>SmtRes!O107</f>
        <v>т</v>
      </c>
      <c r="I59">
        <f>SmtRes!Y107*Source!I165</f>
        <v>3.0000000000000001E-5</v>
      </c>
      <c r="J59">
        <f>SmtRes!AO107</f>
        <v>1</v>
      </c>
      <c r="K59">
        <f>SmtRes!AE107</f>
        <v>9662</v>
      </c>
      <c r="L59">
        <f>SmtRes!DB107</f>
        <v>0.28999999999999998</v>
      </c>
      <c r="M59">
        <f>ROUND(ROUND(L59*Source!I165, 2)*1, 2)</f>
        <v>0.28999999999999998</v>
      </c>
      <c r="N59">
        <f>SmtRes!AA107</f>
        <v>163867.51999999999</v>
      </c>
      <c r="O59">
        <f>ROUND(ROUND(L59*Source!I165, 2)*SmtRes!DA107, 2)</f>
        <v>4.92</v>
      </c>
      <c r="P59">
        <f>SmtRes!AG107</f>
        <v>0</v>
      </c>
      <c r="Q59">
        <f>SmtRes!DC107</f>
        <v>0</v>
      </c>
      <c r="R59">
        <f>ROUND(ROUND(Q59*Source!I165, 2)*1, 2)</f>
        <v>0</v>
      </c>
      <c r="S59">
        <f>SmtRes!AC107</f>
        <v>0</v>
      </c>
      <c r="T59">
        <f>ROUND(ROUND(Q59*Source!I165, 2)*SmtRes!AK107, 2)</f>
        <v>0</v>
      </c>
      <c r="U59">
        <v>3</v>
      </c>
      <c r="Z59">
        <f>SmtRes!X107</f>
        <v>-1121770783</v>
      </c>
      <c r="AA59">
        <v>187131418</v>
      </c>
      <c r="AB59">
        <v>2090751514</v>
      </c>
    </row>
    <row r="60" spans="1:28" x14ac:dyDescent="0.2">
      <c r="A60">
        <f>Source!A172</f>
        <v>17</v>
      </c>
      <c r="B60">
        <v>172</v>
      </c>
      <c r="C60">
        <v>3</v>
      </c>
      <c r="D60">
        <f>Source!BI172</f>
        <v>1</v>
      </c>
      <c r="E60">
        <f>Source!FS172</f>
        <v>0</v>
      </c>
      <c r="F60" t="str">
        <f>Source!F172</f>
        <v>201-8113</v>
      </c>
      <c r="G60" t="str">
        <f>Source!G172</f>
        <v>Траверсы металлические высоковольтные (Траверса ТМ-3 22,66 кг)</v>
      </c>
      <c r="H60" t="str">
        <f>Source!H172</f>
        <v>т</v>
      </c>
      <c r="I60">
        <f>Source!I172</f>
        <v>2.266E-2</v>
      </c>
      <c r="J60">
        <v>1</v>
      </c>
      <c r="K60">
        <f>Source!AC172</f>
        <v>10995.42</v>
      </c>
      <c r="M60">
        <f t="shared" ref="M60:M68" si="4">ROUND(K60*I60, 2)</f>
        <v>249.16</v>
      </c>
      <c r="N60">
        <f>Source!AC172*IF(Source!BC172&lt;&gt; 0, Source!BC172, 1)</f>
        <v>251795.11799999999</v>
      </c>
      <c r="O60">
        <f t="shared" ref="O60:O68" si="5">ROUND(N60*I60, 2)</f>
        <v>5705.68</v>
      </c>
      <c r="P60">
        <f>Source!AE172</f>
        <v>0</v>
      </c>
      <c r="R60">
        <f t="shared" ref="R60:R68" si="6">ROUND(P60*I60, 2)</f>
        <v>0</v>
      </c>
      <c r="S60">
        <f>Source!AE172*IF(Source!BS172&lt;&gt; 0, Source!BS172, 1)</f>
        <v>0</v>
      </c>
      <c r="T60">
        <f t="shared" ref="T60:T68" si="7">ROUND(S60*I60, 2)</f>
        <v>0</v>
      </c>
      <c r="U60">
        <v>3</v>
      </c>
      <c r="Z60">
        <f>Source!GF172</f>
        <v>1680269973</v>
      </c>
      <c r="AA60">
        <v>-689352036</v>
      </c>
      <c r="AB60">
        <v>1488250097</v>
      </c>
    </row>
    <row r="61" spans="1:28" x14ac:dyDescent="0.2">
      <c r="A61">
        <f>Source!A173</f>
        <v>17</v>
      </c>
      <c r="B61">
        <v>173</v>
      </c>
      <c r="C61">
        <v>3</v>
      </c>
      <c r="D61">
        <f>Source!BI173</f>
        <v>1</v>
      </c>
      <c r="E61">
        <f>Source!FS173</f>
        <v>0</v>
      </c>
      <c r="F61" t="str">
        <f>Source!F173</f>
        <v>201-0856</v>
      </c>
      <c r="G61" t="str">
        <f>Source!G173</f>
        <v>Хомуты стальные (Хомут Х-12 1,18 кг)</v>
      </c>
      <c r="H61" t="str">
        <f>Source!H173</f>
        <v>кг</v>
      </c>
      <c r="I61">
        <f>Source!I173</f>
        <v>1.18</v>
      </c>
      <c r="J61">
        <v>1</v>
      </c>
      <c r="K61">
        <f>Source!AC173</f>
        <v>9.74</v>
      </c>
      <c r="M61">
        <f t="shared" si="4"/>
        <v>11.49</v>
      </c>
      <c r="N61">
        <f>Source!AC173*IF(Source!BC173&lt;&gt; 0, Source!BC173, 1)</f>
        <v>71.881200000000007</v>
      </c>
      <c r="O61">
        <f t="shared" si="5"/>
        <v>84.82</v>
      </c>
      <c r="P61">
        <f>Source!AE173</f>
        <v>0</v>
      </c>
      <c r="R61">
        <f t="shared" si="6"/>
        <v>0</v>
      </c>
      <c r="S61">
        <f>Source!AE173*IF(Source!BS173&lt;&gt; 0, Source!BS173, 1)</f>
        <v>0</v>
      </c>
      <c r="T61">
        <f t="shared" si="7"/>
        <v>0</v>
      </c>
      <c r="U61">
        <v>3</v>
      </c>
      <c r="Z61">
        <f>Source!GF173</f>
        <v>-262877765</v>
      </c>
      <c r="AA61">
        <v>1852318982</v>
      </c>
      <c r="AB61">
        <v>-969601686</v>
      </c>
    </row>
    <row r="62" spans="1:28" x14ac:dyDescent="0.2">
      <c r="A62">
        <f>Source!A174</f>
        <v>17</v>
      </c>
      <c r="B62">
        <v>174</v>
      </c>
      <c r="C62">
        <v>3</v>
      </c>
      <c r="D62">
        <f>Source!BI174</f>
        <v>1</v>
      </c>
      <c r="E62">
        <f>Source!FS174</f>
        <v>0</v>
      </c>
      <c r="F62" t="str">
        <f>Source!F174</f>
        <v>204-0003</v>
      </c>
      <c r="G62" t="str">
        <f>Source!G174</f>
        <v>Горячекатаная арматурная сталь гладкая класса А-I, диаметром 10 мм</v>
      </c>
      <c r="H62" t="str">
        <f>Source!H174</f>
        <v>т</v>
      </c>
      <c r="I62">
        <f>Source!I174</f>
        <v>5.169E-3</v>
      </c>
      <c r="J62">
        <v>1</v>
      </c>
      <c r="K62">
        <f>Source!AC174</f>
        <v>6813</v>
      </c>
      <c r="M62">
        <f t="shared" si="4"/>
        <v>35.22</v>
      </c>
      <c r="N62">
        <f>Source!AC174*IF(Source!BC174&lt;&gt; 0, Source!BC174, 1)</f>
        <v>71059.59</v>
      </c>
      <c r="O62">
        <f t="shared" si="5"/>
        <v>367.31</v>
      </c>
      <c r="P62">
        <f>Source!AE174</f>
        <v>0</v>
      </c>
      <c r="R62">
        <f t="shared" si="6"/>
        <v>0</v>
      </c>
      <c r="S62">
        <f>Source!AE174*IF(Source!BS174&lt;&gt; 0, Source!BS174, 1)</f>
        <v>0</v>
      </c>
      <c r="T62">
        <f t="shared" si="7"/>
        <v>0</v>
      </c>
      <c r="U62">
        <v>3</v>
      </c>
      <c r="Z62">
        <f>Source!GF174</f>
        <v>-1375793846</v>
      </c>
      <c r="AA62">
        <v>-25435460</v>
      </c>
      <c r="AB62">
        <v>371618959</v>
      </c>
    </row>
    <row r="63" spans="1:28" x14ac:dyDescent="0.2">
      <c r="A63">
        <f>Source!A175</f>
        <v>17</v>
      </c>
      <c r="B63">
        <v>175</v>
      </c>
      <c r="C63">
        <v>3</v>
      </c>
      <c r="D63">
        <f>Source!BI175</f>
        <v>1</v>
      </c>
      <c r="E63">
        <f>Source!FS175</f>
        <v>0</v>
      </c>
      <c r="F63" t="str">
        <f>Source!F175</f>
        <v>110-0318</v>
      </c>
      <c r="G63" t="str">
        <f>Source!G175</f>
        <v>Изоляторы линейные штыревые высоковольтные ШФ 20-Г (прим. Изолятор ШФ-20)</v>
      </c>
      <c r="H63" t="str">
        <f>Source!H175</f>
        <v>шт.</v>
      </c>
      <c r="I63">
        <f>Source!I175</f>
        <v>3</v>
      </c>
      <c r="J63">
        <v>1</v>
      </c>
      <c r="K63">
        <f>Source!AC175</f>
        <v>43.95</v>
      </c>
      <c r="M63">
        <f t="shared" si="4"/>
        <v>131.85</v>
      </c>
      <c r="N63">
        <f>Source!AC175*IF(Source!BC175&lt;&gt; 0, Source!BC175, 1)</f>
        <v>291.38850000000002</v>
      </c>
      <c r="O63">
        <f t="shared" si="5"/>
        <v>874.17</v>
      </c>
      <c r="P63">
        <f>Source!AE175</f>
        <v>0</v>
      </c>
      <c r="R63">
        <f t="shared" si="6"/>
        <v>0</v>
      </c>
      <c r="S63">
        <f>Source!AE175*IF(Source!BS175&lt;&gt; 0, Source!BS175, 1)</f>
        <v>0</v>
      </c>
      <c r="T63">
        <f t="shared" si="7"/>
        <v>0</v>
      </c>
      <c r="U63">
        <v>3</v>
      </c>
      <c r="Z63">
        <f>Source!GF175</f>
        <v>-1794469599</v>
      </c>
      <c r="AA63">
        <v>-111976166</v>
      </c>
      <c r="AB63">
        <v>1528588727</v>
      </c>
    </row>
    <row r="64" spans="1:28" x14ac:dyDescent="0.2">
      <c r="A64">
        <f>Source!A176</f>
        <v>17</v>
      </c>
      <c r="B64">
        <v>176</v>
      </c>
      <c r="C64">
        <v>3</v>
      </c>
      <c r="D64">
        <f>Source!BI176</f>
        <v>1</v>
      </c>
      <c r="E64">
        <f>Source!FS176</f>
        <v>0</v>
      </c>
      <c r="F64" t="str">
        <f>Source!F176</f>
        <v>Прайс-лист</v>
      </c>
      <c r="G64" t="str">
        <f>Source!G176</f>
        <v>Разъединитель РЛНД с приводом ПРНЗ</v>
      </c>
      <c r="H64" t="str">
        <f>Source!H176</f>
        <v>компл.</v>
      </c>
      <c r="I64">
        <f>Source!I176</f>
        <v>1</v>
      </c>
      <c r="J64">
        <v>1</v>
      </c>
      <c r="K64">
        <f>Source!AC176</f>
        <v>10416.67</v>
      </c>
      <c r="M64">
        <f t="shared" si="4"/>
        <v>10416.67</v>
      </c>
      <c r="N64">
        <f>Source!AC176*IF(Source!BC176&lt;&gt; 0, Source!BC176, 1)</f>
        <v>10416.67</v>
      </c>
      <c r="O64">
        <f t="shared" si="5"/>
        <v>10416.67</v>
      </c>
      <c r="P64">
        <f>Source!AE176</f>
        <v>0</v>
      </c>
      <c r="R64">
        <f t="shared" si="6"/>
        <v>0</v>
      </c>
      <c r="S64">
        <f>Source!AE176*IF(Source!BS176&lt;&gt; 0, Source!BS176, 1)</f>
        <v>0</v>
      </c>
      <c r="T64">
        <f t="shared" si="7"/>
        <v>0</v>
      </c>
      <c r="U64">
        <v>3</v>
      </c>
      <c r="Z64">
        <f>Source!GF176</f>
        <v>224188814</v>
      </c>
      <c r="AA64">
        <v>1432701616</v>
      </c>
      <c r="AB64">
        <v>1432701616</v>
      </c>
    </row>
    <row r="65" spans="1:28" x14ac:dyDescent="0.2">
      <c r="A65">
        <f>Source!A177</f>
        <v>17</v>
      </c>
      <c r="B65">
        <v>177</v>
      </c>
      <c r="C65">
        <v>3</v>
      </c>
      <c r="D65">
        <f>Source!BI177</f>
        <v>1</v>
      </c>
      <c r="E65">
        <f>Source!FS177</f>
        <v>0</v>
      </c>
      <c r="F65" t="str">
        <f>Source!F177</f>
        <v>Прайс-лист</v>
      </c>
      <c r="G65" t="str">
        <f>Source!G177</f>
        <v>Комплект крепления  разъединителя РЛНД на опору (траверса под разъединитель, траверса крепления привода)</v>
      </c>
      <c r="H65" t="str">
        <f>Source!H177</f>
        <v>компл.</v>
      </c>
      <c r="I65">
        <f>Source!I177</f>
        <v>1</v>
      </c>
      <c r="J65">
        <v>1</v>
      </c>
      <c r="K65">
        <f>Source!AC177</f>
        <v>10000</v>
      </c>
      <c r="M65">
        <f t="shared" si="4"/>
        <v>10000</v>
      </c>
      <c r="N65">
        <f>Source!AC177*IF(Source!BC177&lt;&gt; 0, Source!BC177, 1)</f>
        <v>10000</v>
      </c>
      <c r="O65">
        <f t="shared" si="5"/>
        <v>10000</v>
      </c>
      <c r="P65">
        <f>Source!AE177</f>
        <v>0</v>
      </c>
      <c r="R65">
        <f t="shared" si="6"/>
        <v>0</v>
      </c>
      <c r="S65">
        <f>Source!AE177*IF(Source!BS177&lt;&gt; 0, Source!BS177, 1)</f>
        <v>0</v>
      </c>
      <c r="T65">
        <f t="shared" si="7"/>
        <v>0</v>
      </c>
      <c r="U65">
        <v>3</v>
      </c>
      <c r="Z65">
        <f>Source!GF177</f>
        <v>1130901521</v>
      </c>
      <c r="AA65">
        <v>-838624835</v>
      </c>
      <c r="AB65">
        <v>-838624835</v>
      </c>
    </row>
    <row r="66" spans="1:28" x14ac:dyDescent="0.2">
      <c r="A66">
        <f>Source!A178</f>
        <v>17</v>
      </c>
      <c r="B66">
        <v>178</v>
      </c>
      <c r="C66">
        <v>3</v>
      </c>
      <c r="D66">
        <f>Source!BI178</f>
        <v>2</v>
      </c>
      <c r="E66">
        <f>Source!FS178</f>
        <v>0</v>
      </c>
      <c r="F66" t="str">
        <f>Source!F178</f>
        <v>502-0860</v>
      </c>
      <c r="G66" t="str">
        <f>Source!G178</f>
        <v>Провода самонесущие изолированные для воздушных линий электропередачи с алюминиевыми жилами марки СИП-3 1х70-20</v>
      </c>
      <c r="H66" t="str">
        <f>Source!H178</f>
        <v>1000 м</v>
      </c>
      <c r="I66">
        <f>Source!I178</f>
        <v>2.1000000000000001E-2</v>
      </c>
      <c r="J66">
        <v>1</v>
      </c>
      <c r="K66">
        <f>Source!AC178</f>
        <v>23908.94</v>
      </c>
      <c r="M66">
        <f t="shared" si="4"/>
        <v>502.09</v>
      </c>
      <c r="N66">
        <f>Source!AC178*IF(Source!BC178&lt;&gt; 0, Source!BC178, 1)</f>
        <v>90375.793199999986</v>
      </c>
      <c r="O66">
        <f t="shared" si="5"/>
        <v>1897.89</v>
      </c>
      <c r="P66">
        <f>Source!AE178</f>
        <v>0</v>
      </c>
      <c r="R66">
        <f t="shared" si="6"/>
        <v>0</v>
      </c>
      <c r="S66">
        <f>Source!AE178*IF(Source!BS178&lt;&gt; 0, Source!BS178, 1)</f>
        <v>0</v>
      </c>
      <c r="T66">
        <f t="shared" si="7"/>
        <v>0</v>
      </c>
      <c r="U66">
        <v>3</v>
      </c>
      <c r="Z66">
        <f>Source!GF178</f>
        <v>-497340706</v>
      </c>
      <c r="AA66">
        <v>-302277833</v>
      </c>
      <c r="AB66">
        <v>1261187974</v>
      </c>
    </row>
    <row r="67" spans="1:28" x14ac:dyDescent="0.2">
      <c r="A67">
        <f>Source!A179</f>
        <v>17</v>
      </c>
      <c r="B67">
        <v>179</v>
      </c>
      <c r="C67">
        <v>3</v>
      </c>
      <c r="D67">
        <f>Source!BI179</f>
        <v>1</v>
      </c>
      <c r="E67">
        <f>Source!FS179</f>
        <v>0</v>
      </c>
      <c r="F67" t="str">
        <f>Source!F179</f>
        <v>111-3249</v>
      </c>
      <c r="G67" t="str">
        <f>Source!G179</f>
        <v>Наконечник изолированный алюминиевый с медной клеммой (СИП) CPTAU 70</v>
      </c>
      <c r="H67" t="str">
        <f>Source!H179</f>
        <v>шт.</v>
      </c>
      <c r="I67">
        <f>Source!I179</f>
        <v>6</v>
      </c>
      <c r="J67">
        <v>1</v>
      </c>
      <c r="K67">
        <f>Source!AC179</f>
        <v>57.83</v>
      </c>
      <c r="M67">
        <f t="shared" si="4"/>
        <v>346.98</v>
      </c>
      <c r="N67">
        <f>Source!AC179*IF(Source!BC179&lt;&gt; 0, Source!BC179, 1)</f>
        <v>633.23849999999993</v>
      </c>
      <c r="O67">
        <f t="shared" si="5"/>
        <v>3799.43</v>
      </c>
      <c r="P67">
        <f>Source!AE179</f>
        <v>0</v>
      </c>
      <c r="R67">
        <f t="shared" si="6"/>
        <v>0</v>
      </c>
      <c r="S67">
        <f>Source!AE179*IF(Source!BS179&lt;&gt; 0, Source!BS179, 1)</f>
        <v>0</v>
      </c>
      <c r="T67">
        <f t="shared" si="7"/>
        <v>0</v>
      </c>
      <c r="U67">
        <v>3</v>
      </c>
      <c r="Z67">
        <f>Source!GF179</f>
        <v>1527325796</v>
      </c>
      <c r="AA67">
        <v>1691844711</v>
      </c>
      <c r="AB67">
        <v>1399864679</v>
      </c>
    </row>
    <row r="68" spans="1:28" x14ac:dyDescent="0.2">
      <c r="A68">
        <f>Source!A180</f>
        <v>17</v>
      </c>
      <c r="B68">
        <v>180</v>
      </c>
      <c r="C68">
        <v>3</v>
      </c>
      <c r="D68">
        <f>Source!BI180</f>
        <v>1</v>
      </c>
      <c r="E68">
        <f>Source!FS180</f>
        <v>0</v>
      </c>
      <c r="F68" t="str">
        <f>Source!F180</f>
        <v>103-0015</v>
      </c>
      <c r="G68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H68" t="str">
        <f>Source!H180</f>
        <v>м</v>
      </c>
      <c r="I68">
        <f>Source!I180</f>
        <v>12</v>
      </c>
      <c r="J68">
        <v>1</v>
      </c>
      <c r="K68">
        <f>Source!AC180</f>
        <v>20.79</v>
      </c>
      <c r="M68">
        <f t="shared" si="4"/>
        <v>249.48</v>
      </c>
      <c r="N68">
        <f>Source!AC180*IF(Source!BC180&lt;&gt; 0, Source!BC180, 1)</f>
        <v>206.44469999999998</v>
      </c>
      <c r="O68">
        <f t="shared" si="5"/>
        <v>2477.34</v>
      </c>
      <c r="P68">
        <f>Source!AE180</f>
        <v>0</v>
      </c>
      <c r="R68">
        <f t="shared" si="6"/>
        <v>0</v>
      </c>
      <c r="S68">
        <f>Source!AE180*IF(Source!BS180&lt;&gt; 0, Source!BS180, 1)</f>
        <v>0</v>
      </c>
      <c r="T68">
        <f t="shared" si="7"/>
        <v>0</v>
      </c>
      <c r="U68">
        <v>3</v>
      </c>
      <c r="Z68">
        <f>Source!GF180</f>
        <v>1293560168</v>
      </c>
      <c r="AA68">
        <v>-1538692547</v>
      </c>
      <c r="AB68">
        <v>604148075</v>
      </c>
    </row>
    <row r="69" spans="1:28" x14ac:dyDescent="0.2">
      <c r="A69">
        <v>20</v>
      </c>
      <c r="B69">
        <v>123</v>
      </c>
      <c r="C69">
        <v>3</v>
      </c>
      <c r="D69">
        <v>0</v>
      </c>
      <c r="E69">
        <f>SmtRes!AV123</f>
        <v>0</v>
      </c>
      <c r="F69" t="str">
        <f>SmtRes!I123</f>
        <v>101-1513</v>
      </c>
      <c r="G69" t="str">
        <f>SmtRes!K123</f>
        <v>Электроды диаметром 4 мм Э42</v>
      </c>
      <c r="H69" t="str">
        <f>SmtRes!O123</f>
        <v>т</v>
      </c>
      <c r="I69">
        <f>SmtRes!Y123*Source!I181</f>
        <v>6.0000000000000002E-5</v>
      </c>
      <c r="J69">
        <f>SmtRes!AO123</f>
        <v>1</v>
      </c>
      <c r="K69">
        <f>SmtRes!AE123</f>
        <v>9750</v>
      </c>
      <c r="L69">
        <f>SmtRes!DB123</f>
        <v>0.28999999999999998</v>
      </c>
      <c r="M69">
        <f>ROUND(ROUND(L69*Source!I181, 2)*1, 2)</f>
        <v>0.57999999999999996</v>
      </c>
      <c r="N69">
        <f>SmtRes!AA123</f>
        <v>119730</v>
      </c>
      <c r="O69">
        <f>ROUND(ROUND(L69*Source!I181, 2)*SmtRes!DA123, 2)</f>
        <v>7.12</v>
      </c>
      <c r="P69">
        <f>SmtRes!AG123</f>
        <v>0</v>
      </c>
      <c r="Q69">
        <f>SmtRes!DC123</f>
        <v>0</v>
      </c>
      <c r="R69">
        <f>ROUND(ROUND(Q69*Source!I181, 2)*1, 2)</f>
        <v>0</v>
      </c>
      <c r="S69">
        <f>SmtRes!AC123</f>
        <v>0</v>
      </c>
      <c r="T69">
        <f>ROUND(ROUND(Q69*Source!I181, 2)*SmtRes!AK123, 2)</f>
        <v>0</v>
      </c>
      <c r="U69">
        <v>3</v>
      </c>
      <c r="Z69">
        <f>SmtRes!X123</f>
        <v>1483167196</v>
      </c>
      <c r="AA69">
        <v>1048653327</v>
      </c>
      <c r="AB69">
        <v>-458246638</v>
      </c>
    </row>
    <row r="70" spans="1:28" x14ac:dyDescent="0.2">
      <c r="A70">
        <f>Source!A183</f>
        <v>17</v>
      </c>
      <c r="B70">
        <v>183</v>
      </c>
      <c r="C70">
        <v>3</v>
      </c>
      <c r="D70">
        <f>Source!BI183</f>
        <v>1</v>
      </c>
      <c r="E70">
        <f>Source!FS183</f>
        <v>0</v>
      </c>
      <c r="F70" t="str">
        <f>Source!F183</f>
        <v>101-1641</v>
      </c>
      <c r="G70" t="str">
        <f>Source!G183</f>
        <v>Сталь угловая равнополочная, марка стали ВСт3кп2, размером 50x50x5 мм</v>
      </c>
      <c r="H70" t="str">
        <f>Source!H183</f>
        <v>т</v>
      </c>
      <c r="I70">
        <f>Source!I183</f>
        <v>1.1115E-2</v>
      </c>
      <c r="J70">
        <v>1</v>
      </c>
      <c r="K70">
        <f>Source!AC183</f>
        <v>6074</v>
      </c>
      <c r="M70">
        <f>ROUND(K70*I70, 2)</f>
        <v>67.510000000000005</v>
      </c>
      <c r="N70">
        <f>Source!AC183*IF(Source!BC183&lt;&gt; 0, Source!BC183, 1)</f>
        <v>83031.58</v>
      </c>
      <c r="O70">
        <f>ROUND(N70*I70, 2)</f>
        <v>922.9</v>
      </c>
      <c r="P70">
        <f>Source!AE183</f>
        <v>0</v>
      </c>
      <c r="R70">
        <f>ROUND(P70*I70, 2)</f>
        <v>0</v>
      </c>
      <c r="S70">
        <f>Source!AE183*IF(Source!BS183&lt;&gt; 0, Source!BS183, 1)</f>
        <v>0</v>
      </c>
      <c r="T70">
        <f>ROUND(S70*I70, 2)</f>
        <v>0</v>
      </c>
      <c r="U70">
        <v>3</v>
      </c>
      <c r="Z70">
        <f>Source!GF183</f>
        <v>-362657570</v>
      </c>
      <c r="AA70">
        <v>-293074326</v>
      </c>
      <c r="AB70">
        <v>-1273745666</v>
      </c>
    </row>
    <row r="71" spans="1:28" x14ac:dyDescent="0.2">
      <c r="A71">
        <v>20</v>
      </c>
      <c r="B71">
        <v>126</v>
      </c>
      <c r="C71">
        <v>3</v>
      </c>
      <c r="D71">
        <v>0</v>
      </c>
      <c r="E71">
        <f>SmtRes!AV126</f>
        <v>0</v>
      </c>
      <c r="F71" t="str">
        <f>SmtRes!I126</f>
        <v>999-9950</v>
      </c>
      <c r="G71" t="str">
        <f>SmtRes!K126</f>
        <v>Вспомогательные ненормируемые материалы (2% от ОЗП)</v>
      </c>
      <c r="H71" t="str">
        <f>SmtRes!O126</f>
        <v>РУБ</v>
      </c>
      <c r="I71">
        <f>SmtRes!Y126*Source!I184</f>
        <v>8.1600000000000006E-2</v>
      </c>
      <c r="J71">
        <f>SmtRes!AO126</f>
        <v>1</v>
      </c>
      <c r="K71">
        <f>SmtRes!AE126</f>
        <v>1</v>
      </c>
      <c r="L71">
        <f>SmtRes!DB126</f>
        <v>2.72</v>
      </c>
      <c r="M71">
        <f>ROUND(ROUND(L71*Source!I184, 2)*1, 2)</f>
        <v>0.08</v>
      </c>
      <c r="N71">
        <f>SmtRes!AA126</f>
        <v>1</v>
      </c>
      <c r="O71">
        <f>ROUND(ROUND(L71*Source!I184, 2)*SmtRes!DA126, 2)</f>
        <v>0.08</v>
      </c>
      <c r="P71">
        <f>SmtRes!AG126</f>
        <v>0</v>
      </c>
      <c r="Q71">
        <f>SmtRes!DC126</f>
        <v>0</v>
      </c>
      <c r="R71">
        <f>ROUND(ROUND(Q71*Source!I184, 2)*1, 2)</f>
        <v>0</v>
      </c>
      <c r="S71">
        <f>SmtRes!AC126</f>
        <v>0</v>
      </c>
      <c r="T71">
        <f>ROUND(ROUND(Q71*Source!I184, 2)*SmtRes!AK126, 2)</f>
        <v>0</v>
      </c>
      <c r="U71">
        <v>3</v>
      </c>
      <c r="Z71">
        <f>SmtRes!X126</f>
        <v>2131831278</v>
      </c>
      <c r="AA71">
        <v>1992150135</v>
      </c>
      <c r="AB71">
        <v>1992150135</v>
      </c>
    </row>
    <row r="72" spans="1:28" x14ac:dyDescent="0.2">
      <c r="A72">
        <f>Source!A225</f>
        <v>4</v>
      </c>
      <c r="B72">
        <v>225</v>
      </c>
      <c r="G72" t="str">
        <f>Source!G225</f>
        <v>Подвеска провода</v>
      </c>
    </row>
    <row r="73" spans="1:28" x14ac:dyDescent="0.2">
      <c r="A73">
        <v>20</v>
      </c>
      <c r="B73">
        <v>140</v>
      </c>
      <c r="C73">
        <v>3</v>
      </c>
      <c r="D73">
        <v>0</v>
      </c>
      <c r="E73">
        <f>SmtRes!AV140</f>
        <v>0</v>
      </c>
      <c r="F73" t="str">
        <f>SmtRes!I140</f>
        <v>509-0455</v>
      </c>
      <c r="G73" t="str">
        <f>SmtRes!K140</f>
        <v>Соединитель алюминиевых и сталеалюминиевых проводов (СОАС) 062-3</v>
      </c>
      <c r="H73" t="str">
        <f>SmtRes!O140</f>
        <v>шт.</v>
      </c>
      <c r="I73">
        <f>SmtRes!Y140*Source!I229</f>
        <v>0.1462</v>
      </c>
      <c r="J73">
        <f>SmtRes!AO140</f>
        <v>1</v>
      </c>
      <c r="K73">
        <f>SmtRes!AE140</f>
        <v>79.599999999999994</v>
      </c>
      <c r="L73">
        <f>SmtRes!DB140</f>
        <v>270.64</v>
      </c>
      <c r="M73">
        <f>ROUND(ROUND(L73*Source!I229, 2)*1, 2)</f>
        <v>11.64</v>
      </c>
      <c r="N73">
        <f>SmtRes!AA140</f>
        <v>688.54</v>
      </c>
      <c r="O73">
        <f>ROUND(ROUND(L73*Source!I229, 2)*SmtRes!DA140, 2)</f>
        <v>100.69</v>
      </c>
      <c r="P73">
        <f>SmtRes!AG140</f>
        <v>0</v>
      </c>
      <c r="Q73">
        <f>SmtRes!DC140</f>
        <v>0</v>
      </c>
      <c r="R73">
        <f>ROUND(ROUND(Q73*Source!I229, 2)*1, 2)</f>
        <v>0</v>
      </c>
      <c r="S73">
        <f>SmtRes!AC140</f>
        <v>0</v>
      </c>
      <c r="T73">
        <f>ROUND(ROUND(Q73*Source!I229, 2)*SmtRes!AK140, 2)</f>
        <v>0</v>
      </c>
      <c r="U73">
        <v>3</v>
      </c>
      <c r="Z73">
        <f>SmtRes!X140</f>
        <v>-1545004678</v>
      </c>
      <c r="AA73">
        <v>-1784069363</v>
      </c>
      <c r="AB73">
        <v>-1596865719</v>
      </c>
    </row>
    <row r="74" spans="1:28" x14ac:dyDescent="0.2">
      <c r="A74">
        <v>20</v>
      </c>
      <c r="B74">
        <v>139</v>
      </c>
      <c r="C74">
        <v>3</v>
      </c>
      <c r="D74">
        <v>0</v>
      </c>
      <c r="E74">
        <f>SmtRes!AV139</f>
        <v>0</v>
      </c>
      <c r="F74" t="str">
        <f>SmtRes!I139</f>
        <v>506-0853</v>
      </c>
      <c r="G74" t="str">
        <f>SmtRes!K139</f>
        <v>Проволока из алюминия диаметром 3 мм</v>
      </c>
      <c r="H74" t="str">
        <f>SmtRes!O139</f>
        <v>т</v>
      </c>
      <c r="I74">
        <f>SmtRes!Y139*Source!I229</f>
        <v>8.599999999999999E-5</v>
      </c>
      <c r="J74">
        <f>SmtRes!AO139</f>
        <v>1</v>
      </c>
      <c r="K74">
        <f>SmtRes!AE139</f>
        <v>29627.5</v>
      </c>
      <c r="L74">
        <f>SmtRes!DB139</f>
        <v>59.26</v>
      </c>
      <c r="M74">
        <f>ROUND(ROUND(L74*Source!I229, 2)*1, 2)</f>
        <v>2.5499999999999998</v>
      </c>
      <c r="N74">
        <f>SmtRes!AA139</f>
        <v>536850.30000000005</v>
      </c>
      <c r="O74">
        <f>ROUND(ROUND(L74*Source!I229, 2)*SmtRes!DA139, 2)</f>
        <v>46.21</v>
      </c>
      <c r="P74">
        <f>SmtRes!AG139</f>
        <v>0</v>
      </c>
      <c r="Q74">
        <f>SmtRes!DC139</f>
        <v>0</v>
      </c>
      <c r="R74">
        <f>ROUND(ROUND(Q74*Source!I229, 2)*1, 2)</f>
        <v>0</v>
      </c>
      <c r="S74">
        <f>SmtRes!AC139</f>
        <v>0</v>
      </c>
      <c r="T74">
        <f>ROUND(ROUND(Q74*Source!I229, 2)*SmtRes!AK139, 2)</f>
        <v>0</v>
      </c>
      <c r="U74">
        <v>3</v>
      </c>
      <c r="Z74">
        <f>SmtRes!X139</f>
        <v>-2114924647</v>
      </c>
      <c r="AA74">
        <v>855590689</v>
      </c>
      <c r="AB74">
        <v>-507964173</v>
      </c>
    </row>
    <row r="75" spans="1:28" x14ac:dyDescent="0.2">
      <c r="A75">
        <v>20</v>
      </c>
      <c r="B75">
        <v>135</v>
      </c>
      <c r="C75">
        <v>3</v>
      </c>
      <c r="D75">
        <v>0</v>
      </c>
      <c r="E75">
        <f>SmtRes!AV135</f>
        <v>0</v>
      </c>
      <c r="F75" t="str">
        <f>SmtRes!I135</f>
        <v>101-2349</v>
      </c>
      <c r="G75" t="str">
        <f>SmtRes!K135</f>
        <v>Смазка ЗЭС</v>
      </c>
      <c r="H75" t="str">
        <f>SmtRes!O135</f>
        <v>кг</v>
      </c>
      <c r="I75">
        <f>SmtRes!Y135*Source!I229</f>
        <v>4.3E-3</v>
      </c>
      <c r="J75">
        <f>SmtRes!AO135</f>
        <v>1</v>
      </c>
      <c r="K75">
        <f>SmtRes!AE135</f>
        <v>14.62</v>
      </c>
      <c r="L75">
        <f>SmtRes!DB135</f>
        <v>1.46</v>
      </c>
      <c r="M75">
        <f>ROUND(ROUND(L75*Source!I229, 2)*1, 2)</f>
        <v>0.06</v>
      </c>
      <c r="N75">
        <f>SmtRes!AA135</f>
        <v>238.6</v>
      </c>
      <c r="O75">
        <f>ROUND(ROUND(L75*Source!I229, 2)*SmtRes!DA135, 2)</f>
        <v>0.98</v>
      </c>
      <c r="P75">
        <f>SmtRes!AG135</f>
        <v>0</v>
      </c>
      <c r="Q75">
        <f>SmtRes!DC135</f>
        <v>0</v>
      </c>
      <c r="R75">
        <f>ROUND(ROUND(Q75*Source!I229, 2)*1, 2)</f>
        <v>0</v>
      </c>
      <c r="S75">
        <f>SmtRes!AC135</f>
        <v>0</v>
      </c>
      <c r="T75">
        <f>ROUND(ROUND(Q75*Source!I229, 2)*SmtRes!AK135, 2)</f>
        <v>0</v>
      </c>
      <c r="U75">
        <v>3</v>
      </c>
      <c r="Z75">
        <f>SmtRes!X135</f>
        <v>-1589564529</v>
      </c>
      <c r="AA75">
        <v>931675150</v>
      </c>
      <c r="AB75">
        <v>1099975433</v>
      </c>
    </row>
    <row r="76" spans="1:28" x14ac:dyDescent="0.2">
      <c r="A76">
        <v>20</v>
      </c>
      <c r="B76">
        <v>134</v>
      </c>
      <c r="C76">
        <v>3</v>
      </c>
      <c r="D76">
        <v>0</v>
      </c>
      <c r="E76">
        <f>SmtRes!AV134</f>
        <v>0</v>
      </c>
      <c r="F76" t="str">
        <f>SmtRes!I134</f>
        <v>101-1757</v>
      </c>
      <c r="G76" t="str">
        <f>SmtRes!K134</f>
        <v>Ветошь</v>
      </c>
      <c r="H76" t="str">
        <f>SmtRes!O134</f>
        <v>кг</v>
      </c>
      <c r="I76">
        <f>SmtRes!Y134*Source!I229</f>
        <v>2.15E-3</v>
      </c>
      <c r="J76">
        <f>SmtRes!AO134</f>
        <v>1</v>
      </c>
      <c r="K76">
        <f>SmtRes!AE134</f>
        <v>1.82</v>
      </c>
      <c r="L76">
        <f>SmtRes!DB134</f>
        <v>0.09</v>
      </c>
      <c r="M76">
        <f>ROUND(ROUND(L76*Source!I229, 2)*1, 2)</f>
        <v>0</v>
      </c>
      <c r="N76">
        <f>SmtRes!AA134</f>
        <v>27.37</v>
      </c>
      <c r="O76">
        <f>ROUND(ROUND(L76*Source!I229, 2)*SmtRes!DA134, 2)</f>
        <v>0</v>
      </c>
      <c r="P76">
        <f>SmtRes!AG134</f>
        <v>0</v>
      </c>
      <c r="Q76">
        <f>SmtRes!DC134</f>
        <v>0</v>
      </c>
      <c r="R76">
        <f>ROUND(ROUND(Q76*Source!I229, 2)*1, 2)</f>
        <v>0</v>
      </c>
      <c r="S76">
        <f>SmtRes!AC134</f>
        <v>0</v>
      </c>
      <c r="T76">
        <f>ROUND(ROUND(Q76*Source!I229, 2)*SmtRes!AK134, 2)</f>
        <v>0</v>
      </c>
      <c r="U76">
        <v>3</v>
      </c>
      <c r="Z76">
        <f>SmtRes!X134</f>
        <v>844235703</v>
      </c>
      <c r="AA76">
        <v>-1982503573</v>
      </c>
      <c r="AB76">
        <v>1926936468</v>
      </c>
    </row>
    <row r="77" spans="1:28" x14ac:dyDescent="0.2">
      <c r="A77">
        <v>20</v>
      </c>
      <c r="B77">
        <v>133</v>
      </c>
      <c r="C77">
        <v>3</v>
      </c>
      <c r="D77">
        <v>0</v>
      </c>
      <c r="E77">
        <f>SmtRes!AV133</f>
        <v>0</v>
      </c>
      <c r="F77" t="str">
        <f>SmtRes!I133</f>
        <v>101-1745</v>
      </c>
      <c r="G77" t="str">
        <f>SmtRes!K133</f>
        <v>Бензин растворитель</v>
      </c>
      <c r="H77" t="str">
        <f>SmtRes!O133</f>
        <v>т</v>
      </c>
      <c r="I77">
        <f>SmtRes!Y133*Source!I229</f>
        <v>2.5799999999999999E-6</v>
      </c>
      <c r="J77">
        <f>SmtRes!AO133</f>
        <v>1</v>
      </c>
      <c r="K77">
        <f>SmtRes!AE133</f>
        <v>6144</v>
      </c>
      <c r="L77">
        <f>SmtRes!DB133</f>
        <v>0.37</v>
      </c>
      <c r="M77">
        <f>ROUND(ROUND(L77*Source!I229, 2)*1, 2)</f>
        <v>0.02</v>
      </c>
      <c r="N77">
        <f>SmtRes!AA133</f>
        <v>98918.399999999994</v>
      </c>
      <c r="O77">
        <f>ROUND(ROUND(L77*Source!I229, 2)*SmtRes!DA133, 2)</f>
        <v>0.32</v>
      </c>
      <c r="P77">
        <f>SmtRes!AG133</f>
        <v>0</v>
      </c>
      <c r="Q77">
        <f>SmtRes!DC133</f>
        <v>0</v>
      </c>
      <c r="R77">
        <f>ROUND(ROUND(Q77*Source!I229, 2)*1, 2)</f>
        <v>0</v>
      </c>
      <c r="S77">
        <f>SmtRes!AC133</f>
        <v>0</v>
      </c>
      <c r="T77">
        <f>ROUND(ROUND(Q77*Source!I229, 2)*SmtRes!AK133, 2)</f>
        <v>0</v>
      </c>
      <c r="U77">
        <v>3</v>
      </c>
      <c r="Z77">
        <f>SmtRes!X133</f>
        <v>-447054030</v>
      </c>
      <c r="AA77">
        <v>223267325</v>
      </c>
      <c r="AB77">
        <v>-436926563</v>
      </c>
    </row>
    <row r="78" spans="1:28" x14ac:dyDescent="0.2">
      <c r="A78">
        <v>20</v>
      </c>
      <c r="B78">
        <v>132</v>
      </c>
      <c r="C78">
        <v>3</v>
      </c>
      <c r="D78">
        <v>0</v>
      </c>
      <c r="E78">
        <f>SmtRes!AV132</f>
        <v>0</v>
      </c>
      <c r="F78" t="str">
        <f>SmtRes!I132</f>
        <v>101-1292</v>
      </c>
      <c r="G78" t="str">
        <f>SmtRes!K132</f>
        <v>Уайт-спирит</v>
      </c>
      <c r="H78" t="str">
        <f>SmtRes!O132</f>
        <v>т</v>
      </c>
      <c r="I78">
        <f>SmtRes!Y132*Source!I229</f>
        <v>9.4599999999999992E-6</v>
      </c>
      <c r="J78">
        <f>SmtRes!AO132</f>
        <v>1</v>
      </c>
      <c r="K78">
        <f>SmtRes!AE132</f>
        <v>6667</v>
      </c>
      <c r="L78">
        <f>SmtRes!DB132</f>
        <v>1.47</v>
      </c>
      <c r="M78">
        <f>ROUND(ROUND(L78*Source!I229, 2)*1, 2)</f>
        <v>0.06</v>
      </c>
      <c r="N78">
        <f>SmtRes!AA132</f>
        <v>74870.41</v>
      </c>
      <c r="O78">
        <f>ROUND(ROUND(L78*Source!I229, 2)*SmtRes!DA132, 2)</f>
        <v>0.67</v>
      </c>
      <c r="P78">
        <f>SmtRes!AG132</f>
        <v>0</v>
      </c>
      <c r="Q78">
        <f>SmtRes!DC132</f>
        <v>0</v>
      </c>
      <c r="R78">
        <f>ROUND(ROUND(Q78*Source!I229, 2)*1, 2)</f>
        <v>0</v>
      </c>
      <c r="S78">
        <f>SmtRes!AC132</f>
        <v>0</v>
      </c>
      <c r="T78">
        <f>ROUND(ROUND(Q78*Source!I229, 2)*SmtRes!AK132, 2)</f>
        <v>0</v>
      </c>
      <c r="U78">
        <v>3</v>
      </c>
      <c r="Z78">
        <f>SmtRes!X132</f>
        <v>-31802417</v>
      </c>
      <c r="AA78">
        <v>1057528375</v>
      </c>
      <c r="AB78">
        <v>-2009841352</v>
      </c>
    </row>
    <row r="79" spans="1:28" x14ac:dyDescent="0.2">
      <c r="A79">
        <f>Source!A233</f>
        <v>17</v>
      </c>
      <c r="B79">
        <v>233</v>
      </c>
      <c r="C79">
        <v>3</v>
      </c>
      <c r="D79">
        <f>Source!BI233</f>
        <v>2</v>
      </c>
      <c r="E79">
        <f>Source!FS233</f>
        <v>0</v>
      </c>
      <c r="F79" t="str">
        <f>Source!F233</f>
        <v>509-5892</v>
      </c>
      <c r="G79" t="str">
        <f>Source!G233</f>
        <v>Зажим плашечный соединительный ПА 2-2</v>
      </c>
      <c r="H79" t="str">
        <f>Source!H233</f>
        <v>шт.</v>
      </c>
      <c r="I79">
        <f>Source!I233</f>
        <v>3</v>
      </c>
      <c r="J79">
        <v>1</v>
      </c>
      <c r="K79">
        <f>Source!AC233</f>
        <v>6.89</v>
      </c>
      <c r="M79">
        <f>ROUND(K79*I79, 2)</f>
        <v>20.67</v>
      </c>
      <c r="N79">
        <f>Source!AC233*IF(Source!BC233&lt;&gt; 0, Source!BC233, 1)</f>
        <v>73.929699999999997</v>
      </c>
      <c r="O79">
        <f>ROUND(N79*I79, 2)</f>
        <v>221.79</v>
      </c>
      <c r="P79">
        <f>Source!AE233</f>
        <v>0</v>
      </c>
      <c r="R79">
        <f>ROUND(P79*I79, 2)</f>
        <v>0</v>
      </c>
      <c r="S79">
        <f>Source!AE233*IF(Source!BS233&lt;&gt; 0, Source!BS233, 1)</f>
        <v>0</v>
      </c>
      <c r="T79">
        <f>ROUND(S79*I79, 2)</f>
        <v>0</v>
      </c>
      <c r="U79">
        <v>3</v>
      </c>
      <c r="Z79">
        <f>Source!GF233</f>
        <v>-939521780</v>
      </c>
      <c r="AA79">
        <v>877308479</v>
      </c>
      <c r="AB79">
        <v>1121326229</v>
      </c>
    </row>
    <row r="80" spans="1:28" x14ac:dyDescent="0.2">
      <c r="A80">
        <v>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2F4A4-CC54-45E3-8854-1AC9776EEC12}">
  <sheetPr>
    <pageSetUpPr fitToPage="1"/>
  </sheetPr>
  <dimension ref="A2:AL48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6" width="12.7109375" customWidth="1"/>
    <col min="36" max="36" width="54.28515625" hidden="1" customWidth="1"/>
    <col min="37" max="39" width="0" hidden="1" customWidth="1"/>
  </cols>
  <sheetData>
    <row r="2" spans="1:38" ht="16.5" x14ac:dyDescent="0.2">
      <c r="A2" s="108" t="s">
        <v>636</v>
      </c>
      <c r="B2" s="109"/>
      <c r="C2" s="109"/>
      <c r="D2" s="109"/>
      <c r="E2" s="109"/>
      <c r="F2" s="109"/>
    </row>
    <row r="3" spans="1:38" ht="33" x14ac:dyDescent="0.2">
      <c r="A3" s="108" t="str">
        <f>CONCATENATE("Объект: ",IF(Source!G313&lt;&gt;"Новый объект", Source!G313, ""))</f>
        <v>Объект: Установка реклоузеров на ВЛ-6 кВ на линии №11 в п. Сосновка, Заволжье</v>
      </c>
      <c r="B3" s="109"/>
      <c r="C3" s="109"/>
      <c r="D3" s="109"/>
      <c r="E3" s="109"/>
      <c r="F3" s="109"/>
      <c r="AJ3" s="59" t="s">
        <v>637</v>
      </c>
    </row>
    <row r="4" spans="1:38" x14ac:dyDescent="0.2">
      <c r="A4" s="110" t="s">
        <v>638</v>
      </c>
      <c r="B4" s="110" t="s">
        <v>639</v>
      </c>
      <c r="C4" s="110" t="s">
        <v>640</v>
      </c>
      <c r="D4" s="110" t="s">
        <v>641</v>
      </c>
      <c r="E4" s="113" t="s">
        <v>642</v>
      </c>
      <c r="F4" s="114"/>
    </row>
    <row r="5" spans="1:38" x14ac:dyDescent="0.2">
      <c r="A5" s="111"/>
      <c r="B5" s="111"/>
      <c r="C5" s="111"/>
      <c r="D5" s="111"/>
      <c r="E5" s="115"/>
      <c r="F5" s="116"/>
    </row>
    <row r="6" spans="1:38" ht="14.25" x14ac:dyDescent="0.2">
      <c r="A6" s="112"/>
      <c r="B6" s="112"/>
      <c r="C6" s="112"/>
      <c r="D6" s="112"/>
      <c r="E6" s="24" t="s">
        <v>643</v>
      </c>
      <c r="F6" s="24" t="s">
        <v>644</v>
      </c>
    </row>
    <row r="7" spans="1:38" ht="14.25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38" ht="14.25" x14ac:dyDescent="0.2">
      <c r="A8" s="104" t="s">
        <v>645</v>
      </c>
      <c r="B8" s="105"/>
      <c r="C8" s="105"/>
      <c r="D8" s="105"/>
      <c r="E8" s="105"/>
      <c r="F8" s="105"/>
    </row>
    <row r="9" spans="1:38" ht="28.5" x14ac:dyDescent="0.2">
      <c r="A9" s="62" t="s">
        <v>486</v>
      </c>
      <c r="B9" s="63" t="s">
        <v>488</v>
      </c>
      <c r="C9" s="63" t="s">
        <v>126</v>
      </c>
      <c r="D9" s="64">
        <f>ROUND(SUMIF(RV_DATA!AB6:AB79, 513487788, RV_DATA!I6:I79), 6)</f>
        <v>4.0000000000000002E-4</v>
      </c>
      <c r="E9" s="65">
        <f>ROUND(RV_DATA!N21, 2)</f>
        <v>83122.95</v>
      </c>
      <c r="F9" s="65">
        <f>ROUND(SUMIF(RV_DATA!AB6:AB79, 513487788, RV_DATA!O6:O79), 6)</f>
        <v>33.24</v>
      </c>
      <c r="AL9">
        <v>3</v>
      </c>
    </row>
    <row r="10" spans="1:38" ht="14.25" x14ac:dyDescent="0.2">
      <c r="A10" s="62" t="s">
        <v>489</v>
      </c>
      <c r="B10" s="63" t="s">
        <v>491</v>
      </c>
      <c r="C10" s="63" t="s">
        <v>126</v>
      </c>
      <c r="D10" s="64">
        <f>ROUND(SUMIF(RV_DATA!AB6:AB79, 2090751514, RV_DATA!I6:I79), 6)</f>
        <v>9.0000000000000006E-5</v>
      </c>
      <c r="E10" s="65">
        <f>ROUND(RV_DATA!N20, 2)</f>
        <v>163867.51999999999</v>
      </c>
      <c r="F10" s="65">
        <f>ROUND(SUMIF(RV_DATA!AB6:AB79, 2090751514, RV_DATA!O6:O79), 6)</f>
        <v>14.76</v>
      </c>
      <c r="AL10">
        <v>3</v>
      </c>
    </row>
    <row r="11" spans="1:38" ht="14.25" x14ac:dyDescent="0.2">
      <c r="A11" s="62" t="s">
        <v>504</v>
      </c>
      <c r="B11" s="63" t="s">
        <v>506</v>
      </c>
      <c r="C11" s="63" t="s">
        <v>126</v>
      </c>
      <c r="D11" s="64">
        <f>ROUND(SUMIF(RV_DATA!AB6:AB79, -2009841352, RV_DATA!I6:I79), 6)</f>
        <v>1.5899999999999999E-4</v>
      </c>
      <c r="E11" s="65">
        <f>ROUND(RV_DATA!N36, 2)</f>
        <v>74870.41</v>
      </c>
      <c r="F11" s="65">
        <f>ROUND(SUMIF(RV_DATA!AB6:AB79, -2009841352, RV_DATA!O6:O79), 6)</f>
        <v>11.9</v>
      </c>
      <c r="AL11">
        <v>3</v>
      </c>
    </row>
    <row r="12" spans="1:38" ht="28.5" x14ac:dyDescent="0.2">
      <c r="A12" s="62" t="s">
        <v>463</v>
      </c>
      <c r="B12" s="63" t="s">
        <v>465</v>
      </c>
      <c r="C12" s="63" t="s">
        <v>126</v>
      </c>
      <c r="D12" s="64">
        <f>ROUND(SUMIF(RV_DATA!AB6:AB79, 1108209291, RV_DATA!I6:I79), 6)</f>
        <v>9.2020000000000001E-3</v>
      </c>
      <c r="E12" s="65">
        <f>ROUND(RV_DATA!N15, 2)</f>
        <v>10045.32</v>
      </c>
      <c r="F12" s="65">
        <f>ROUND(SUMIF(RV_DATA!AB6:AB79, 1108209291, RV_DATA!O6:O79), 6)</f>
        <v>92.34</v>
      </c>
      <c r="AL12">
        <v>3</v>
      </c>
    </row>
    <row r="13" spans="1:38" ht="14.25" x14ac:dyDescent="0.2">
      <c r="A13" s="62" t="s">
        <v>518</v>
      </c>
      <c r="B13" s="63" t="s">
        <v>520</v>
      </c>
      <c r="C13" s="63" t="s">
        <v>126</v>
      </c>
      <c r="D13" s="64">
        <f>ROUND(SUMIF(RV_DATA!AB6:AB79, -458246638, RV_DATA!I6:I79), 6)</f>
        <v>2.1000000000000001E-4</v>
      </c>
      <c r="E13" s="65">
        <f>ROUND(RV_DATA!N39, 2)</f>
        <v>119730</v>
      </c>
      <c r="F13" s="65">
        <f>ROUND(SUMIF(RV_DATA!AB6:AB79, -458246638, RV_DATA!O6:O79), 6)</f>
        <v>24.92</v>
      </c>
      <c r="AL13">
        <v>3</v>
      </c>
    </row>
    <row r="14" spans="1:38" ht="28.5" x14ac:dyDescent="0.2">
      <c r="A14" s="62" t="s">
        <v>236</v>
      </c>
      <c r="B14" s="63" t="s">
        <v>237</v>
      </c>
      <c r="C14" s="63" t="s">
        <v>126</v>
      </c>
      <c r="D14" s="64">
        <f>ROUND(SUMIF(RV_DATA!AB6:AB79, -1273745666, RV_DATA!I6:I79), 6)</f>
        <v>6.6689999999999999E-2</v>
      </c>
      <c r="E14" s="65">
        <f>ROUND(RV_DATA!N40, 2)</f>
        <v>83031.58</v>
      </c>
      <c r="F14" s="65">
        <f>ROUND(SUMIF(RV_DATA!AB6:AB79, -1273745666, RV_DATA!O6:O79), 6)</f>
        <v>5537.38</v>
      </c>
      <c r="AL14">
        <v>3</v>
      </c>
    </row>
    <row r="15" spans="1:38" ht="14.25" x14ac:dyDescent="0.2">
      <c r="A15" s="62" t="s">
        <v>466</v>
      </c>
      <c r="B15" s="63" t="s">
        <v>468</v>
      </c>
      <c r="C15" s="63" t="s">
        <v>27</v>
      </c>
      <c r="D15" s="64">
        <f>ROUND(SUMIF(RV_DATA!AB6:AB79, -844708560, RV_DATA!I6:I79), 6)</f>
        <v>4.0896000000000002E-2</v>
      </c>
      <c r="E15" s="65">
        <f>ROUND(RV_DATA!N14, 2)</f>
        <v>464.46</v>
      </c>
      <c r="F15" s="65">
        <f>ROUND(SUMIF(RV_DATA!AB6:AB79, -844708560, RV_DATA!O6:O79), 6)</f>
        <v>18.97</v>
      </c>
      <c r="AL15">
        <v>3</v>
      </c>
    </row>
    <row r="16" spans="1:38" ht="14.25" x14ac:dyDescent="0.2">
      <c r="A16" s="62" t="s">
        <v>540</v>
      </c>
      <c r="B16" s="63" t="s">
        <v>542</v>
      </c>
      <c r="C16" s="63" t="s">
        <v>126</v>
      </c>
      <c r="D16" s="64">
        <f>ROUND(SUMIF(RV_DATA!AB6:AB79, -436926563, RV_DATA!I6:I79), 6)</f>
        <v>3.0000000000000001E-6</v>
      </c>
      <c r="E16" s="65">
        <f>ROUND(RV_DATA!N77, 2)</f>
        <v>98918.399999999994</v>
      </c>
      <c r="F16" s="65">
        <f>ROUND(SUMIF(RV_DATA!AB6:AB79, -436926563, RV_DATA!O6:O79), 6)</f>
        <v>0.32</v>
      </c>
      <c r="AL16">
        <v>3</v>
      </c>
    </row>
    <row r="17" spans="1:38" ht="14.25" x14ac:dyDescent="0.2">
      <c r="A17" s="62" t="s">
        <v>492</v>
      </c>
      <c r="B17" s="63" t="s">
        <v>494</v>
      </c>
      <c r="C17" s="63" t="s">
        <v>148</v>
      </c>
      <c r="D17" s="64">
        <f>ROUND(SUMIF(RV_DATA!AB6:AB79, 1926936468, RV_DATA!I6:I79), 6)</f>
        <v>6.2149999999999997E-2</v>
      </c>
      <c r="E17" s="65">
        <f>ROUND(RV_DATA!N19, 2)</f>
        <v>27.37</v>
      </c>
      <c r="F17" s="65">
        <f>ROUND(SUMIF(RV_DATA!AB6:AB79, 1926936468, RV_DATA!O6:O79), 6)</f>
        <v>1.8</v>
      </c>
      <c r="AL17">
        <v>3</v>
      </c>
    </row>
    <row r="18" spans="1:38" ht="14.25" x14ac:dyDescent="0.2">
      <c r="A18" s="62" t="s">
        <v>469</v>
      </c>
      <c r="B18" s="63" t="s">
        <v>471</v>
      </c>
      <c r="C18" s="63" t="s">
        <v>148</v>
      </c>
      <c r="D18" s="64">
        <f>ROUND(SUMIF(RV_DATA!AB6:AB79, 280888119, RV_DATA!I6:I79), 6)</f>
        <v>0.29570400000000002</v>
      </c>
      <c r="E18" s="65">
        <f>ROUND(RV_DATA!N13, 2)</f>
        <v>121.82</v>
      </c>
      <c r="F18" s="65">
        <f>ROUND(SUMIF(RV_DATA!AB6:AB79, 280888119, RV_DATA!O6:O79), 6)</f>
        <v>36.020000000000003</v>
      </c>
      <c r="AL18">
        <v>3</v>
      </c>
    </row>
    <row r="19" spans="1:38" ht="28.5" x14ac:dyDescent="0.2">
      <c r="A19" s="62" t="s">
        <v>472</v>
      </c>
      <c r="B19" s="63" t="s">
        <v>125</v>
      </c>
      <c r="C19" s="63" t="s">
        <v>148</v>
      </c>
      <c r="D19" s="64">
        <f>ROUND(SUMIF(RV_DATA!AB6:AB79, 1334651650, RV_DATA!I6:I79), 6)</f>
        <v>1.3802399999999999</v>
      </c>
      <c r="E19" s="65">
        <f>ROUND(RV_DATA!N12, 2)</f>
        <v>288.5</v>
      </c>
      <c r="F19" s="65">
        <f>ROUND(SUMIF(RV_DATA!AB6:AB79, 1334651650, RV_DATA!O6:O79), 6)</f>
        <v>398.24</v>
      </c>
      <c r="AL19">
        <v>3</v>
      </c>
    </row>
    <row r="20" spans="1:38" ht="14.25" x14ac:dyDescent="0.2">
      <c r="A20" s="62" t="s">
        <v>495</v>
      </c>
      <c r="B20" s="63" t="s">
        <v>497</v>
      </c>
      <c r="C20" s="63" t="s">
        <v>148</v>
      </c>
      <c r="D20" s="64">
        <f>ROUND(SUMIF(RV_DATA!AB6:AB79, 1099975433, RV_DATA!I6:I79), 6)</f>
        <v>0.21429999999999999</v>
      </c>
      <c r="E20" s="65">
        <f>ROUND(RV_DATA!N18, 2)</f>
        <v>238.6</v>
      </c>
      <c r="F20" s="65">
        <f>ROUND(SUMIF(RV_DATA!AB6:AB79, 1099975433, RV_DATA!O6:O79), 6)</f>
        <v>51.09</v>
      </c>
      <c r="AL20">
        <v>3</v>
      </c>
    </row>
    <row r="21" spans="1:38" ht="14.25" x14ac:dyDescent="0.2">
      <c r="A21" s="62" t="s">
        <v>273</v>
      </c>
      <c r="B21" s="63" t="s">
        <v>274</v>
      </c>
      <c r="C21" s="63" t="s">
        <v>126</v>
      </c>
      <c r="D21" s="64">
        <f>ROUND(SUMIF(RV_DATA!AB6:AB79, 1986113436, RV_DATA!I6:I79), 6)</f>
        <v>3.3345E-2</v>
      </c>
      <c r="E21" s="65">
        <f>ROUND(RV_DATA!N44, 2)</f>
        <v>88436.84</v>
      </c>
      <c r="F21" s="65">
        <f>ROUND(SUMIF(RV_DATA!AB6:AB79, 1986113436, RV_DATA!O6:O79), 6)</f>
        <v>2948.93</v>
      </c>
      <c r="AL21">
        <v>3</v>
      </c>
    </row>
    <row r="22" spans="1:38" ht="71.25" x14ac:dyDescent="0.2">
      <c r="A22" s="62" t="s">
        <v>331</v>
      </c>
      <c r="B22" s="63" t="s">
        <v>332</v>
      </c>
      <c r="C22" s="63" t="s">
        <v>333</v>
      </c>
      <c r="D22" s="64">
        <f>ROUND(SUMIF(RV_DATA!AB6:AB79, 604148075, RV_DATA!I6:I79), 6)</f>
        <v>12</v>
      </c>
      <c r="E22" s="65">
        <f>ROUND(RV_DATA!N68, 2)</f>
        <v>206.44</v>
      </c>
      <c r="F22" s="65">
        <f>ROUND(SUMIF(RV_DATA!AB6:AB79, 604148075, RV_DATA!O6:O79), 6)</f>
        <v>2477.34</v>
      </c>
      <c r="AL22">
        <v>3</v>
      </c>
    </row>
    <row r="23" spans="1:38" ht="28.5" x14ac:dyDescent="0.2">
      <c r="A23" s="62" t="s">
        <v>193</v>
      </c>
      <c r="B23" s="63" t="s">
        <v>194</v>
      </c>
      <c r="C23" s="63" t="s">
        <v>135</v>
      </c>
      <c r="D23" s="64">
        <f>ROUND(SUMIF(RV_DATA!AB6:AB79, -1018128656, RV_DATA!I6:I79), 6)</f>
        <v>3</v>
      </c>
      <c r="E23" s="65">
        <f>ROUND(RV_DATA!N28, 2)</f>
        <v>181.94</v>
      </c>
      <c r="F23" s="65">
        <f>ROUND(SUMIF(RV_DATA!AB6:AB79, -1018128656, RV_DATA!O6:O79), 6)</f>
        <v>545.82000000000005</v>
      </c>
      <c r="AL23">
        <v>3</v>
      </c>
    </row>
    <row r="24" spans="1:38" ht="42.75" x14ac:dyDescent="0.2">
      <c r="A24" s="62" t="s">
        <v>182</v>
      </c>
      <c r="B24" s="63" t="s">
        <v>183</v>
      </c>
      <c r="C24" s="63" t="s">
        <v>135</v>
      </c>
      <c r="D24" s="64">
        <f>ROUND(SUMIF(RV_DATA!AB6:AB79, 1528588727, RV_DATA!I6:I79), 6)</f>
        <v>6</v>
      </c>
      <c r="E24" s="65">
        <f>ROUND(RV_DATA!N26, 2)</f>
        <v>291.39</v>
      </c>
      <c r="F24" s="65">
        <f>ROUND(SUMIF(RV_DATA!AB6:AB79, 1528588727, RV_DATA!O6:O79), 6)</f>
        <v>1748.34</v>
      </c>
      <c r="AL24">
        <v>3</v>
      </c>
    </row>
    <row r="25" spans="1:38" ht="42.75" x14ac:dyDescent="0.2">
      <c r="A25" s="62" t="s">
        <v>201</v>
      </c>
      <c r="B25" s="63" t="s">
        <v>202</v>
      </c>
      <c r="C25" s="63" t="s">
        <v>135</v>
      </c>
      <c r="D25" s="64">
        <f>ROUND(SUMIF(RV_DATA!AB6:AB79, -1190233930, RV_DATA!I6:I79), 6)</f>
        <v>6</v>
      </c>
      <c r="E25" s="65">
        <f>ROUND(RV_DATA!N30, 2)</f>
        <v>1743.67</v>
      </c>
      <c r="F25" s="65">
        <f>ROUND(SUMIF(RV_DATA!AB6:AB79, -1190233930, RV_DATA!O6:O79), 6)</f>
        <v>10462.01</v>
      </c>
      <c r="AL25">
        <v>3</v>
      </c>
    </row>
    <row r="26" spans="1:38" ht="42.75" x14ac:dyDescent="0.2">
      <c r="A26" s="62" t="s">
        <v>327</v>
      </c>
      <c r="B26" s="63" t="s">
        <v>328</v>
      </c>
      <c r="C26" s="63" t="s">
        <v>135</v>
      </c>
      <c r="D26" s="64">
        <f>ROUND(SUMIF(RV_DATA!AB6:AB79, 1399864679, RV_DATA!I6:I79), 6)</f>
        <v>6</v>
      </c>
      <c r="E26" s="65">
        <f>ROUND(RV_DATA!N67, 2)</f>
        <v>633.24</v>
      </c>
      <c r="F26" s="65">
        <f>ROUND(SUMIF(RV_DATA!AB6:AB79, 1399864679, RV_DATA!O6:O79), 6)</f>
        <v>3799.43</v>
      </c>
      <c r="AL26">
        <v>3</v>
      </c>
    </row>
    <row r="27" spans="1:38" ht="14.25" x14ac:dyDescent="0.2">
      <c r="A27" s="62" t="s">
        <v>498</v>
      </c>
      <c r="B27" s="63" t="s">
        <v>500</v>
      </c>
      <c r="C27" s="63" t="s">
        <v>126</v>
      </c>
      <c r="D27" s="64">
        <f>ROUND(SUMIF(RV_DATA!AB6:AB79, -92041477, RV_DATA!I6:I79), 6)</f>
        <v>2.9999999999999997E-4</v>
      </c>
      <c r="E27" s="65">
        <f>ROUND(RV_DATA!N17, 2)</f>
        <v>85854.59</v>
      </c>
      <c r="F27" s="65">
        <f>ROUND(SUMIF(RV_DATA!AB6:AB79, -92041477, RV_DATA!O6:O79), 6)</f>
        <v>25.89</v>
      </c>
      <c r="AL27">
        <v>3</v>
      </c>
    </row>
    <row r="28" spans="1:38" ht="14.25" x14ac:dyDescent="0.2">
      <c r="A28" s="62" t="s">
        <v>529</v>
      </c>
      <c r="B28" s="63" t="s">
        <v>531</v>
      </c>
      <c r="C28" s="63" t="s">
        <v>126</v>
      </c>
      <c r="D28" s="64">
        <f>ROUND(SUMIF(RV_DATA!AB6:AB79, 1752246270, RV_DATA!I6:I79), 6)</f>
        <v>3.3300000000000002E-4</v>
      </c>
      <c r="E28" s="65">
        <f>ROUND(RV_DATA!N42, 2)</f>
        <v>77557.919999999998</v>
      </c>
      <c r="F28" s="65">
        <f>ROUND(SUMIF(RV_DATA!AB6:AB79, 1752246270, RV_DATA!O6:O79), 6)</f>
        <v>25.8</v>
      </c>
      <c r="AL28">
        <v>3</v>
      </c>
    </row>
    <row r="29" spans="1:38" ht="42.75" x14ac:dyDescent="0.2">
      <c r="A29" s="62" t="s">
        <v>474</v>
      </c>
      <c r="B29" s="63" t="s">
        <v>476</v>
      </c>
      <c r="C29" s="63" t="s">
        <v>126</v>
      </c>
      <c r="D29" s="64">
        <f>ROUND(SUMIF(RV_DATA!AB6:AB79, -1567632015, RV_DATA!I6:I79), 6)</f>
        <v>5.1119999999999999E-2</v>
      </c>
      <c r="E29" s="65">
        <f>ROUND(RV_DATA!N11, 2)</f>
        <v>125245.82</v>
      </c>
      <c r="F29" s="65">
        <f>ROUND(SUMIF(RV_DATA!AB6:AB79, -1567632015, RV_DATA!O6:O79), 6)</f>
        <v>6402.6</v>
      </c>
      <c r="AL29">
        <v>3</v>
      </c>
    </row>
    <row r="30" spans="1:38" ht="14.25" x14ac:dyDescent="0.2">
      <c r="A30" s="62" t="s">
        <v>174</v>
      </c>
      <c r="B30" s="63" t="s">
        <v>175</v>
      </c>
      <c r="C30" s="63" t="s">
        <v>148</v>
      </c>
      <c r="D30" s="64">
        <f>ROUND(SUMIF(RV_DATA!AB6:AB79, -969601686, RV_DATA!I6:I79), 6)</f>
        <v>3.54</v>
      </c>
      <c r="E30" s="65">
        <f>ROUND(RV_DATA!N24, 2)</f>
        <v>71.88</v>
      </c>
      <c r="F30" s="65">
        <f>ROUND(SUMIF(RV_DATA!AB6:AB79, -969601686, RV_DATA!O6:O79), 6)</f>
        <v>254.46</v>
      </c>
      <c r="AL30">
        <v>3</v>
      </c>
    </row>
    <row r="31" spans="1:38" ht="28.5" x14ac:dyDescent="0.2">
      <c r="A31" s="62" t="s">
        <v>170</v>
      </c>
      <c r="B31" s="63" t="s">
        <v>171</v>
      </c>
      <c r="C31" s="63" t="s">
        <v>126</v>
      </c>
      <c r="D31" s="64">
        <f>ROUND(SUMIF(RV_DATA!AB6:AB79, -537919849, RV_DATA!I6:I79), 6)</f>
        <v>2.8459999999999999E-2</v>
      </c>
      <c r="E31" s="65">
        <f>ROUND(RV_DATA!N23, 2)</f>
        <v>251795.12</v>
      </c>
      <c r="F31" s="65">
        <f>ROUND(SUMIF(RV_DATA!AB6:AB79, -537919849, RV_DATA!O6:O79), 6)</f>
        <v>7166.09</v>
      </c>
      <c r="AL31">
        <v>3</v>
      </c>
    </row>
    <row r="32" spans="1:38" ht="42.75" x14ac:dyDescent="0.2">
      <c r="A32" s="62" t="s">
        <v>170</v>
      </c>
      <c r="B32" s="63" t="s">
        <v>310</v>
      </c>
      <c r="C32" s="63" t="s">
        <v>126</v>
      </c>
      <c r="D32" s="64">
        <f>ROUND(SUMIF(RV_DATA!AB6:AB79, 1488250097, RV_DATA!I6:I79), 6)</f>
        <v>2.266E-2</v>
      </c>
      <c r="E32" s="65">
        <f>ROUND(RV_DATA!N60, 2)</f>
        <v>251795.12</v>
      </c>
      <c r="F32" s="65">
        <f>ROUND(SUMIF(RV_DATA!AB6:AB79, 1488250097, RV_DATA!O6:O79), 6)</f>
        <v>5705.68</v>
      </c>
      <c r="AL32">
        <v>3</v>
      </c>
    </row>
    <row r="33" spans="1:38" ht="28.5" x14ac:dyDescent="0.2">
      <c r="A33" s="62" t="s">
        <v>178</v>
      </c>
      <c r="B33" s="63" t="s">
        <v>179</v>
      </c>
      <c r="C33" s="63" t="s">
        <v>126</v>
      </c>
      <c r="D33" s="64">
        <f>ROUND(SUMIF(RV_DATA!AB6:AB79, 371618959, RV_DATA!I6:I79), 6)</f>
        <v>1.5507E-2</v>
      </c>
      <c r="E33" s="65">
        <f>ROUND(RV_DATA!N25, 2)</f>
        <v>71059.59</v>
      </c>
      <c r="F33" s="65">
        <f>ROUND(SUMIF(RV_DATA!AB6:AB79, 371618959, RV_DATA!O6:O79), 6)</f>
        <v>1101.93</v>
      </c>
      <c r="AL33">
        <v>3</v>
      </c>
    </row>
    <row r="34" spans="1:38" ht="42.75" x14ac:dyDescent="0.2">
      <c r="A34" s="62" t="s">
        <v>163</v>
      </c>
      <c r="B34" s="63" t="s">
        <v>164</v>
      </c>
      <c r="C34" s="63" t="s">
        <v>135</v>
      </c>
      <c r="D34" s="64">
        <f>ROUND(SUMIF(RV_DATA!AB6:AB79, 1258684363, RV_DATA!I6:I79), 6)</f>
        <v>2</v>
      </c>
      <c r="E34" s="65">
        <f>ROUND(RV_DATA!N22, 2)</f>
        <v>19311.82</v>
      </c>
      <c r="F34" s="65">
        <f>ROUND(SUMIF(RV_DATA!AB6:AB79, 1258684363, RV_DATA!O6:O79), 6)</f>
        <v>38623.629999999997</v>
      </c>
      <c r="AL34">
        <v>3</v>
      </c>
    </row>
    <row r="35" spans="1:38" ht="28.5" x14ac:dyDescent="0.2">
      <c r="A35" s="62" t="s">
        <v>477</v>
      </c>
      <c r="B35" s="63" t="s">
        <v>479</v>
      </c>
      <c r="C35" s="63" t="s">
        <v>480</v>
      </c>
      <c r="D35" s="64">
        <f>ROUND(SUMIF(RV_DATA!AB6:AB79, 1589826181, RV_DATA!I6:I79), 6)</f>
        <v>7.6680000000000003E-3</v>
      </c>
      <c r="E35" s="65">
        <f>ROUND(RV_DATA!N10, 2)</f>
        <v>975.05</v>
      </c>
      <c r="F35" s="65">
        <f>ROUND(SUMIF(RV_DATA!AB6:AB79, 1589826181, RV_DATA!O6:O79), 6)</f>
        <v>7.5</v>
      </c>
      <c r="AL35">
        <v>3</v>
      </c>
    </row>
    <row r="36" spans="1:38" ht="57" x14ac:dyDescent="0.2">
      <c r="A36" s="62" t="s">
        <v>321</v>
      </c>
      <c r="B36" s="63" t="s">
        <v>322</v>
      </c>
      <c r="C36" s="63" t="s">
        <v>323</v>
      </c>
      <c r="D36" s="64">
        <f>ROUND(SUMIF(RV_DATA!AB6:AB79, 1261187974, RV_DATA!I6:I79), 6)</f>
        <v>2.1000000000000001E-2</v>
      </c>
      <c r="E36" s="65">
        <f>ROUND(RV_DATA!N66, 2)</f>
        <v>90375.79</v>
      </c>
      <c r="F36" s="65">
        <f>ROUND(SUMIF(RV_DATA!AB6:AB79, 1261187974, RV_DATA!O6:O79), 6)</f>
        <v>1897.89</v>
      </c>
      <c r="AL36">
        <v>3</v>
      </c>
    </row>
    <row r="37" spans="1:38" ht="28.5" x14ac:dyDescent="0.2">
      <c r="A37" s="62" t="s">
        <v>543</v>
      </c>
      <c r="B37" s="63" t="s">
        <v>545</v>
      </c>
      <c r="C37" s="63" t="s">
        <v>126</v>
      </c>
      <c r="D37" s="64">
        <f>ROUND(SUMIF(RV_DATA!AB6:AB79, -507964173, RV_DATA!I6:I79), 6)</f>
        <v>8.6000000000000003E-5</v>
      </c>
      <c r="E37" s="65">
        <f>ROUND(RV_DATA!N74, 2)</f>
        <v>536850.30000000005</v>
      </c>
      <c r="F37" s="65">
        <f>ROUND(SUMIF(RV_DATA!AB6:AB79, -507964173, RV_DATA!O6:O79), 6)</f>
        <v>46.21</v>
      </c>
      <c r="AL37">
        <v>3</v>
      </c>
    </row>
    <row r="38" spans="1:38" ht="42.75" x14ac:dyDescent="0.2">
      <c r="A38" s="62" t="s">
        <v>546</v>
      </c>
      <c r="B38" s="63" t="s">
        <v>548</v>
      </c>
      <c r="C38" s="63" t="s">
        <v>135</v>
      </c>
      <c r="D38" s="64">
        <f>ROUND(SUMIF(RV_DATA!AB6:AB79, -1596865719, RV_DATA!I6:I79), 6)</f>
        <v>0.1462</v>
      </c>
      <c r="E38" s="65">
        <f>ROUND(RV_DATA!N73, 2)</f>
        <v>688.54</v>
      </c>
      <c r="F38" s="65">
        <f>ROUND(SUMIF(RV_DATA!AB6:AB79, -1596865719, RV_DATA!O6:O79), 6)</f>
        <v>100.69</v>
      </c>
      <c r="AL38">
        <v>3</v>
      </c>
    </row>
    <row r="39" spans="1:38" ht="14.25" x14ac:dyDescent="0.2">
      <c r="A39" s="62" t="s">
        <v>501</v>
      </c>
      <c r="B39" s="63" t="s">
        <v>503</v>
      </c>
      <c r="C39" s="63" t="s">
        <v>135</v>
      </c>
      <c r="D39" s="64">
        <f>ROUND(SUMIF(RV_DATA!AB6:AB79, 1171172368, RV_DATA!I6:I79), 6)</f>
        <v>6</v>
      </c>
      <c r="E39" s="65">
        <f>ROUND(RV_DATA!N16, 2)</f>
        <v>15.19</v>
      </c>
      <c r="F39" s="65">
        <f>ROUND(SUMIF(RV_DATA!AB6:AB79, 1171172368, RV_DATA!O6:O79), 6)</f>
        <v>91.14</v>
      </c>
      <c r="AL39">
        <v>3</v>
      </c>
    </row>
    <row r="40" spans="1:38" ht="14.25" x14ac:dyDescent="0.2">
      <c r="A40" s="62" t="s">
        <v>186</v>
      </c>
      <c r="B40" s="63" t="s">
        <v>187</v>
      </c>
      <c r="C40" s="63" t="s">
        <v>135</v>
      </c>
      <c r="D40" s="64">
        <f>ROUND(SUMIF(RV_DATA!AB6:AB79, 323588553, RV_DATA!I6:I79), 6)</f>
        <v>3</v>
      </c>
      <c r="E40" s="65">
        <f>ROUND(RV_DATA!N27, 2)</f>
        <v>752.57</v>
      </c>
      <c r="F40" s="65">
        <f>ROUND(SUMIF(RV_DATA!AB6:AB79, 323588553, RV_DATA!O6:O79), 6)</f>
        <v>2257.6999999999998</v>
      </c>
      <c r="AL40">
        <v>3</v>
      </c>
    </row>
    <row r="41" spans="1:38" ht="14.25" x14ac:dyDescent="0.2">
      <c r="A41" s="62" t="s">
        <v>197</v>
      </c>
      <c r="B41" s="63" t="s">
        <v>198</v>
      </c>
      <c r="C41" s="63" t="s">
        <v>135</v>
      </c>
      <c r="D41" s="64">
        <f>ROUND(SUMIF(RV_DATA!AB6:AB79, 651493885, RV_DATA!I6:I79), 6)</f>
        <v>3</v>
      </c>
      <c r="E41" s="65">
        <f>ROUND(RV_DATA!N29, 2)</f>
        <v>179.6</v>
      </c>
      <c r="F41" s="65">
        <f>ROUND(SUMIF(RV_DATA!AB6:AB79, 651493885, RV_DATA!O6:O79), 6)</f>
        <v>538.79</v>
      </c>
      <c r="AL41">
        <v>3</v>
      </c>
    </row>
    <row r="42" spans="1:38" ht="28.5" x14ac:dyDescent="0.2">
      <c r="A42" s="62" t="s">
        <v>356</v>
      </c>
      <c r="B42" s="63" t="s">
        <v>357</v>
      </c>
      <c r="C42" s="63" t="s">
        <v>135</v>
      </c>
      <c r="D42" s="64">
        <f>ROUND(SUMIF(RV_DATA!AB6:AB79, 1121326229, RV_DATA!I6:I79), 6)</f>
        <v>3</v>
      </c>
      <c r="E42" s="65">
        <f>ROUND(RV_DATA!N79, 2)</f>
        <v>73.930000000000007</v>
      </c>
      <c r="F42" s="65">
        <f>ROUND(SUMIF(RV_DATA!AB6:AB79, 1121326229, RV_DATA!O6:O79), 6)</f>
        <v>221.79</v>
      </c>
      <c r="AL42">
        <v>3</v>
      </c>
    </row>
    <row r="43" spans="1:38" ht="28.5" x14ac:dyDescent="0.2">
      <c r="A43" s="62" t="s">
        <v>205</v>
      </c>
      <c r="B43" s="63" t="s">
        <v>206</v>
      </c>
      <c r="C43" s="63" t="s">
        <v>135</v>
      </c>
      <c r="D43" s="64">
        <f>ROUND(SUMIF(RV_DATA!AB6:AB79, -157471096, RV_DATA!I6:I79), 6)</f>
        <v>6</v>
      </c>
      <c r="E43" s="65">
        <f>ROUND(RV_DATA!N31, 2)</f>
        <v>145.33000000000001</v>
      </c>
      <c r="F43" s="65">
        <f>ROUND(SUMIF(RV_DATA!AB6:AB79, -157471096, RV_DATA!O6:O79), 6)</f>
        <v>871.98</v>
      </c>
      <c r="AL43">
        <v>3</v>
      </c>
    </row>
    <row r="44" spans="1:38" ht="28.5" x14ac:dyDescent="0.2">
      <c r="A44" s="62" t="s">
        <v>442</v>
      </c>
      <c r="B44" s="63" t="s">
        <v>444</v>
      </c>
      <c r="C44" s="63" t="s">
        <v>445</v>
      </c>
      <c r="D44" s="64">
        <f>ROUND(SUMIF(RV_DATA!AB6:AB79, 1992150135, RV_DATA!I6:I79), 6)</f>
        <v>0.91592200000000001</v>
      </c>
      <c r="E44" s="65">
        <f>ROUND(RV_DATA!N9, 2)</f>
        <v>1</v>
      </c>
      <c r="F44" s="65">
        <f>ROUND(SUMIF(RV_DATA!AB6:AB79, 1992150135, RV_DATA!O6:O79), 6)</f>
        <v>0.91</v>
      </c>
      <c r="AL44">
        <v>3</v>
      </c>
    </row>
    <row r="45" spans="1:38" ht="14.25" x14ac:dyDescent="0.2">
      <c r="A45" s="62" t="s">
        <v>209</v>
      </c>
      <c r="B45" s="63" t="s">
        <v>210</v>
      </c>
      <c r="C45" s="63" t="s">
        <v>135</v>
      </c>
      <c r="D45" s="64">
        <f>ROUND(SUMIF(RV_DATA!AB6:AB79, -2064534955, RV_DATA!I6:I79), 6)</f>
        <v>1</v>
      </c>
      <c r="E45" s="65">
        <f>ROUND(RV_DATA!N32, 2)</f>
        <v>583.33000000000004</v>
      </c>
      <c r="F45" s="65">
        <f>ROUND(SUMIF(RV_DATA!AB6:AB79, -2064534955, RV_DATA!O6:O79), 6)</f>
        <v>583.33000000000004</v>
      </c>
      <c r="AL45">
        <v>3</v>
      </c>
    </row>
    <row r="46" spans="1:38" ht="28.5" x14ac:dyDescent="0.2">
      <c r="A46" s="62" t="s">
        <v>209</v>
      </c>
      <c r="B46" s="63" t="s">
        <v>315</v>
      </c>
      <c r="C46" s="63" t="s">
        <v>248</v>
      </c>
      <c r="D46" s="64">
        <f>ROUND(SUMIF(RV_DATA!AB6:AB79, 1432701616, RV_DATA!I6:I79), 6)</f>
        <v>1</v>
      </c>
      <c r="E46" s="65">
        <f>ROUND(RV_DATA!N64, 2)</f>
        <v>10416.67</v>
      </c>
      <c r="F46" s="65">
        <f>ROUND(SUMIF(RV_DATA!AB6:AB79, 1432701616, RV_DATA!O6:O79), 6)</f>
        <v>10416.67</v>
      </c>
      <c r="AL46">
        <v>3</v>
      </c>
    </row>
    <row r="47" spans="1:38" ht="57" x14ac:dyDescent="0.2">
      <c r="A47" s="62" t="s">
        <v>209</v>
      </c>
      <c r="B47" s="63" t="s">
        <v>318</v>
      </c>
      <c r="C47" s="63" t="s">
        <v>248</v>
      </c>
      <c r="D47" s="64">
        <f>ROUND(SUMIF(RV_DATA!AB6:AB79, -838624835, RV_DATA!I6:I79), 6)</f>
        <v>1</v>
      </c>
      <c r="E47" s="65">
        <f>ROUND(RV_DATA!N65, 2)</f>
        <v>10000</v>
      </c>
      <c r="F47" s="65">
        <f>ROUND(SUMIF(RV_DATA!AB6:AB79, -838624835, RV_DATA!O6:O79), 6)</f>
        <v>10000</v>
      </c>
      <c r="AL47">
        <v>3</v>
      </c>
    </row>
    <row r="48" spans="1:38" ht="15" x14ac:dyDescent="0.25">
      <c r="A48" s="106" t="s">
        <v>646</v>
      </c>
      <c r="B48" s="106"/>
      <c r="C48" s="106"/>
      <c r="D48" s="106"/>
      <c r="E48" s="107">
        <f>SUMIF(AL9:AL47, 3, F9:F47)</f>
        <v>114543.52999999998</v>
      </c>
      <c r="F48" s="106"/>
    </row>
  </sheetData>
  <sortState xmlns:xlrd2="http://schemas.microsoft.com/office/spreadsheetml/2017/richdata2" ref="A9:AL47">
    <sortCondition ref="A9"/>
  </sortState>
  <mergeCells count="10">
    <mergeCell ref="A8:F8"/>
    <mergeCell ref="A48:D48"/>
    <mergeCell ref="E48:F48"/>
    <mergeCell ref="A2:F2"/>
    <mergeCell ref="A3:F3"/>
    <mergeCell ref="A4:A6"/>
    <mergeCell ref="B4:B6"/>
    <mergeCell ref="C4:C6"/>
    <mergeCell ref="D4:D6"/>
    <mergeCell ref="E4:F5"/>
  </mergeCells>
  <pageMargins left="0.6" right="0.4" top="0.65" bottom="0.4" header="0.4" footer="0.4"/>
  <pageSetup paperSize="9" scale="85" fitToHeight="0" orientation="portrait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70E97-A6FC-4771-852D-55DF4A6F4AD0}">
  <dimension ref="A1:AM377"/>
  <sheetViews>
    <sheetView zoomScale="128" zoomScaleNormal="128" workbookViewId="0"/>
  </sheetViews>
  <sheetFormatPr defaultRowHeight="12.75" x14ac:dyDescent="0.2"/>
  <cols>
    <col min="1" max="2" width="5.7109375" customWidth="1"/>
    <col min="3" max="3" width="11.7109375" customWidth="1"/>
    <col min="4" max="4" width="40.7109375" customWidth="1"/>
    <col min="5" max="6" width="10.7109375" customWidth="1"/>
    <col min="7" max="9" width="12.7109375" customWidth="1"/>
    <col min="10" max="10" width="17.7109375" customWidth="1"/>
    <col min="11" max="11" width="8.7109375" customWidth="1"/>
    <col min="12" max="12" width="12.7109375" customWidth="1"/>
    <col min="13" max="13" width="8.7109375" customWidth="1"/>
    <col min="15" max="29" width="0" hidden="1" customWidth="1"/>
    <col min="30" max="30" width="110.7109375" hidden="1" customWidth="1"/>
    <col min="31" max="31" width="165.7109375" hidden="1" customWidth="1"/>
    <col min="32" max="32" width="144.7109375" hidden="1" customWidth="1"/>
    <col min="33" max="33" width="96.7109375" hidden="1" customWidth="1"/>
    <col min="34" max="38" width="0" hidden="1" customWidth="1"/>
    <col min="39" max="39" width="76.7109375" hidden="1" customWidth="1"/>
  </cols>
  <sheetData>
    <row r="1" spans="1:30" x14ac:dyDescent="0.2">
      <c r="A1" s="9" t="str">
        <f>Source!B1</f>
        <v>Smeta.RU  (495) 974-1589</v>
      </c>
    </row>
    <row r="2" spans="1:30" ht="15" x14ac:dyDescent="0.25">
      <c r="A2" s="11"/>
      <c r="B2" s="11"/>
      <c r="C2" s="11"/>
      <c r="D2" s="47"/>
      <c r="E2" s="47"/>
      <c r="F2" s="47"/>
      <c r="G2" s="11"/>
      <c r="H2" s="11"/>
      <c r="I2" s="11"/>
      <c r="J2" s="120" t="s">
        <v>647</v>
      </c>
      <c r="K2" s="120"/>
      <c r="L2" s="120"/>
      <c r="M2" s="120"/>
    </row>
    <row r="3" spans="1:30" ht="14.25" x14ac:dyDescent="0.2">
      <c r="A3" s="11"/>
      <c r="B3" s="11"/>
      <c r="C3" s="11"/>
      <c r="D3" s="11"/>
      <c r="E3" s="11"/>
      <c r="F3" s="11"/>
      <c r="G3" s="11"/>
      <c r="H3" s="11"/>
      <c r="I3" s="120" t="s">
        <v>648</v>
      </c>
      <c r="J3" s="121"/>
      <c r="K3" s="121"/>
      <c r="L3" s="121"/>
      <c r="M3" s="121"/>
    </row>
    <row r="4" spans="1:30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20" t="s">
        <v>649</v>
      </c>
      <c r="K4" s="120"/>
      <c r="L4" s="120"/>
      <c r="M4" s="120"/>
    </row>
    <row r="5" spans="1:30" ht="14.2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30" ht="14.2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9" t="s">
        <v>650</v>
      </c>
      <c r="L6" s="119"/>
      <c r="M6" s="119"/>
    </row>
    <row r="7" spans="1:30" ht="14.25" x14ac:dyDescent="0.2">
      <c r="A7" s="11"/>
      <c r="B7" s="11"/>
      <c r="C7" s="11"/>
      <c r="D7" s="11"/>
      <c r="E7" s="11"/>
      <c r="F7" s="11"/>
      <c r="G7" s="11"/>
      <c r="H7" s="11"/>
      <c r="I7" s="11"/>
      <c r="J7" s="10" t="s">
        <v>651</v>
      </c>
      <c r="K7" s="122" t="s">
        <v>652</v>
      </c>
      <c r="L7" s="122"/>
      <c r="M7" s="122"/>
    </row>
    <row r="8" spans="1:30" ht="14.2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9" t="str">
        <f>IF(Source!AT15 &lt;&gt; "", Source!AT15, "")</f>
        <v/>
      </c>
      <c r="L8" s="119"/>
      <c r="M8" s="119"/>
    </row>
    <row r="9" spans="1:30" ht="14.25" x14ac:dyDescent="0.2">
      <c r="A9" s="82" t="s">
        <v>653</v>
      </c>
      <c r="B9" s="82"/>
      <c r="C9" s="117" t="str">
        <f>IF(Source!BA15 &lt;&gt; "", Source!BA15, IF(Source!AU15 &lt;&gt; "", Source!AU15, ""))</f>
        <v/>
      </c>
      <c r="D9" s="117"/>
      <c r="E9" s="117"/>
      <c r="F9" s="117"/>
      <c r="G9" s="117"/>
      <c r="H9" s="117"/>
      <c r="I9" s="117"/>
      <c r="J9" s="10" t="s">
        <v>654</v>
      </c>
      <c r="K9" s="119"/>
      <c r="L9" s="119"/>
      <c r="M9" s="119"/>
      <c r="AD9" s="40" t="str">
        <f>IF(Source!BA15 &lt;&gt; "", Source!BA15, IF(Source!AU15 &lt;&gt; "", Source!AU15, ""))</f>
        <v/>
      </c>
    </row>
    <row r="10" spans="1:30" ht="14.25" x14ac:dyDescent="0.2">
      <c r="A10" s="11"/>
      <c r="B10" s="11"/>
      <c r="C10" s="118" t="s">
        <v>655</v>
      </c>
      <c r="D10" s="118"/>
      <c r="E10" s="118"/>
      <c r="F10" s="118"/>
      <c r="G10" s="118"/>
      <c r="H10" s="118"/>
      <c r="I10" s="118"/>
      <c r="J10" s="11"/>
      <c r="K10" s="119" t="str">
        <f>IF(Source!AK15 &lt;&gt; "", Source!AK15, "")</f>
        <v/>
      </c>
      <c r="L10" s="119"/>
      <c r="M10" s="119"/>
    </row>
    <row r="11" spans="1:30" ht="14.25" x14ac:dyDescent="0.2">
      <c r="A11" s="82" t="s">
        <v>656</v>
      </c>
      <c r="B11" s="82"/>
      <c r="C11" s="117" t="str">
        <f>IF(Source!AX12&lt;&gt; "", Source!AX12, IF(Source!AJ12 &lt;&gt; "", Source!AJ12, ""))</f>
        <v/>
      </c>
      <c r="D11" s="117"/>
      <c r="E11" s="117"/>
      <c r="F11" s="117"/>
      <c r="G11" s="117"/>
      <c r="H11" s="117"/>
      <c r="I11" s="117"/>
      <c r="J11" s="10" t="s">
        <v>654</v>
      </c>
      <c r="K11" s="119"/>
      <c r="L11" s="119"/>
      <c r="M11" s="119"/>
      <c r="AD11" s="40" t="str">
        <f>IF(Source!AX12&lt;&gt; "", Source!AX12, IF(Source!AJ12 &lt;&gt; "", Source!AJ12, ""))</f>
        <v/>
      </c>
    </row>
    <row r="12" spans="1:30" ht="14.25" x14ac:dyDescent="0.2">
      <c r="A12" s="11"/>
      <c r="B12" s="11"/>
      <c r="C12" s="118" t="s">
        <v>655</v>
      </c>
      <c r="D12" s="118"/>
      <c r="E12" s="118"/>
      <c r="F12" s="118"/>
      <c r="G12" s="118"/>
      <c r="H12" s="118"/>
      <c r="I12" s="118"/>
      <c r="J12" s="11"/>
      <c r="K12" s="119" t="str">
        <f>IF(Source!AO15 &lt;&gt; "", Source!AO15, "")</f>
        <v/>
      </c>
      <c r="L12" s="119"/>
      <c r="M12" s="119"/>
    </row>
    <row r="13" spans="1:30" ht="14.25" x14ac:dyDescent="0.2">
      <c r="A13" s="82" t="s">
        <v>657</v>
      </c>
      <c r="B13" s="82"/>
      <c r="C13" s="117" t="str">
        <f>IF(Source!AY12&lt;&gt; "", Source!AY12, IF(Source!AN12 &lt;&gt; "", Source!AN12, ""))</f>
        <v/>
      </c>
      <c r="D13" s="117"/>
      <c r="E13" s="117"/>
      <c r="F13" s="117"/>
      <c r="G13" s="117"/>
      <c r="H13" s="117"/>
      <c r="I13" s="117"/>
      <c r="J13" s="10" t="s">
        <v>654</v>
      </c>
      <c r="K13" s="119"/>
      <c r="L13" s="119"/>
      <c r="M13" s="119"/>
      <c r="AD13" s="40" t="str">
        <f>IF(Source!AY12&lt;&gt; "", Source!AY12, IF(Source!AN12 &lt;&gt; "", Source!AN12, ""))</f>
        <v/>
      </c>
    </row>
    <row r="14" spans="1:30" ht="14.25" x14ac:dyDescent="0.2">
      <c r="A14" s="11"/>
      <c r="B14" s="11"/>
      <c r="C14" s="118" t="s">
        <v>655</v>
      </c>
      <c r="D14" s="118"/>
      <c r="E14" s="118"/>
      <c r="F14" s="118"/>
      <c r="G14" s="118"/>
      <c r="H14" s="118"/>
      <c r="I14" s="118"/>
      <c r="J14" s="11"/>
      <c r="K14" s="119" t="str">
        <f>IF(Source!CO15 &lt;&gt; "", Source!CO15, "")</f>
        <v/>
      </c>
      <c r="L14" s="119"/>
      <c r="M14" s="119"/>
    </row>
    <row r="15" spans="1:30" ht="14.25" x14ac:dyDescent="0.2">
      <c r="A15" s="82" t="s">
        <v>658</v>
      </c>
      <c r="B15" s="82"/>
      <c r="C15" s="117" t="s">
        <v>5</v>
      </c>
      <c r="D15" s="117"/>
      <c r="E15" s="117"/>
      <c r="F15" s="117"/>
      <c r="G15" s="117"/>
      <c r="H15" s="117"/>
      <c r="I15" s="117"/>
      <c r="J15" s="11"/>
      <c r="K15" s="119"/>
      <c r="L15" s="119"/>
      <c r="M15" s="119"/>
      <c r="AD15" s="40" t="s">
        <v>5</v>
      </c>
    </row>
    <row r="16" spans="1:30" ht="14.25" x14ac:dyDescent="0.2">
      <c r="A16" s="11"/>
      <c r="B16" s="11"/>
      <c r="C16" s="118" t="s">
        <v>659</v>
      </c>
      <c r="D16" s="118"/>
      <c r="E16" s="118"/>
      <c r="F16" s="118"/>
      <c r="G16" s="118"/>
      <c r="H16" s="118"/>
      <c r="I16" s="118"/>
      <c r="J16" s="11"/>
      <c r="K16" s="119" t="str">
        <f>IF(Source!CP15 &lt;&gt; "", Source!CP15, "")</f>
        <v/>
      </c>
      <c r="L16" s="119"/>
      <c r="M16" s="119"/>
    </row>
    <row r="17" spans="1:30" ht="14.25" x14ac:dyDescent="0.2">
      <c r="A17" s="82" t="s">
        <v>660</v>
      </c>
      <c r="B17" s="82"/>
      <c r="C17" s="117" t="str">
        <f>Source!G12</f>
        <v>Установка реклоузеров на ВЛ-6 кВ на линии №11 в п. Сосновка, Заволжье</v>
      </c>
      <c r="D17" s="117"/>
      <c r="E17" s="117"/>
      <c r="F17" s="117"/>
      <c r="G17" s="117"/>
      <c r="H17" s="117"/>
      <c r="I17" s="117"/>
      <c r="J17" s="11"/>
      <c r="K17" s="119"/>
      <c r="L17" s="119"/>
      <c r="M17" s="119"/>
      <c r="AD17" s="40" t="str">
        <f>Source!G12</f>
        <v>Установка реклоузеров на ВЛ-6 кВ на линии №11 в п. Сосновка, Заволжье</v>
      </c>
    </row>
    <row r="18" spans="1:30" ht="14.25" x14ac:dyDescent="0.2">
      <c r="A18" s="11"/>
      <c r="B18" s="11"/>
      <c r="C18" s="118" t="s">
        <v>661</v>
      </c>
      <c r="D18" s="118"/>
      <c r="E18" s="118"/>
      <c r="F18" s="118"/>
      <c r="G18" s="118"/>
      <c r="H18" s="118"/>
      <c r="I18" s="118"/>
      <c r="J18" s="11"/>
      <c r="K18" s="11"/>
      <c r="L18" s="11"/>
      <c r="M18" s="11"/>
    </row>
    <row r="19" spans="1:30" ht="14.25" x14ac:dyDescent="0.2">
      <c r="A19" s="11"/>
      <c r="B19" s="11"/>
      <c r="C19" s="11"/>
      <c r="D19" s="11"/>
      <c r="E19" s="11"/>
      <c r="F19" s="11"/>
      <c r="G19" s="11"/>
      <c r="H19" s="90" t="s">
        <v>662</v>
      </c>
      <c r="I19" s="90"/>
      <c r="J19" s="90"/>
      <c r="K19" s="119" t="str">
        <f>IF(Source!CQ15 &lt;&gt; "", Source!CQ15, "")</f>
        <v/>
      </c>
      <c r="L19" s="119"/>
      <c r="M19" s="119"/>
    </row>
    <row r="20" spans="1:30" ht="14.25" x14ac:dyDescent="0.2">
      <c r="A20" s="11"/>
      <c r="B20" s="11"/>
      <c r="C20" s="11"/>
      <c r="D20" s="11"/>
      <c r="E20" s="11"/>
      <c r="F20" s="11"/>
      <c r="G20" s="11"/>
      <c r="H20" s="90" t="s">
        <v>663</v>
      </c>
      <c r="I20" s="123"/>
      <c r="J20" s="66" t="s">
        <v>664</v>
      </c>
      <c r="K20" s="119" t="str">
        <f>IF(Source!CR15 &lt;&gt; "", Source!CR15, "")</f>
        <v/>
      </c>
      <c r="L20" s="119"/>
      <c r="M20" s="119"/>
    </row>
    <row r="21" spans="1:30" ht="14.2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25" t="s">
        <v>665</v>
      </c>
      <c r="K21" s="124" t="str">
        <f>IF(Source!CS15 &lt;&gt; 0, Source!CS15, "")</f>
        <v/>
      </c>
      <c r="L21" s="124"/>
      <c r="M21" s="124"/>
    </row>
    <row r="22" spans="1:30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0" t="s">
        <v>666</v>
      </c>
      <c r="K22" s="119" t="str">
        <f>IF(Source!CT15 &lt;&gt; "", Source!CT15, "")</f>
        <v/>
      </c>
      <c r="L22" s="119"/>
      <c r="M22" s="119"/>
    </row>
    <row r="23" spans="1:30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30" ht="14.25" x14ac:dyDescent="0.2">
      <c r="A24" s="11"/>
      <c r="B24" s="11"/>
      <c r="C24" s="11"/>
      <c r="D24" s="11"/>
      <c r="E24" s="11"/>
      <c r="F24" s="11"/>
      <c r="G24" s="125" t="s">
        <v>667</v>
      </c>
      <c r="H24" s="127" t="s">
        <v>668</v>
      </c>
      <c r="I24" s="127" t="s">
        <v>669</v>
      </c>
      <c r="J24" s="129"/>
      <c r="K24" s="11"/>
      <c r="L24" s="11"/>
      <c r="M24" s="11"/>
    </row>
    <row r="25" spans="1:30" ht="14.25" x14ac:dyDescent="0.2">
      <c r="A25" s="11"/>
      <c r="B25" s="11"/>
      <c r="C25" s="11"/>
      <c r="D25" s="11"/>
      <c r="E25" s="11"/>
      <c r="F25" s="11"/>
      <c r="G25" s="126"/>
      <c r="H25" s="128"/>
      <c r="I25" s="61" t="s">
        <v>670</v>
      </c>
      <c r="J25" s="60" t="s">
        <v>671</v>
      </c>
      <c r="K25" s="11"/>
      <c r="L25" s="11"/>
      <c r="M25" s="11"/>
    </row>
    <row r="26" spans="1:30" ht="14.25" x14ac:dyDescent="0.2">
      <c r="A26" s="11"/>
      <c r="B26" s="11"/>
      <c r="C26" s="11"/>
      <c r="D26" s="11"/>
      <c r="E26" s="11"/>
      <c r="F26" s="11"/>
      <c r="G26" s="25" t="str">
        <f>IF(Source!CN15 &lt;&gt; "", Source!CN15, "")</f>
        <v/>
      </c>
      <c r="H26" s="67">
        <v>45510.591215277775</v>
      </c>
      <c r="I26" s="25"/>
      <c r="J26" s="26"/>
      <c r="K26" s="11"/>
      <c r="L26" s="11"/>
      <c r="M26" s="11"/>
    </row>
    <row r="27" spans="1:30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30" ht="18" x14ac:dyDescent="0.25">
      <c r="A28" s="11"/>
      <c r="B28" s="130" t="s">
        <v>672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</row>
    <row r="29" spans="1:30" ht="18" x14ac:dyDescent="0.25">
      <c r="A29" s="11"/>
      <c r="B29" s="130" t="s">
        <v>673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</row>
    <row r="30" spans="1:30" ht="14.2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30" x14ac:dyDescent="0.2">
      <c r="A31" s="131" t="s">
        <v>676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</row>
    <row r="32" spans="1:30" ht="14.25" x14ac:dyDescent="0.2">
      <c r="A32" s="132" t="s">
        <v>674</v>
      </c>
      <c r="B32" s="132"/>
      <c r="C32" s="132" t="s">
        <v>563</v>
      </c>
      <c r="D32" s="132" t="s">
        <v>564</v>
      </c>
      <c r="E32" s="132" t="s">
        <v>565</v>
      </c>
      <c r="F32" s="132" t="s">
        <v>566</v>
      </c>
      <c r="G32" s="132" t="s">
        <v>567</v>
      </c>
      <c r="H32" s="132" t="s">
        <v>568</v>
      </c>
      <c r="I32" s="132" t="s">
        <v>569</v>
      </c>
      <c r="J32" s="132" t="s">
        <v>570</v>
      </c>
      <c r="K32" s="132" t="s">
        <v>571</v>
      </c>
      <c r="L32" s="132" t="s">
        <v>572</v>
      </c>
      <c r="M32" s="132" t="s">
        <v>573</v>
      </c>
    </row>
    <row r="33" spans="1:31" ht="57" x14ac:dyDescent="0.2">
      <c r="A33" s="24" t="s">
        <v>562</v>
      </c>
      <c r="B33" s="24" t="s">
        <v>675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</row>
    <row r="34" spans="1:31" ht="14.25" x14ac:dyDescent="0.2">
      <c r="A34" s="68">
        <v>1</v>
      </c>
      <c r="B34" s="68">
        <v>2</v>
      </c>
      <c r="C34" s="68">
        <v>3</v>
      </c>
      <c r="D34" s="68">
        <v>4</v>
      </c>
      <c r="E34" s="68">
        <v>5</v>
      </c>
      <c r="F34" s="68">
        <v>6</v>
      </c>
      <c r="G34" s="68">
        <v>7</v>
      </c>
      <c r="H34" s="68">
        <v>8</v>
      </c>
      <c r="I34" s="68">
        <v>9</v>
      </c>
      <c r="J34" s="68">
        <v>10</v>
      </c>
      <c r="K34" s="68">
        <v>11</v>
      </c>
      <c r="L34" s="68">
        <v>12</v>
      </c>
      <c r="M34" s="68">
        <v>13</v>
      </c>
    </row>
    <row r="36" spans="1:31" ht="16.5" x14ac:dyDescent="0.25">
      <c r="A36" s="98" t="str">
        <f>CONCATENATE("Раздел: ", Source!G24)</f>
        <v>Раздел: Демонтажные работы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AE36" s="27" t="str">
        <f>CONCATENATE("Раздел: ", Source!G24)</f>
        <v>Раздел: Демонтажные работы</v>
      </c>
    </row>
    <row r="37" spans="1:31" ht="42.75" x14ac:dyDescent="0.2">
      <c r="A37" s="28">
        <v>1</v>
      </c>
      <c r="B37" s="28" t="str">
        <f>Source!E28</f>
        <v>1</v>
      </c>
      <c r="C37" s="29" t="str">
        <f>Source!F28</f>
        <v>33-04-040-3</v>
      </c>
      <c r="D37" s="15" t="str">
        <f>Source!G28</f>
        <v>Демонтаж 3-х проводов ВЛ 6-10 кВ</v>
      </c>
      <c r="E37" s="31" t="str">
        <f>Source!H28</f>
        <v>1 опора (3 провода)</v>
      </c>
      <c r="F37" s="10">
        <f>Source!I28</f>
        <v>1</v>
      </c>
      <c r="G37" s="22">
        <f>IF(Source!AK28&lt;&gt; 0, Source!AK28,Source!AL28 + Source!AM28 + Source!AO28)</f>
        <v>63.89</v>
      </c>
      <c r="H37" s="16"/>
      <c r="I37" s="22"/>
      <c r="J37" s="16" t="str">
        <f>Source!BO28</f>
        <v>33-04-040-3</v>
      </c>
      <c r="K37" s="16"/>
      <c r="L37" s="22"/>
      <c r="M37" s="32"/>
      <c r="S37">
        <f>ROUND((Source!FX28/100)*((ROUND(Source!AF28*Source!I28, 2)+ROUND(Source!AE28*Source!I28, 2))), 2)</f>
        <v>20.84</v>
      </c>
      <c r="T37">
        <f>Source!X28</f>
        <v>734.92</v>
      </c>
      <c r="U37">
        <f>ROUND((Source!FY28/100)*((ROUND(Source!AF28*Source!I28, 2)+ROUND(Source!AE28*Source!I28, 2))), 2)</f>
        <v>12.14</v>
      </c>
      <c r="V37">
        <f>Source!Y28</f>
        <v>428.11</v>
      </c>
    </row>
    <row r="38" spans="1:31" ht="14.25" x14ac:dyDescent="0.2">
      <c r="A38" s="28"/>
      <c r="B38" s="28"/>
      <c r="C38" s="29"/>
      <c r="D38" s="15" t="s">
        <v>575</v>
      </c>
      <c r="E38" s="31"/>
      <c r="F38" s="10"/>
      <c r="G38" s="22">
        <f>Source!AO28</f>
        <v>16.18</v>
      </c>
      <c r="H38" s="16" t="str">
        <f>Source!DG28</f>
        <v/>
      </c>
      <c r="I38" s="22">
        <f>ROUND(Source!AF28*Source!I28, 2)</f>
        <v>16.18</v>
      </c>
      <c r="J38" s="16"/>
      <c r="K38" s="16">
        <f>IF(Source!BA28&lt;&gt; 0, Source!BA28, 1)</f>
        <v>35.270000000000003</v>
      </c>
      <c r="L38" s="22">
        <f>Source!S28</f>
        <v>570.66999999999996</v>
      </c>
      <c r="M38" s="32"/>
      <c r="R38">
        <f>I38</f>
        <v>16.18</v>
      </c>
    </row>
    <row r="39" spans="1:31" ht="14.25" x14ac:dyDescent="0.2">
      <c r="A39" s="28"/>
      <c r="B39" s="28"/>
      <c r="C39" s="29"/>
      <c r="D39" s="15" t="s">
        <v>59</v>
      </c>
      <c r="E39" s="31"/>
      <c r="F39" s="10"/>
      <c r="G39" s="22">
        <f>Source!AM28</f>
        <v>47.71</v>
      </c>
      <c r="H39" s="16" t="str">
        <f>Source!DE28</f>
        <v/>
      </c>
      <c r="I39" s="22">
        <f>ROUND((((Source!ET28)-(Source!EU28))+Source!AE28)*Source!I28, 2)</f>
        <v>47.71</v>
      </c>
      <c r="J39" s="16"/>
      <c r="K39" s="16">
        <f>IF(Source!BB28&lt;&gt; 0, Source!BB28, 1)</f>
        <v>11.21</v>
      </c>
      <c r="L39" s="22">
        <f>Source!Q28</f>
        <v>534.83000000000004</v>
      </c>
      <c r="M39" s="32"/>
    </row>
    <row r="40" spans="1:31" ht="14.25" x14ac:dyDescent="0.2">
      <c r="A40" s="28"/>
      <c r="B40" s="28"/>
      <c r="C40" s="29"/>
      <c r="D40" s="15" t="s">
        <v>576</v>
      </c>
      <c r="E40" s="31"/>
      <c r="F40" s="10"/>
      <c r="G40" s="22">
        <f>Source!AN28</f>
        <v>4.05</v>
      </c>
      <c r="H40" s="16" t="str">
        <f>Source!DF28</f>
        <v/>
      </c>
      <c r="I40" s="22">
        <f>ROUND(Source!AE28*Source!I28, 2)</f>
        <v>4.05</v>
      </c>
      <c r="J40" s="16"/>
      <c r="K40" s="16">
        <f>IF(Source!BS28&lt;&gt; 0, Source!BS28, 1)</f>
        <v>35.270000000000003</v>
      </c>
      <c r="L40" s="22">
        <f>Source!R28</f>
        <v>142.84</v>
      </c>
      <c r="M40" s="32"/>
      <c r="R40">
        <f>I40</f>
        <v>4.05</v>
      </c>
    </row>
    <row r="41" spans="1:31" ht="14.25" x14ac:dyDescent="0.2">
      <c r="A41" s="28"/>
      <c r="B41" s="28"/>
      <c r="C41" s="29"/>
      <c r="D41" s="15" t="s">
        <v>577</v>
      </c>
      <c r="E41" s="31" t="s">
        <v>578</v>
      </c>
      <c r="F41" s="10">
        <f>Source!BZ28</f>
        <v>103</v>
      </c>
      <c r="G41" s="33"/>
      <c r="H41" s="16"/>
      <c r="I41" s="22">
        <f>SUM(S37:S43)</f>
        <v>20.84</v>
      </c>
      <c r="J41" s="34"/>
      <c r="K41" s="15">
        <f>Source!AT28</f>
        <v>103</v>
      </c>
      <c r="L41" s="22">
        <f>SUM(T37:T43)</f>
        <v>734.92</v>
      </c>
      <c r="M41" s="32"/>
    </row>
    <row r="42" spans="1:31" ht="14.25" x14ac:dyDescent="0.2">
      <c r="A42" s="28"/>
      <c r="B42" s="28"/>
      <c r="C42" s="29"/>
      <c r="D42" s="15" t="s">
        <v>579</v>
      </c>
      <c r="E42" s="31" t="s">
        <v>578</v>
      </c>
      <c r="F42" s="10">
        <f>Source!CA28</f>
        <v>60</v>
      </c>
      <c r="G42" s="33"/>
      <c r="H42" s="16"/>
      <c r="I42" s="22">
        <f>SUM(U37:U43)</f>
        <v>12.14</v>
      </c>
      <c r="J42" s="34"/>
      <c r="K42" s="15">
        <f>Source!AU28</f>
        <v>60</v>
      </c>
      <c r="L42" s="22">
        <f>SUM(V37:V43)</f>
        <v>428.11</v>
      </c>
      <c r="M42" s="32"/>
    </row>
    <row r="43" spans="1:31" ht="14.25" x14ac:dyDescent="0.2">
      <c r="A43" s="38"/>
      <c r="B43" s="38"/>
      <c r="C43" s="39"/>
      <c r="D43" s="40" t="s">
        <v>580</v>
      </c>
      <c r="E43" s="41" t="s">
        <v>581</v>
      </c>
      <c r="F43" s="42">
        <f>Source!AQ28</f>
        <v>2.0299999999999998</v>
      </c>
      <c r="G43" s="43"/>
      <c r="H43" s="44" t="str">
        <f>Source!DI28</f>
        <v/>
      </c>
      <c r="I43" s="43"/>
      <c r="J43" s="44"/>
      <c r="K43" s="44"/>
      <c r="L43" s="43"/>
      <c r="M43" s="45">
        <f>Source!U28</f>
        <v>2.0299999999999998</v>
      </c>
    </row>
    <row r="44" spans="1:31" ht="15" x14ac:dyDescent="0.25">
      <c r="H44" s="96">
        <f>ROUND(Source!AC28*Source!I28, 2)+ROUND(Source!AF28*Source!I28, 2)+ROUND((((Source!ET28)-(Source!EU28))+Source!AE28)*Source!I28, 2)+SUM(I41:I42)</f>
        <v>96.87</v>
      </c>
      <c r="I44" s="96"/>
      <c r="K44" s="96">
        <f>Source!O28+SUM(L41:L42)</f>
        <v>2268.5299999999997</v>
      </c>
      <c r="L44" s="96"/>
      <c r="M44" s="37">
        <f>Source!U28</f>
        <v>2.0299999999999998</v>
      </c>
      <c r="O44" s="36">
        <f>H44</f>
        <v>96.87</v>
      </c>
      <c r="P44" s="36">
        <f>K44</f>
        <v>2268.5299999999997</v>
      </c>
      <c r="Q44" s="36">
        <f>M44</f>
        <v>2.0299999999999998</v>
      </c>
      <c r="W44">
        <f>IF(Source!BI28&lt;=1,H44, 0)</f>
        <v>96.87</v>
      </c>
      <c r="X44">
        <f>IF(Source!BI28=2,H44, 0)</f>
        <v>0</v>
      </c>
      <c r="Y44">
        <f>IF(Source!BI28=3,H44, 0)</f>
        <v>0</v>
      </c>
      <c r="Z44">
        <f>IF(Source!BI28=4,H44, 0)</f>
        <v>0</v>
      </c>
    </row>
    <row r="45" spans="1:31" ht="28.5" x14ac:dyDescent="0.2">
      <c r="A45" s="28">
        <v>2</v>
      </c>
      <c r="B45" s="28" t="str">
        <f>Source!E29</f>
        <v>2</v>
      </c>
      <c r="C45" s="29" t="str">
        <f>Source!F29</f>
        <v>м08-02-144-5</v>
      </c>
      <c r="D45" s="15" t="str">
        <f>Source!G29</f>
        <v>Отсоединение зажимов жил проводов или кабелей сечением: до 70 мм2</v>
      </c>
      <c r="E45" s="31" t="str">
        <f>Source!H29</f>
        <v>100 шт.</v>
      </c>
      <c r="F45" s="10">
        <f>Source!I29</f>
        <v>0.03</v>
      </c>
      <c r="G45" s="22">
        <f>IF(Source!AK29&lt;&gt; 0, Source!AK29,Source!AL29 + Source!AM29 + Source!AO29)</f>
        <v>138.65</v>
      </c>
      <c r="H45" s="16"/>
      <c r="I45" s="22"/>
      <c r="J45" s="16" t="str">
        <f>Source!BO29</f>
        <v>м08-02-144-5</v>
      </c>
      <c r="K45" s="16"/>
      <c r="L45" s="22"/>
      <c r="M45" s="32"/>
      <c r="S45">
        <f>ROUND((Source!FX29/100)*((ROUND(Source!AF29*Source!I29, 2)+ROUND(Source!AE29*Source!I29, 2))), 2)</f>
        <v>2.38</v>
      </c>
      <c r="T45">
        <f>Source!X29</f>
        <v>83.71</v>
      </c>
      <c r="U45">
        <f>ROUND((Source!FY29/100)*((ROUND(Source!AF29*Source!I29, 2)+ROUND(Source!AE29*Source!I29, 2))), 2)</f>
        <v>1.25</v>
      </c>
      <c r="V45">
        <f>Source!Y29</f>
        <v>44.01</v>
      </c>
    </row>
    <row r="46" spans="1:31" x14ac:dyDescent="0.2">
      <c r="D46" s="46" t="str">
        <f>"Объем: "&amp;Source!I29&amp;"=3/"&amp;"100"</f>
        <v>Объем: 0,03=3/100</v>
      </c>
    </row>
    <row r="47" spans="1:31" ht="14.25" x14ac:dyDescent="0.2">
      <c r="A47" s="28"/>
      <c r="B47" s="28"/>
      <c r="C47" s="29"/>
      <c r="D47" s="15" t="s">
        <v>575</v>
      </c>
      <c r="E47" s="31"/>
      <c r="F47" s="10"/>
      <c r="G47" s="22">
        <f>Source!AO29</f>
        <v>135.93</v>
      </c>
      <c r="H47" s="16" t="str">
        <f>Source!DG29</f>
        <v>)*0,6</v>
      </c>
      <c r="I47" s="22">
        <f>ROUND(Source!AF29*Source!I29, 2)</f>
        <v>2.4500000000000002</v>
      </c>
      <c r="J47" s="16"/>
      <c r="K47" s="16">
        <f>IF(Source!BA29&lt;&gt; 0, Source!BA29, 1)</f>
        <v>35.270000000000003</v>
      </c>
      <c r="L47" s="22">
        <f>Source!S29</f>
        <v>86.3</v>
      </c>
      <c r="M47" s="32"/>
      <c r="R47">
        <f>I47</f>
        <v>2.4500000000000002</v>
      </c>
    </row>
    <row r="48" spans="1:31" ht="14.25" x14ac:dyDescent="0.2">
      <c r="A48" s="28"/>
      <c r="B48" s="28"/>
      <c r="C48" s="29"/>
      <c r="D48" s="15" t="s">
        <v>577</v>
      </c>
      <c r="E48" s="31" t="s">
        <v>578</v>
      </c>
      <c r="F48" s="10">
        <f>Source!BZ29</f>
        <v>97</v>
      </c>
      <c r="G48" s="33"/>
      <c r="H48" s="16"/>
      <c r="I48" s="22">
        <f>SUM(S45:S50)</f>
        <v>2.38</v>
      </c>
      <c r="J48" s="34"/>
      <c r="K48" s="15">
        <f>Source!AT29</f>
        <v>97</v>
      </c>
      <c r="L48" s="22">
        <f>SUM(T45:T50)</f>
        <v>83.71</v>
      </c>
      <c r="M48" s="32"/>
    </row>
    <row r="49" spans="1:39" ht="14.25" x14ac:dyDescent="0.2">
      <c r="A49" s="28"/>
      <c r="B49" s="28"/>
      <c r="C49" s="29"/>
      <c r="D49" s="15" t="s">
        <v>579</v>
      </c>
      <c r="E49" s="31" t="s">
        <v>578</v>
      </c>
      <c r="F49" s="10">
        <f>Source!CA29</f>
        <v>51</v>
      </c>
      <c r="G49" s="33"/>
      <c r="H49" s="16"/>
      <c r="I49" s="22">
        <f>SUM(U45:U50)</f>
        <v>1.25</v>
      </c>
      <c r="J49" s="34"/>
      <c r="K49" s="15">
        <f>Source!AU29</f>
        <v>51</v>
      </c>
      <c r="L49" s="22">
        <f>SUM(V45:V50)</f>
        <v>44.01</v>
      </c>
      <c r="M49" s="32"/>
    </row>
    <row r="50" spans="1:39" ht="14.25" x14ac:dyDescent="0.2">
      <c r="A50" s="38"/>
      <c r="B50" s="38"/>
      <c r="C50" s="39"/>
      <c r="D50" s="40" t="s">
        <v>580</v>
      </c>
      <c r="E50" s="41" t="s">
        <v>581</v>
      </c>
      <c r="F50" s="42">
        <f>Source!AQ29</f>
        <v>15.12</v>
      </c>
      <c r="G50" s="43"/>
      <c r="H50" s="44" t="str">
        <f>Source!DI29</f>
        <v>)*0,6</v>
      </c>
      <c r="I50" s="43"/>
      <c r="J50" s="44"/>
      <c r="K50" s="44"/>
      <c r="L50" s="43"/>
      <c r="M50" s="45">
        <f>Source!U29</f>
        <v>0.27215999999999996</v>
      </c>
    </row>
    <row r="51" spans="1:39" ht="15" x14ac:dyDescent="0.25">
      <c r="H51" s="96">
        <f>ROUND(Source!AC29*Source!I29, 2)+ROUND(Source!AF29*Source!I29, 2)+ROUND(((((Source!ET29*0.6))-((Source!EU29*0.6)))+Source!AE29)*Source!I29, 2)+SUM(I48:I49)</f>
        <v>6.08</v>
      </c>
      <c r="I51" s="96"/>
      <c r="K51" s="96">
        <f>Source!O29+SUM(L48:L49)</f>
        <v>214.01999999999998</v>
      </c>
      <c r="L51" s="96"/>
      <c r="M51" s="37">
        <f>Source!U29</f>
        <v>0.27215999999999996</v>
      </c>
      <c r="O51" s="36">
        <f>H51</f>
        <v>6.08</v>
      </c>
      <c r="P51" s="36">
        <f>K51</f>
        <v>214.01999999999998</v>
      </c>
      <c r="Q51" s="36">
        <f>M51</f>
        <v>0.27215999999999996</v>
      </c>
      <c r="W51">
        <f>IF(Source!BI29&lt;=1,H51, 0)</f>
        <v>0</v>
      </c>
      <c r="X51">
        <f>IF(Source!BI29=2,H51, 0)</f>
        <v>6.08</v>
      </c>
      <c r="Y51">
        <f>IF(Source!BI29=3,H51, 0)</f>
        <v>0</v>
      </c>
      <c r="Z51">
        <f>IF(Source!BI29=4,H51, 0)</f>
        <v>0</v>
      </c>
    </row>
    <row r="53" spans="1:39" ht="15" x14ac:dyDescent="0.25">
      <c r="A53" s="95" t="str">
        <f>CONCATENATE("Итого по разделу: ", Source!G31)</f>
        <v>Итого по разделу: Демонтажные работы</v>
      </c>
      <c r="B53" s="95"/>
      <c r="C53" s="95"/>
      <c r="D53" s="95"/>
      <c r="E53" s="95"/>
      <c r="F53" s="95"/>
      <c r="G53" s="95"/>
      <c r="H53" s="96">
        <f>SUM(O36:O52)</f>
        <v>102.95</v>
      </c>
      <c r="I53" s="87"/>
      <c r="J53" s="47"/>
      <c r="K53" s="96">
        <f>SUM(P36:P52)</f>
        <v>2482.5499999999997</v>
      </c>
      <c r="L53" s="87"/>
      <c r="M53" s="37">
        <f>SUM(Q36:Q52)</f>
        <v>2.3021599999999998</v>
      </c>
      <c r="AG53" s="48" t="str">
        <f>CONCATENATE("Итого по разделу: ", Source!G31)</f>
        <v>Итого по разделу: Демонтажные работы</v>
      </c>
    </row>
    <row r="55" spans="1:39" ht="14.25" x14ac:dyDescent="0.2">
      <c r="D55" s="15" t="str">
        <f>Source!H60</f>
        <v>ОЗП</v>
      </c>
      <c r="K55" s="88">
        <f>Source!F60</f>
        <v>656.97</v>
      </c>
      <c r="L55" s="88"/>
    </row>
    <row r="56" spans="1:39" ht="14.25" x14ac:dyDescent="0.2">
      <c r="D56" s="15" t="str">
        <f>Source!H61</f>
        <v>ЭММ, в т.ч. ЗПМ</v>
      </c>
      <c r="K56" s="88">
        <f>Source!F61</f>
        <v>534.83000000000004</v>
      </c>
      <c r="L56" s="88"/>
    </row>
    <row r="57" spans="1:39" ht="14.25" x14ac:dyDescent="0.2">
      <c r="D57" s="15" t="str">
        <f>Source!H62</f>
        <v>ЗПМ (справочно)</v>
      </c>
      <c r="K57" s="88">
        <f>Source!F62</f>
        <v>142.84</v>
      </c>
      <c r="L57" s="88"/>
    </row>
    <row r="58" spans="1:39" ht="14.25" x14ac:dyDescent="0.2">
      <c r="D58" s="15" t="str">
        <f>Source!H63</f>
        <v>Стоимость материалов</v>
      </c>
      <c r="K58" s="88">
        <f>Source!F63</f>
        <v>0</v>
      </c>
      <c r="L58" s="88"/>
    </row>
    <row r="59" spans="1:39" ht="14.25" x14ac:dyDescent="0.2">
      <c r="D59" s="15" t="str">
        <f>Source!H64</f>
        <v>НР</v>
      </c>
      <c r="K59" s="88">
        <f>Source!F64</f>
        <v>818.63</v>
      </c>
      <c r="L59" s="88"/>
    </row>
    <row r="60" spans="1:39" ht="14.25" x14ac:dyDescent="0.2">
      <c r="D60" s="15" t="str">
        <f>Source!H65</f>
        <v>СП</v>
      </c>
      <c r="K60" s="88">
        <f>Source!F65</f>
        <v>472.12</v>
      </c>
      <c r="L60" s="88"/>
    </row>
    <row r="61" spans="1:39" ht="14.25" x14ac:dyDescent="0.2">
      <c r="D61" s="15" t="str">
        <f>Source!H66</f>
        <v>Итого</v>
      </c>
      <c r="E61" s="99" t="str">
        <f>"="&amp;Source!F60&amp;"+"&amp;""&amp;Source!F61&amp;"+"&amp;""&amp;Source!F63&amp;"+"&amp;""&amp;Source!F64&amp;"+"&amp;""&amp;Source!F65&amp;""</f>
        <v>=656,97+534,83+0+818,63+472,12</v>
      </c>
      <c r="F61" s="93"/>
      <c r="G61" s="93"/>
      <c r="H61" s="93"/>
      <c r="I61" s="93"/>
      <c r="J61" s="93"/>
      <c r="K61" s="88">
        <f>Source!F66</f>
        <v>2482.5500000000002</v>
      </c>
      <c r="L61" s="88"/>
      <c r="AM61" s="49" t="str">
        <f>"="&amp;Source!F60&amp;"+"&amp;""&amp;Source!F61&amp;"+"&amp;""&amp;Source!F63&amp;"+"&amp;""&amp;Source!F64&amp;"+"&amp;""&amp;Source!F65&amp;""</f>
        <v>=656,97+534,83+0+818,63+472,12</v>
      </c>
    </row>
    <row r="62" spans="1:39" ht="14.25" x14ac:dyDescent="0.2">
      <c r="D62" s="15" t="str">
        <f>Source!H67</f>
        <v>НДС 20%</v>
      </c>
      <c r="E62" s="99" t="str">
        <f>"="&amp;Source!F66&amp;"*"&amp;"0,2"</f>
        <v>=2482,55*0,2</v>
      </c>
      <c r="F62" s="93"/>
      <c r="G62" s="93"/>
      <c r="H62" s="93"/>
      <c r="I62" s="93"/>
      <c r="J62" s="93"/>
      <c r="K62" s="88">
        <f>Source!F67</f>
        <v>496.51</v>
      </c>
      <c r="L62" s="88"/>
      <c r="AM62" s="49" t="str">
        <f>"="&amp;Source!F66&amp;"*"&amp;"0,2"</f>
        <v>=2482,55*0,2</v>
      </c>
    </row>
    <row r="63" spans="1:39" ht="14.25" x14ac:dyDescent="0.2">
      <c r="D63" s="15" t="str">
        <f>Source!H68</f>
        <v>Всего с НДС</v>
      </c>
      <c r="E63" s="99" t="str">
        <f>"="&amp;Source!F66&amp;"+"&amp;""&amp;Source!F67&amp;""</f>
        <v>=2482,55+496,51</v>
      </c>
      <c r="F63" s="93"/>
      <c r="G63" s="93"/>
      <c r="H63" s="93"/>
      <c r="I63" s="93"/>
      <c r="J63" s="93"/>
      <c r="K63" s="88">
        <f>Source!F68</f>
        <v>2979.06</v>
      </c>
      <c r="L63" s="88"/>
      <c r="AM63" s="49" t="str">
        <f>"="&amp;Source!F66&amp;"+"&amp;""&amp;Source!F67&amp;""</f>
        <v>=2482,55+496,51</v>
      </c>
    </row>
    <row r="66" spans="1:31" ht="16.5" x14ac:dyDescent="0.25">
      <c r="A66" s="98" t="str">
        <f>CONCATENATE("Раздел: ", Source!G70)</f>
        <v>Раздел: Монтаж реклоузера</v>
      </c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AE66" s="27" t="str">
        <f>CONCATENATE("Раздел: ", Source!G70)</f>
        <v>Раздел: Монтаж реклоузера</v>
      </c>
    </row>
    <row r="67" spans="1:31" ht="42.75" x14ac:dyDescent="0.2">
      <c r="A67" s="28">
        <v>3</v>
      </c>
      <c r="B67" s="28" t="str">
        <f>Source!E74</f>
        <v>3</v>
      </c>
      <c r="C67" s="29" t="str">
        <f>Source!F74</f>
        <v>33-04-016-2</v>
      </c>
      <c r="D67" s="15" t="str">
        <f>Source!G74</f>
        <v>Развозка конструкций и материалов опор ВЛ 0,38-10 кВ по трассе одностоечных железобетонных опор</v>
      </c>
      <c r="E67" s="31" t="str">
        <f>Source!H74</f>
        <v>1 ОПОРА</v>
      </c>
      <c r="F67" s="10">
        <f>Source!I74</f>
        <v>2</v>
      </c>
      <c r="G67" s="22">
        <f>IF(Source!AK74&lt;&gt; 0, Source!AK74,Source!AL74 + Source!AM74 + Source!AO74)</f>
        <v>51.54</v>
      </c>
      <c r="H67" s="16"/>
      <c r="I67" s="22"/>
      <c r="J67" s="16" t="str">
        <f>Source!BO74</f>
        <v>33-04-016-2</v>
      </c>
      <c r="K67" s="16"/>
      <c r="L67" s="22"/>
      <c r="M67" s="32"/>
      <c r="S67">
        <f>ROUND((Source!FX74/100)*((ROUND(Source!AF74*Source!I74, 2)+ROUND(Source!AE74*Source!I74, 2))), 2)</f>
        <v>18.89</v>
      </c>
      <c r="T67">
        <f>Source!X74</f>
        <v>666.26</v>
      </c>
      <c r="U67">
        <f>ROUND((Source!FY74/100)*((ROUND(Source!AF74*Source!I74, 2)+ROUND(Source!AE74*Source!I74, 2))), 2)</f>
        <v>11</v>
      </c>
      <c r="V67">
        <f>Source!Y74</f>
        <v>388.11</v>
      </c>
    </row>
    <row r="68" spans="1:31" ht="14.25" x14ac:dyDescent="0.2">
      <c r="A68" s="28"/>
      <c r="B68" s="28"/>
      <c r="C68" s="29"/>
      <c r="D68" s="15" t="s">
        <v>575</v>
      </c>
      <c r="E68" s="31"/>
      <c r="F68" s="10"/>
      <c r="G68" s="22">
        <f>Source!AO74</f>
        <v>3.36</v>
      </c>
      <c r="H68" s="16" t="str">
        <f>Source!DG74</f>
        <v/>
      </c>
      <c r="I68" s="22">
        <f>ROUND(Source!AF74*Source!I74, 2)</f>
        <v>6.72</v>
      </c>
      <c r="J68" s="16"/>
      <c r="K68" s="16">
        <f>IF(Source!BA74&lt;&gt; 0, Source!BA74, 1)</f>
        <v>35.270000000000003</v>
      </c>
      <c r="L68" s="22">
        <f>Source!S74</f>
        <v>237.01</v>
      </c>
      <c r="M68" s="32"/>
      <c r="R68">
        <f>I68</f>
        <v>6.72</v>
      </c>
    </row>
    <row r="69" spans="1:31" ht="14.25" x14ac:dyDescent="0.2">
      <c r="A69" s="28"/>
      <c r="B69" s="28"/>
      <c r="C69" s="29"/>
      <c r="D69" s="15" t="s">
        <v>59</v>
      </c>
      <c r="E69" s="31"/>
      <c r="F69" s="10"/>
      <c r="G69" s="22">
        <f>Source!AM74</f>
        <v>48.18</v>
      </c>
      <c r="H69" s="16" t="str">
        <f>Source!DE74</f>
        <v/>
      </c>
      <c r="I69" s="22">
        <f>ROUND((((Source!ET74)-(Source!EU74))+Source!AE74)*Source!I74, 2)</f>
        <v>96.36</v>
      </c>
      <c r="J69" s="16"/>
      <c r="K69" s="16">
        <f>IF(Source!BB74&lt;&gt; 0, Source!BB74, 1)</f>
        <v>12.39</v>
      </c>
      <c r="L69" s="22">
        <f>Source!Q74</f>
        <v>1193.9000000000001</v>
      </c>
      <c r="M69" s="32"/>
    </row>
    <row r="70" spans="1:31" ht="14.25" x14ac:dyDescent="0.2">
      <c r="A70" s="28"/>
      <c r="B70" s="28"/>
      <c r="C70" s="29"/>
      <c r="D70" s="15" t="s">
        <v>576</v>
      </c>
      <c r="E70" s="31"/>
      <c r="F70" s="10"/>
      <c r="G70" s="22">
        <f>Source!AN74</f>
        <v>5.81</v>
      </c>
      <c r="H70" s="16" t="str">
        <f>Source!DF74</f>
        <v/>
      </c>
      <c r="I70" s="22">
        <f>ROUND(Source!AE74*Source!I74, 2)</f>
        <v>11.62</v>
      </c>
      <c r="J70" s="16"/>
      <c r="K70" s="16">
        <f>IF(Source!BS74&lt;&gt; 0, Source!BS74, 1)</f>
        <v>35.270000000000003</v>
      </c>
      <c r="L70" s="22">
        <f>Source!R74</f>
        <v>409.84</v>
      </c>
      <c r="M70" s="32"/>
      <c r="R70">
        <f>I70</f>
        <v>11.62</v>
      </c>
    </row>
    <row r="71" spans="1:31" ht="14.25" x14ac:dyDescent="0.2">
      <c r="A71" s="28"/>
      <c r="B71" s="28"/>
      <c r="C71" s="29"/>
      <c r="D71" s="15" t="s">
        <v>577</v>
      </c>
      <c r="E71" s="31" t="s">
        <v>578</v>
      </c>
      <c r="F71" s="10">
        <f>Source!BZ74</f>
        <v>103</v>
      </c>
      <c r="G71" s="33"/>
      <c r="H71" s="16"/>
      <c r="I71" s="22">
        <f>SUM(S67:S73)</f>
        <v>18.89</v>
      </c>
      <c r="J71" s="34"/>
      <c r="K71" s="15">
        <f>Source!AT74</f>
        <v>103</v>
      </c>
      <c r="L71" s="22">
        <f>SUM(T67:T73)</f>
        <v>666.26</v>
      </c>
      <c r="M71" s="32"/>
    </row>
    <row r="72" spans="1:31" ht="14.25" x14ac:dyDescent="0.2">
      <c r="A72" s="28"/>
      <c r="B72" s="28"/>
      <c r="C72" s="29"/>
      <c r="D72" s="15" t="s">
        <v>579</v>
      </c>
      <c r="E72" s="31" t="s">
        <v>578</v>
      </c>
      <c r="F72" s="10">
        <f>Source!CA74</f>
        <v>60</v>
      </c>
      <c r="G72" s="33"/>
      <c r="H72" s="16"/>
      <c r="I72" s="22">
        <f>SUM(U67:U73)</f>
        <v>11</v>
      </c>
      <c r="J72" s="34"/>
      <c r="K72" s="15">
        <f>Source!AU74</f>
        <v>60</v>
      </c>
      <c r="L72" s="22">
        <f>SUM(V67:V73)</f>
        <v>388.11</v>
      </c>
      <c r="M72" s="32"/>
    </row>
    <row r="73" spans="1:31" ht="14.25" x14ac:dyDescent="0.2">
      <c r="A73" s="38"/>
      <c r="B73" s="38"/>
      <c r="C73" s="39"/>
      <c r="D73" s="40" t="s">
        <v>580</v>
      </c>
      <c r="E73" s="41" t="s">
        <v>581</v>
      </c>
      <c r="F73" s="42">
        <f>Source!AQ74</f>
        <v>0.44</v>
      </c>
      <c r="G73" s="43"/>
      <c r="H73" s="44" t="str">
        <f>Source!DI74</f>
        <v/>
      </c>
      <c r="I73" s="43"/>
      <c r="J73" s="44"/>
      <c r="K73" s="44"/>
      <c r="L73" s="43"/>
      <c r="M73" s="45">
        <f>Source!U74</f>
        <v>0.88</v>
      </c>
    </row>
    <row r="74" spans="1:31" ht="15" x14ac:dyDescent="0.25">
      <c r="H74" s="96">
        <f>ROUND(Source!AC74*Source!I74, 2)+ROUND(Source!AF74*Source!I74, 2)+ROUND((((Source!ET74)-(Source!EU74))+Source!AE74)*Source!I74, 2)+SUM(I71:I72)</f>
        <v>132.97</v>
      </c>
      <c r="I74" s="96"/>
      <c r="K74" s="96">
        <f>Source!O74+SUM(L71:L72)</f>
        <v>2485.2799999999997</v>
      </c>
      <c r="L74" s="96"/>
      <c r="M74" s="37">
        <f>Source!U74</f>
        <v>0.88</v>
      </c>
      <c r="O74" s="36">
        <f>H74</f>
        <v>132.97</v>
      </c>
      <c r="P74" s="36">
        <f>K74</f>
        <v>2485.2799999999997</v>
      </c>
      <c r="Q74" s="36">
        <f>M74</f>
        <v>0.88</v>
      </c>
      <c r="W74">
        <f>IF(Source!BI74&lt;=1,H74, 0)</f>
        <v>132.97</v>
      </c>
      <c r="X74">
        <f>IF(Source!BI74=2,H74, 0)</f>
        <v>0</v>
      </c>
      <c r="Y74">
        <f>IF(Source!BI74=3,H74, 0)</f>
        <v>0</v>
      </c>
      <c r="Z74">
        <f>IF(Source!BI74=4,H74, 0)</f>
        <v>0</v>
      </c>
    </row>
    <row r="75" spans="1:31" ht="28.5" x14ac:dyDescent="0.2">
      <c r="A75" s="28">
        <v>4</v>
      </c>
      <c r="B75" s="28" t="str">
        <f>Source!E75</f>
        <v>4</v>
      </c>
      <c r="C75" s="29" t="str">
        <f>Source!F75</f>
        <v>м08-01-087-3</v>
      </c>
      <c r="D75" s="15" t="str">
        <f>Source!G75</f>
        <v>Металлические конструкции</v>
      </c>
      <c r="E75" s="31" t="str">
        <f>Source!H75</f>
        <v>1 Т</v>
      </c>
      <c r="F75" s="10">
        <f>Source!I75</f>
        <v>2.8459999999999999E-2</v>
      </c>
      <c r="G75" s="22">
        <f>IF(Source!AK75&lt;&gt; 0, Source!AK75,Source!AL75 + Source!AM75 + Source!AO75)</f>
        <v>13270.76</v>
      </c>
      <c r="H75" s="16"/>
      <c r="I75" s="22"/>
      <c r="J75" s="16" t="str">
        <f>Source!BO75</f>
        <v>м08-01-087-3</v>
      </c>
      <c r="K75" s="16"/>
      <c r="L75" s="22"/>
      <c r="M75" s="32"/>
      <c r="S75">
        <f>ROUND((Source!FX75/100)*((ROUND(Source!AF75*Source!I75, 2)+ROUND(Source!AE75*Source!I75, 2))), 2)</f>
        <v>16.010000000000002</v>
      </c>
      <c r="T75">
        <f>Source!X75</f>
        <v>564.96</v>
      </c>
      <c r="U75">
        <f>ROUND((Source!FY75/100)*((ROUND(Source!AF75*Source!I75, 2)+ROUND(Source!AE75*Source!I75, 2))), 2)</f>
        <v>8.42</v>
      </c>
      <c r="V75">
        <f>Source!Y75</f>
        <v>297.04000000000002</v>
      </c>
    </row>
    <row r="76" spans="1:31" ht="14.25" x14ac:dyDescent="0.2">
      <c r="A76" s="28"/>
      <c r="B76" s="28"/>
      <c r="C76" s="29"/>
      <c r="D76" s="15" t="s">
        <v>575</v>
      </c>
      <c r="E76" s="31"/>
      <c r="F76" s="10"/>
      <c r="G76" s="22">
        <f>Source!AO75</f>
        <v>559.17999999999995</v>
      </c>
      <c r="H76" s="16" t="str">
        <f>Source!DG75</f>
        <v/>
      </c>
      <c r="I76" s="22">
        <f>ROUND(Source!AF75*Source!I75, 2)</f>
        <v>15.91</v>
      </c>
      <c r="J76" s="16"/>
      <c r="K76" s="16">
        <f>IF(Source!BA75&lt;&gt; 0, Source!BA75, 1)</f>
        <v>35.270000000000003</v>
      </c>
      <c r="L76" s="22">
        <f>Source!S75</f>
        <v>561.29999999999995</v>
      </c>
      <c r="M76" s="32"/>
      <c r="R76">
        <f>I76</f>
        <v>15.91</v>
      </c>
    </row>
    <row r="77" spans="1:31" ht="14.25" x14ac:dyDescent="0.2">
      <c r="A77" s="28"/>
      <c r="B77" s="28"/>
      <c r="C77" s="29"/>
      <c r="D77" s="15" t="s">
        <v>59</v>
      </c>
      <c r="E77" s="31"/>
      <c r="F77" s="10"/>
      <c r="G77" s="22">
        <f>Source!AM75</f>
        <v>514.73</v>
      </c>
      <c r="H77" s="16" t="str">
        <f>Source!DE75</f>
        <v/>
      </c>
      <c r="I77" s="22">
        <f>ROUND((((Source!ET75)-(Source!EU75))+Source!AE75)*Source!I75, 2)</f>
        <v>14.65</v>
      </c>
      <c r="J77" s="16"/>
      <c r="K77" s="16">
        <f>IF(Source!BB75&lt;&gt; 0, Source!BB75, 1)</f>
        <v>10.91</v>
      </c>
      <c r="L77" s="22">
        <f>Source!Q75</f>
        <v>159.82</v>
      </c>
      <c r="M77" s="32"/>
    </row>
    <row r="78" spans="1:31" ht="14.25" x14ac:dyDescent="0.2">
      <c r="A78" s="28"/>
      <c r="B78" s="28"/>
      <c r="C78" s="29"/>
      <c r="D78" s="15" t="s">
        <v>576</v>
      </c>
      <c r="E78" s="31"/>
      <c r="F78" s="10"/>
      <c r="G78" s="22">
        <f>Source!AN75</f>
        <v>21.05</v>
      </c>
      <c r="H78" s="16" t="str">
        <f>Source!DF75</f>
        <v/>
      </c>
      <c r="I78" s="22">
        <f>ROUND(Source!AE75*Source!I75, 2)</f>
        <v>0.6</v>
      </c>
      <c r="J78" s="16"/>
      <c r="K78" s="16">
        <f>IF(Source!BS75&lt;&gt; 0, Source!BS75, 1)</f>
        <v>35.270000000000003</v>
      </c>
      <c r="L78" s="22">
        <f>Source!R75</f>
        <v>21.13</v>
      </c>
      <c r="M78" s="32"/>
      <c r="R78">
        <f>I78</f>
        <v>0.6</v>
      </c>
    </row>
    <row r="79" spans="1:31" ht="14.25" x14ac:dyDescent="0.2">
      <c r="A79" s="28"/>
      <c r="B79" s="28"/>
      <c r="C79" s="29"/>
      <c r="D79" s="15" t="s">
        <v>582</v>
      </c>
      <c r="E79" s="31"/>
      <c r="F79" s="10"/>
      <c r="G79" s="22">
        <f>Source!AL75</f>
        <v>12196.85</v>
      </c>
      <c r="H79" s="16" t="str">
        <f>Source!DD75</f>
        <v/>
      </c>
      <c r="I79" s="22">
        <f>ROUND(Source!AC75*Source!I75, 2)</f>
        <v>347.12</v>
      </c>
      <c r="J79" s="16"/>
      <c r="K79" s="16">
        <f>IF(Source!BC75&lt;&gt; 0, Source!BC75, 1)</f>
        <v>11.17</v>
      </c>
      <c r="L79" s="22">
        <f>Source!P75</f>
        <v>3877.36</v>
      </c>
      <c r="M79" s="32"/>
    </row>
    <row r="80" spans="1:31" ht="14.25" x14ac:dyDescent="0.2">
      <c r="A80" s="28"/>
      <c r="B80" s="28"/>
      <c r="C80" s="29"/>
      <c r="D80" s="15" t="s">
        <v>577</v>
      </c>
      <c r="E80" s="31" t="s">
        <v>578</v>
      </c>
      <c r="F80" s="10">
        <f>Source!BZ75</f>
        <v>97</v>
      </c>
      <c r="G80" s="33"/>
      <c r="H80" s="16"/>
      <c r="I80" s="22">
        <f>SUM(S75:S82)</f>
        <v>16.010000000000002</v>
      </c>
      <c r="J80" s="34"/>
      <c r="K80" s="15">
        <f>Source!AT75</f>
        <v>97</v>
      </c>
      <c r="L80" s="22">
        <f>SUM(T75:T82)</f>
        <v>564.96</v>
      </c>
      <c r="M80" s="32"/>
    </row>
    <row r="81" spans="1:28" ht="14.25" x14ac:dyDescent="0.2">
      <c r="A81" s="28"/>
      <c r="B81" s="28"/>
      <c r="C81" s="29"/>
      <c r="D81" s="15" t="s">
        <v>579</v>
      </c>
      <c r="E81" s="31" t="s">
        <v>578</v>
      </c>
      <c r="F81" s="10">
        <f>Source!CA75</f>
        <v>51</v>
      </c>
      <c r="G81" s="33"/>
      <c r="H81" s="16"/>
      <c r="I81" s="22">
        <f>SUM(U75:U82)</f>
        <v>8.42</v>
      </c>
      <c r="J81" s="34"/>
      <c r="K81" s="15">
        <f>Source!AU75</f>
        <v>51</v>
      </c>
      <c r="L81" s="22">
        <f>SUM(V75:V82)</f>
        <v>297.04000000000002</v>
      </c>
      <c r="M81" s="32"/>
    </row>
    <row r="82" spans="1:28" ht="14.25" x14ac:dyDescent="0.2">
      <c r="A82" s="38"/>
      <c r="B82" s="38"/>
      <c r="C82" s="39"/>
      <c r="D82" s="40" t="s">
        <v>580</v>
      </c>
      <c r="E82" s="41" t="s">
        <v>581</v>
      </c>
      <c r="F82" s="42">
        <f>Source!AQ75</f>
        <v>62.2</v>
      </c>
      <c r="G82" s="43"/>
      <c r="H82" s="44" t="str">
        <f>Source!DI75</f>
        <v/>
      </c>
      <c r="I82" s="43"/>
      <c r="J82" s="44"/>
      <c r="K82" s="44"/>
      <c r="L82" s="43"/>
      <c r="M82" s="45">
        <f>Source!U75</f>
        <v>1.7702120000000001</v>
      </c>
    </row>
    <row r="83" spans="1:28" ht="15" x14ac:dyDescent="0.25">
      <c r="H83" s="96">
        <f>ROUND(Source!AC75*Source!I75, 2)+ROUND(Source!AF75*Source!I75, 2)+ROUND((((Source!ET75)-(Source!EU75))+Source!AE75)*Source!I75, 2)+SUM(I80:I81)</f>
        <v>402.11</v>
      </c>
      <c r="I83" s="96"/>
      <c r="K83" s="96">
        <f>Source!O75+SUM(L80:L81)</f>
        <v>5460.48</v>
      </c>
      <c r="L83" s="96"/>
      <c r="M83" s="37">
        <f>Source!U75</f>
        <v>1.7702120000000001</v>
      </c>
      <c r="O83" s="36">
        <f>H83</f>
        <v>402.11</v>
      </c>
      <c r="P83" s="36">
        <f>K83</f>
        <v>5460.48</v>
      </c>
      <c r="Q83" s="36">
        <f>M83</f>
        <v>1.7702120000000001</v>
      </c>
      <c r="W83">
        <f>IF(Source!BI75&lt;=1,H83, 0)</f>
        <v>0</v>
      </c>
      <c r="X83">
        <f>IF(Source!BI75=2,H83, 0)</f>
        <v>402.11</v>
      </c>
      <c r="Y83">
        <f>IF(Source!BI75=3,H83, 0)</f>
        <v>0</v>
      </c>
      <c r="Z83">
        <f>IF(Source!BI75=4,H83, 0)</f>
        <v>0</v>
      </c>
    </row>
    <row r="84" spans="1:28" ht="57" x14ac:dyDescent="0.2">
      <c r="A84" s="28">
        <v>5</v>
      </c>
      <c r="B84" s="28" t="str">
        <f>Source!E76</f>
        <v>5</v>
      </c>
      <c r="C84" s="29" t="str">
        <f>Source!F76</f>
        <v>33-04-003-2</v>
      </c>
      <c r="D84" s="15" t="str">
        <f>Source!G76</f>
        <v>Установка железобетонных опор ВЛ 0,38; 6-10 кВ с траверсами без приставок: одностоечных с одним подкосом</v>
      </c>
      <c r="E84" s="31" t="str">
        <f>Source!H76</f>
        <v>1 ОПОРА</v>
      </c>
      <c r="F84" s="10">
        <f>Source!I76</f>
        <v>1</v>
      </c>
      <c r="G84" s="22">
        <f>IF(Source!AK76&lt;&gt; 0, Source!AK76,Source!AL76 + Source!AM76 + Source!AO76)</f>
        <v>378.82</v>
      </c>
      <c r="H84" s="16"/>
      <c r="I84" s="22"/>
      <c r="J84" s="16" t="str">
        <f>Source!BO76</f>
        <v>33-04-003-2</v>
      </c>
      <c r="K84" s="16"/>
      <c r="L84" s="22"/>
      <c r="M84" s="32"/>
      <c r="S84">
        <f>ROUND((Source!FX76/100)*((ROUND(Source!AF76*Source!I76, 2)+ROUND(Source!AE76*Source!I76, 2))), 2)</f>
        <v>87.2</v>
      </c>
      <c r="T84">
        <f>Source!X76</f>
        <v>3075.54</v>
      </c>
      <c r="U84">
        <f>ROUND((Source!FY76/100)*((ROUND(Source!AF76*Source!I76, 2)+ROUND(Source!AE76*Source!I76, 2))), 2)</f>
        <v>50.8</v>
      </c>
      <c r="V84">
        <f>Source!Y76</f>
        <v>1791.58</v>
      </c>
    </row>
    <row r="85" spans="1:28" ht="14.25" x14ac:dyDescent="0.2">
      <c r="A85" s="28"/>
      <c r="B85" s="28"/>
      <c r="C85" s="29"/>
      <c r="D85" s="15" t="s">
        <v>575</v>
      </c>
      <c r="E85" s="31"/>
      <c r="F85" s="10"/>
      <c r="G85" s="22">
        <f>Source!AO76</f>
        <v>65.41</v>
      </c>
      <c r="H85" s="16" t="str">
        <f>Source!DG76</f>
        <v/>
      </c>
      <c r="I85" s="22">
        <f>ROUND(Source!AF76*Source!I76, 2)</f>
        <v>65.41</v>
      </c>
      <c r="J85" s="16"/>
      <c r="K85" s="16">
        <f>IF(Source!BA76&lt;&gt; 0, Source!BA76, 1)</f>
        <v>35.270000000000003</v>
      </c>
      <c r="L85" s="22">
        <f>Source!S76</f>
        <v>2307.0100000000002</v>
      </c>
      <c r="M85" s="32"/>
      <c r="R85">
        <f>I85</f>
        <v>65.41</v>
      </c>
    </row>
    <row r="86" spans="1:28" ht="14.25" x14ac:dyDescent="0.2">
      <c r="A86" s="28"/>
      <c r="B86" s="28"/>
      <c r="C86" s="29"/>
      <c r="D86" s="15" t="s">
        <v>59</v>
      </c>
      <c r="E86" s="31"/>
      <c r="F86" s="10"/>
      <c r="G86" s="22">
        <f>Source!AM76</f>
        <v>267.08</v>
      </c>
      <c r="H86" s="16" t="str">
        <f>Source!DE76</f>
        <v/>
      </c>
      <c r="I86" s="22">
        <f>ROUND((((Source!ET76)-(Source!EU76))+Source!AE76)*Source!I76, 2)</f>
        <v>267.08</v>
      </c>
      <c r="J86" s="16"/>
      <c r="K86" s="16">
        <f>IF(Source!BB76&lt;&gt; 0, Source!BB76, 1)</f>
        <v>16.920000000000002</v>
      </c>
      <c r="L86" s="22">
        <f>Source!Q76</f>
        <v>4518.99</v>
      </c>
      <c r="M86" s="32"/>
    </row>
    <row r="87" spans="1:28" ht="14.25" x14ac:dyDescent="0.2">
      <c r="A87" s="28"/>
      <c r="B87" s="28"/>
      <c r="C87" s="29"/>
      <c r="D87" s="15" t="s">
        <v>576</v>
      </c>
      <c r="E87" s="31"/>
      <c r="F87" s="10"/>
      <c r="G87" s="22">
        <f>Source!AN76</f>
        <v>19.25</v>
      </c>
      <c r="H87" s="16" t="str">
        <f>Source!DF76</f>
        <v/>
      </c>
      <c r="I87" s="22">
        <f>ROUND(Source!AE76*Source!I76, 2)</f>
        <v>19.25</v>
      </c>
      <c r="J87" s="16"/>
      <c r="K87" s="16">
        <f>IF(Source!BS76&lt;&gt; 0, Source!BS76, 1)</f>
        <v>35.270000000000003</v>
      </c>
      <c r="L87" s="22">
        <f>Source!R76</f>
        <v>678.95</v>
      </c>
      <c r="M87" s="32"/>
      <c r="R87">
        <f>I87</f>
        <v>19.25</v>
      </c>
    </row>
    <row r="88" spans="1:28" ht="14.25" x14ac:dyDescent="0.2">
      <c r="A88" s="28"/>
      <c r="B88" s="28"/>
      <c r="C88" s="29"/>
      <c r="D88" s="15" t="s">
        <v>582</v>
      </c>
      <c r="E88" s="31"/>
      <c r="F88" s="10"/>
      <c r="G88" s="22">
        <f>Source!AL76</f>
        <v>46.33</v>
      </c>
      <c r="H88" s="16" t="str">
        <f>Source!DD76</f>
        <v/>
      </c>
      <c r="I88" s="22">
        <f>ROUND(Source!AC76*Source!I76, 2)</f>
        <v>46.33</v>
      </c>
      <c r="J88" s="16"/>
      <c r="K88" s="16">
        <f>IF(Source!BC76&lt;&gt; 0, Source!BC76, 1)</f>
        <v>3.5</v>
      </c>
      <c r="L88" s="22">
        <f>Source!P76</f>
        <v>162.16</v>
      </c>
      <c r="M88" s="32"/>
    </row>
    <row r="89" spans="1:28" ht="14.25" x14ac:dyDescent="0.2">
      <c r="A89" s="28"/>
      <c r="B89" s="28"/>
      <c r="C89" s="29"/>
      <c r="D89" s="15" t="s">
        <v>577</v>
      </c>
      <c r="E89" s="31" t="s">
        <v>578</v>
      </c>
      <c r="F89" s="10">
        <f>Source!BZ76</f>
        <v>103</v>
      </c>
      <c r="G89" s="33"/>
      <c r="H89" s="16"/>
      <c r="I89" s="22">
        <f>SUM(S84:S92)</f>
        <v>87.2</v>
      </c>
      <c r="J89" s="34"/>
      <c r="K89" s="15">
        <f>Source!AT76</f>
        <v>103</v>
      </c>
      <c r="L89" s="22">
        <f>SUM(T84:T92)</f>
        <v>3075.54</v>
      </c>
      <c r="M89" s="32"/>
    </row>
    <row r="90" spans="1:28" ht="14.25" x14ac:dyDescent="0.2">
      <c r="A90" s="28"/>
      <c r="B90" s="28"/>
      <c r="C90" s="29"/>
      <c r="D90" s="15" t="s">
        <v>579</v>
      </c>
      <c r="E90" s="31" t="s">
        <v>578</v>
      </c>
      <c r="F90" s="10">
        <f>Source!CA76</f>
        <v>60</v>
      </c>
      <c r="G90" s="33"/>
      <c r="H90" s="16"/>
      <c r="I90" s="22">
        <f>SUM(U84:U92)</f>
        <v>50.8</v>
      </c>
      <c r="J90" s="34"/>
      <c r="K90" s="15">
        <f>Source!AU76</f>
        <v>60</v>
      </c>
      <c r="L90" s="22">
        <f>SUM(V84:V92)</f>
        <v>1791.58</v>
      </c>
      <c r="M90" s="32"/>
    </row>
    <row r="91" spans="1:28" ht="14.25" x14ac:dyDescent="0.2">
      <c r="A91" s="28"/>
      <c r="B91" s="28"/>
      <c r="C91" s="29"/>
      <c r="D91" s="15" t="s">
        <v>580</v>
      </c>
      <c r="E91" s="31" t="s">
        <v>581</v>
      </c>
      <c r="F91" s="10">
        <f>Source!AQ76</f>
        <v>7.9</v>
      </c>
      <c r="G91" s="22"/>
      <c r="H91" s="16" t="str">
        <f>Source!DI76</f>
        <v/>
      </c>
      <c r="I91" s="22"/>
      <c r="J91" s="16"/>
      <c r="K91" s="16"/>
      <c r="L91" s="22"/>
      <c r="M91" s="35">
        <f>Source!U76</f>
        <v>7.9</v>
      </c>
    </row>
    <row r="92" spans="1:28" ht="14.25" x14ac:dyDescent="0.2">
      <c r="A92" s="50">
        <v>6</v>
      </c>
      <c r="B92" s="50" t="str">
        <f>Source!E81</f>
        <v>5,5</v>
      </c>
      <c r="C92" s="50" t="str">
        <f>Source!F81</f>
        <v>110-9126</v>
      </c>
      <c r="D92" s="50" t="str">
        <f>Source!G81</f>
        <v>Металлические плакаты</v>
      </c>
      <c r="E92" s="51" t="str">
        <f>Source!H81</f>
        <v>шт.</v>
      </c>
      <c r="F92" s="52">
        <f>Source!I81</f>
        <v>0.1</v>
      </c>
      <c r="G92" s="53">
        <f>Source!AK81</f>
        <v>0</v>
      </c>
      <c r="H92" s="54" t="s">
        <v>3</v>
      </c>
      <c r="I92" s="53">
        <f>ROUND(Source!AC81*Source!I81, 2)+ROUND((((Source!ET81)-(Source!EU81))+Source!AE81)*Source!I81, 2)+ROUND(Source!AF81*Source!I81, 2)</f>
        <v>0</v>
      </c>
      <c r="J92" s="51"/>
      <c r="K92" s="51">
        <f>IF(Source!BC81&lt;&gt; 0, Source!BC81, 1)</f>
        <v>1</v>
      </c>
      <c r="L92" s="53">
        <f>Source!O81</f>
        <v>0</v>
      </c>
      <c r="M92" s="53"/>
      <c r="S92">
        <f>ROUND((Source!FX81/100)*((ROUND(Source!AF81*Source!I81, 2)+ROUND(Source!AE81*Source!I81, 2))), 2)</f>
        <v>0</v>
      </c>
      <c r="T92">
        <f>Source!X81</f>
        <v>0</v>
      </c>
      <c r="U92">
        <f>ROUND((Source!FY81/100)*((ROUND(Source!AF81*Source!I81, 2)+ROUND(Source!AE81*Source!I81, 2))), 2)</f>
        <v>0</v>
      </c>
      <c r="V92">
        <f>Source!Y81</f>
        <v>0</v>
      </c>
      <c r="Y92">
        <f>IF(Source!BI81=3,I92, 0)</f>
        <v>0</v>
      </c>
      <c r="AA92">
        <f>ROUND(Source!AC81*Source!I81, 2)+ROUND((((Source!ET81)-(Source!EU81))+Source!AE81)*Source!I81, 2)+ROUND(Source!AF81*Source!I81, 2)</f>
        <v>0</v>
      </c>
      <c r="AB92">
        <f>Source!O81</f>
        <v>0</v>
      </c>
    </row>
    <row r="93" spans="1:28" ht="15" x14ac:dyDescent="0.25">
      <c r="H93" s="96">
        <f>ROUND(Source!AC76*Source!I76, 2)+ROUND(Source!AF76*Source!I76, 2)+ROUND((((Source!ET76)-(Source!EU76))+Source!AE76)*Source!I76, 2)+SUM(I89:I90)+SUM(AA92:AA92)</f>
        <v>516.81999999999994</v>
      </c>
      <c r="I93" s="96"/>
      <c r="K93" s="96">
        <f>Source!O76+SUM(L89:L90)+SUM(AB92:AB92)</f>
        <v>11855.279999999999</v>
      </c>
      <c r="L93" s="96"/>
      <c r="M93" s="37">
        <f>Source!U76</f>
        <v>7.9</v>
      </c>
      <c r="O93" s="36">
        <f>H93</f>
        <v>516.81999999999994</v>
      </c>
      <c r="P93" s="36">
        <f>K93</f>
        <v>11855.279999999999</v>
      </c>
      <c r="Q93" s="36">
        <f>M93</f>
        <v>7.9</v>
      </c>
      <c r="W93">
        <f>IF(Source!BI76&lt;=1,H93, 0)</f>
        <v>516.81999999999994</v>
      </c>
      <c r="X93">
        <f>IF(Source!BI76=2,H93, 0)</f>
        <v>0</v>
      </c>
      <c r="Y93">
        <f>IF(Source!BI76=3,H93, 0)</f>
        <v>0</v>
      </c>
      <c r="Z93">
        <f>IF(Source!BI76=4,H93, 0)</f>
        <v>0</v>
      </c>
    </row>
    <row r="94" spans="1:28" ht="42.75" x14ac:dyDescent="0.2">
      <c r="A94" s="28">
        <v>7</v>
      </c>
      <c r="B94" s="28" t="str">
        <f>Source!E86</f>
        <v>6</v>
      </c>
      <c r="C94" s="29" t="str">
        <f>Source!F86</f>
        <v>403-2127</v>
      </c>
      <c r="D94" s="15" t="str">
        <f>Source!G86</f>
        <v>Стойка опоры СВ 110-3,5 /бетон В30 (М400), объем 0,45 м3, расход ар-ры 66,8 кг/ (серия 3.407.1-143 вып.7)</v>
      </c>
      <c r="E94" s="31" t="str">
        <f>Source!H86</f>
        <v>шт.</v>
      </c>
      <c r="F94" s="10">
        <f>Source!I86</f>
        <v>2</v>
      </c>
      <c r="G94" s="22">
        <f>IF(Source!AK86&lt;&gt; 0, Source!AK86,Source!AL86 + Source!AM86 + Source!AO86)</f>
        <v>1525.42</v>
      </c>
      <c r="H94" s="16"/>
      <c r="I94" s="22"/>
      <c r="J94" s="16" t="str">
        <f>Source!BO86</f>
        <v>403-2127</v>
      </c>
      <c r="K94" s="16"/>
      <c r="L94" s="22"/>
      <c r="M94" s="32"/>
      <c r="S94">
        <f>ROUND((Source!FX86/100)*((ROUND(Source!AF86*Source!I86, 2)+ROUND(Source!AE86*Source!I86, 2))), 2)</f>
        <v>0</v>
      </c>
      <c r="T94">
        <f>Source!X86</f>
        <v>0</v>
      </c>
      <c r="U94">
        <f>ROUND((Source!FY86/100)*((ROUND(Source!AF86*Source!I86, 2)+ROUND(Source!AE86*Source!I86, 2))), 2)</f>
        <v>0</v>
      </c>
      <c r="V94">
        <f>Source!Y86</f>
        <v>0</v>
      </c>
    </row>
    <row r="95" spans="1:28" ht="14.25" x14ac:dyDescent="0.2">
      <c r="A95" s="38"/>
      <c r="B95" s="38"/>
      <c r="C95" s="39"/>
      <c r="D95" s="40" t="s">
        <v>582</v>
      </c>
      <c r="E95" s="41"/>
      <c r="F95" s="42"/>
      <c r="G95" s="43">
        <f>Source!AL86</f>
        <v>1525.42</v>
      </c>
      <c r="H95" s="44" t="str">
        <f>Source!DD86</f>
        <v/>
      </c>
      <c r="I95" s="43">
        <f>ROUND(Source!AC86*Source!I86, 2)</f>
        <v>3050.84</v>
      </c>
      <c r="J95" s="44"/>
      <c r="K95" s="44">
        <f>IF(Source!BC86&lt;&gt; 0, Source!BC86, 1)</f>
        <v>12.66</v>
      </c>
      <c r="L95" s="43">
        <f>Source!P86</f>
        <v>38623.629999999997</v>
      </c>
      <c r="M95" s="55"/>
    </row>
    <row r="96" spans="1:28" ht="15" x14ac:dyDescent="0.25">
      <c r="H96" s="96">
        <f>ROUND(Source!AC86*Source!I86, 2)+ROUND(Source!AF86*Source!I86, 2)+ROUND((((Source!ET86)-(Source!EU86))+Source!AE86)*Source!I86, 2)</f>
        <v>3050.84</v>
      </c>
      <c r="I96" s="96"/>
      <c r="K96" s="96">
        <f>Source!O86</f>
        <v>38623.629999999997</v>
      </c>
      <c r="L96" s="96"/>
      <c r="M96" s="37">
        <f>Source!U86</f>
        <v>0</v>
      </c>
      <c r="O96" s="36">
        <f>H96</f>
        <v>3050.84</v>
      </c>
      <c r="P96" s="36">
        <f>K96</f>
        <v>38623.629999999997</v>
      </c>
      <c r="Q96" s="36">
        <f>M96</f>
        <v>0</v>
      </c>
      <c r="W96">
        <f>IF(Source!BI86&lt;=1,H96, 0)</f>
        <v>3050.84</v>
      </c>
      <c r="X96">
        <f>IF(Source!BI86=2,H96, 0)</f>
        <v>0</v>
      </c>
      <c r="Y96">
        <f>IF(Source!BI86=3,H96, 0)</f>
        <v>0</v>
      </c>
      <c r="Z96">
        <f>IF(Source!BI86=4,H96, 0)</f>
        <v>0</v>
      </c>
    </row>
    <row r="97" spans="1:26" ht="28.5" x14ac:dyDescent="0.2">
      <c r="A97" s="28">
        <v>8</v>
      </c>
      <c r="B97" s="28" t="str">
        <f>Source!E87</f>
        <v>7</v>
      </c>
      <c r="C97" s="29" t="str">
        <f>Source!F87</f>
        <v>201-8113</v>
      </c>
      <c r="D97" s="15" t="str">
        <f>Source!G87</f>
        <v>Траверсы стальные (Траверса ТМ-71 21,76 кг и траверса ТМ-66 6,7 кг)</v>
      </c>
      <c r="E97" s="31" t="str">
        <f>Source!H87</f>
        <v>т</v>
      </c>
      <c r="F97" s="10">
        <f>Source!I87</f>
        <v>2.8459999999999999E-2</v>
      </c>
      <c r="G97" s="22">
        <f>IF(Source!AK87&lt;&gt; 0, Source!AK87,Source!AL87 + Source!AM87 + Source!AO87)</f>
        <v>10995.42</v>
      </c>
      <c r="H97" s="16"/>
      <c r="I97" s="22"/>
      <c r="J97" s="16" t="str">
        <f>Source!BO87</f>
        <v>201-8113</v>
      </c>
      <c r="K97" s="16"/>
      <c r="L97" s="22"/>
      <c r="M97" s="32"/>
      <c r="S97">
        <f>ROUND((Source!FX87/100)*((ROUND(Source!AF87*Source!I87, 2)+ROUND(Source!AE87*Source!I87, 2))), 2)</f>
        <v>0</v>
      </c>
      <c r="T97">
        <f>Source!X87</f>
        <v>0</v>
      </c>
      <c r="U97">
        <f>ROUND((Source!FY87/100)*((ROUND(Source!AF87*Source!I87, 2)+ROUND(Source!AE87*Source!I87, 2))), 2)</f>
        <v>0</v>
      </c>
      <c r="V97">
        <f>Source!Y87</f>
        <v>0</v>
      </c>
    </row>
    <row r="98" spans="1:26" ht="14.25" x14ac:dyDescent="0.2">
      <c r="A98" s="38"/>
      <c r="B98" s="38"/>
      <c r="C98" s="39"/>
      <c r="D98" s="40" t="s">
        <v>582</v>
      </c>
      <c r="E98" s="41"/>
      <c r="F98" s="42"/>
      <c r="G98" s="43">
        <f>Source!AL87</f>
        <v>10995.42</v>
      </c>
      <c r="H98" s="44" t="str">
        <f>Source!DD87</f>
        <v/>
      </c>
      <c r="I98" s="43">
        <f>ROUND(Source!AC87*Source!I87, 2)</f>
        <v>312.93</v>
      </c>
      <c r="J98" s="44"/>
      <c r="K98" s="44">
        <f>IF(Source!BC87&lt;&gt; 0, Source!BC87, 1)</f>
        <v>22.9</v>
      </c>
      <c r="L98" s="43">
        <f>Source!P87</f>
        <v>7166.09</v>
      </c>
      <c r="M98" s="55"/>
    </row>
    <row r="99" spans="1:26" ht="15" x14ac:dyDescent="0.25">
      <c r="H99" s="96">
        <f>ROUND(Source!AC87*Source!I87, 2)+ROUND(Source!AF87*Source!I87, 2)+ROUND((((Source!ET87)-(Source!EU87))+Source!AE87)*Source!I87, 2)</f>
        <v>312.93</v>
      </c>
      <c r="I99" s="96"/>
      <c r="K99" s="96">
        <f>Source!O87</f>
        <v>7166.09</v>
      </c>
      <c r="L99" s="96"/>
      <c r="M99" s="37">
        <f>Source!U87</f>
        <v>0</v>
      </c>
      <c r="O99" s="36">
        <f>H99</f>
        <v>312.93</v>
      </c>
      <c r="P99" s="36">
        <f>K99</f>
        <v>7166.09</v>
      </c>
      <c r="Q99" s="36">
        <f>M99</f>
        <v>0</v>
      </c>
      <c r="W99">
        <f>IF(Source!BI87&lt;=1,H99, 0)</f>
        <v>312.93</v>
      </c>
      <c r="X99">
        <f>IF(Source!BI87=2,H99, 0)</f>
        <v>0</v>
      </c>
      <c r="Y99">
        <f>IF(Source!BI87=3,H99, 0)</f>
        <v>0</v>
      </c>
      <c r="Z99">
        <f>IF(Source!BI87=4,H99, 0)</f>
        <v>0</v>
      </c>
    </row>
    <row r="100" spans="1:26" ht="14.25" x14ac:dyDescent="0.2">
      <c r="A100" s="28">
        <v>9</v>
      </c>
      <c r="B100" s="28" t="str">
        <f>Source!E88</f>
        <v>8</v>
      </c>
      <c r="C100" s="29" t="str">
        <f>Source!F88</f>
        <v>201-0856</v>
      </c>
      <c r="D100" s="15" t="str">
        <f>Source!G88</f>
        <v>Хомуты стальные (Хомут Х-12 1,18 кг)</v>
      </c>
      <c r="E100" s="31" t="str">
        <f>Source!H88</f>
        <v>кг</v>
      </c>
      <c r="F100" s="10">
        <f>Source!I88</f>
        <v>2.36</v>
      </c>
      <c r="G100" s="22">
        <f>IF(Source!AK88&lt;&gt; 0, Source!AK88,Source!AL88 + Source!AM88 + Source!AO88)</f>
        <v>9.74</v>
      </c>
      <c r="H100" s="16"/>
      <c r="I100" s="22"/>
      <c r="J100" s="16" t="str">
        <f>Source!BO88</f>
        <v>201-0856</v>
      </c>
      <c r="K100" s="16"/>
      <c r="L100" s="22"/>
      <c r="M100" s="32"/>
      <c r="S100">
        <f>ROUND((Source!FX88/100)*((ROUND(Source!AF88*Source!I88, 2)+ROUND(Source!AE88*Source!I88, 2))), 2)</f>
        <v>0</v>
      </c>
      <c r="T100">
        <f>Source!X88</f>
        <v>0</v>
      </c>
      <c r="U100">
        <f>ROUND((Source!FY88/100)*((ROUND(Source!AF88*Source!I88, 2)+ROUND(Source!AE88*Source!I88, 2))), 2)</f>
        <v>0</v>
      </c>
      <c r="V100">
        <f>Source!Y88</f>
        <v>0</v>
      </c>
    </row>
    <row r="101" spans="1:26" ht="14.25" x14ac:dyDescent="0.2">
      <c r="A101" s="38"/>
      <c r="B101" s="38"/>
      <c r="C101" s="39"/>
      <c r="D101" s="40" t="s">
        <v>582</v>
      </c>
      <c r="E101" s="41"/>
      <c r="F101" s="42"/>
      <c r="G101" s="43">
        <f>Source!AL88</f>
        <v>9.74</v>
      </c>
      <c r="H101" s="44" t="str">
        <f>Source!DD88</f>
        <v/>
      </c>
      <c r="I101" s="43">
        <f>ROUND(Source!AC88*Source!I88, 2)</f>
        <v>22.99</v>
      </c>
      <c r="J101" s="44"/>
      <c r="K101" s="44">
        <f>IF(Source!BC88&lt;&gt; 0, Source!BC88, 1)</f>
        <v>7.38</v>
      </c>
      <c r="L101" s="43">
        <f>Source!P88</f>
        <v>169.64</v>
      </c>
      <c r="M101" s="55"/>
    </row>
    <row r="102" spans="1:26" ht="15" x14ac:dyDescent="0.25">
      <c r="H102" s="96">
        <f>ROUND(Source!AC88*Source!I88, 2)+ROUND(Source!AF88*Source!I88, 2)+ROUND((((Source!ET88)-(Source!EU88))+Source!AE88)*Source!I88, 2)</f>
        <v>22.99</v>
      </c>
      <c r="I102" s="96"/>
      <c r="K102" s="96">
        <f>Source!O88</f>
        <v>169.64</v>
      </c>
      <c r="L102" s="96"/>
      <c r="M102" s="37">
        <f>Source!U88</f>
        <v>0</v>
      </c>
      <c r="O102" s="36">
        <f>H102</f>
        <v>22.99</v>
      </c>
      <c r="P102" s="36">
        <f>K102</f>
        <v>169.64</v>
      </c>
      <c r="Q102" s="36">
        <f>M102</f>
        <v>0</v>
      </c>
      <c r="W102">
        <f>IF(Source!BI88&lt;=1,H102, 0)</f>
        <v>22.99</v>
      </c>
      <c r="X102">
        <f>IF(Source!BI88=2,H102, 0)</f>
        <v>0</v>
      </c>
      <c r="Y102">
        <f>IF(Source!BI88=3,H102, 0)</f>
        <v>0</v>
      </c>
      <c r="Z102">
        <f>IF(Source!BI88=4,H102, 0)</f>
        <v>0</v>
      </c>
    </row>
    <row r="103" spans="1:26" ht="28.5" x14ac:dyDescent="0.2">
      <c r="A103" s="28">
        <v>10</v>
      </c>
      <c r="B103" s="28" t="str">
        <f>Source!E89</f>
        <v>9</v>
      </c>
      <c r="C103" s="29" t="str">
        <f>Source!F89</f>
        <v>204-0003</v>
      </c>
      <c r="D103" s="15" t="str">
        <f>Source!G89</f>
        <v>Горячекатаная арматурная сталь гладкая класса А-I, диаметром 10 мм</v>
      </c>
      <c r="E103" s="31" t="str">
        <f>Source!H89</f>
        <v>т</v>
      </c>
      <c r="F103" s="10">
        <f>Source!I89</f>
        <v>5.169E-3</v>
      </c>
      <c r="G103" s="22">
        <f>IF(Source!AK89&lt;&gt; 0, Source!AK89,Source!AL89 + Source!AM89 + Source!AO89)</f>
        <v>6813</v>
      </c>
      <c r="H103" s="16"/>
      <c r="I103" s="22"/>
      <c r="J103" s="16" t="str">
        <f>Source!BO89</f>
        <v>204-0003</v>
      </c>
      <c r="K103" s="16"/>
      <c r="L103" s="22"/>
      <c r="M103" s="32"/>
      <c r="S103">
        <f>ROUND((Source!FX89/100)*((ROUND(Source!AF89*Source!I89, 2)+ROUND(Source!AE89*Source!I89, 2))), 2)</f>
        <v>0</v>
      </c>
      <c r="T103">
        <f>Source!X89</f>
        <v>0</v>
      </c>
      <c r="U103">
        <f>ROUND((Source!FY89/100)*((ROUND(Source!AF89*Source!I89, 2)+ROUND(Source!AE89*Source!I89, 2))), 2)</f>
        <v>0</v>
      </c>
      <c r="V103">
        <f>Source!Y89</f>
        <v>0</v>
      </c>
    </row>
    <row r="104" spans="1:26" ht="14.25" x14ac:dyDescent="0.2">
      <c r="A104" s="38"/>
      <c r="B104" s="38"/>
      <c r="C104" s="39"/>
      <c r="D104" s="40" t="s">
        <v>582</v>
      </c>
      <c r="E104" s="41"/>
      <c r="F104" s="42"/>
      <c r="G104" s="43">
        <f>Source!AL89</f>
        <v>6813</v>
      </c>
      <c r="H104" s="44" t="str">
        <f>Source!DD89</f>
        <v/>
      </c>
      <c r="I104" s="43">
        <f>ROUND(Source!AC89*Source!I89, 2)</f>
        <v>35.22</v>
      </c>
      <c r="J104" s="44"/>
      <c r="K104" s="44">
        <f>IF(Source!BC89&lt;&gt; 0, Source!BC89, 1)</f>
        <v>10.43</v>
      </c>
      <c r="L104" s="43">
        <f>Source!P89</f>
        <v>367.31</v>
      </c>
      <c r="M104" s="55"/>
    </row>
    <row r="105" spans="1:26" ht="15" x14ac:dyDescent="0.25">
      <c r="H105" s="96">
        <f>ROUND(Source!AC89*Source!I89, 2)+ROUND(Source!AF89*Source!I89, 2)+ROUND((((Source!ET89)-(Source!EU89))+Source!AE89)*Source!I89, 2)</f>
        <v>35.22</v>
      </c>
      <c r="I105" s="96"/>
      <c r="K105" s="96">
        <f>Source!O89</f>
        <v>367.31</v>
      </c>
      <c r="L105" s="96"/>
      <c r="M105" s="37">
        <f>Source!U89</f>
        <v>0</v>
      </c>
      <c r="O105" s="36">
        <f>H105</f>
        <v>35.22</v>
      </c>
      <c r="P105" s="36">
        <f>K105</f>
        <v>367.31</v>
      </c>
      <c r="Q105" s="36">
        <f>M105</f>
        <v>0</v>
      </c>
      <c r="W105">
        <f>IF(Source!BI89&lt;=1,H105, 0)</f>
        <v>35.22</v>
      </c>
      <c r="X105">
        <f>IF(Source!BI89=2,H105, 0)</f>
        <v>0</v>
      </c>
      <c r="Y105">
        <f>IF(Source!BI89=3,H105, 0)</f>
        <v>0</v>
      </c>
      <c r="Z105">
        <f>IF(Source!BI89=4,H105, 0)</f>
        <v>0</v>
      </c>
    </row>
    <row r="106" spans="1:26" ht="42.75" x14ac:dyDescent="0.2">
      <c r="A106" s="28">
        <v>11</v>
      </c>
      <c r="B106" s="28" t="str">
        <f>Source!E90</f>
        <v>10</v>
      </c>
      <c r="C106" s="29" t="str">
        <f>Source!F90</f>
        <v>110-0318</v>
      </c>
      <c r="D106" s="15" t="str">
        <f>Source!G90</f>
        <v>Изоляторы линейные штыревые высоковольтные ШФ 20-Г (прим. Изолятор ШФ-20)</v>
      </c>
      <c r="E106" s="31" t="str">
        <f>Source!H90</f>
        <v>шт.</v>
      </c>
      <c r="F106" s="10">
        <f>Source!I90</f>
        <v>3</v>
      </c>
      <c r="G106" s="22">
        <f>IF(Source!AK90&lt;&gt; 0, Source!AK90,Source!AL90 + Source!AM90 + Source!AO90)</f>
        <v>43.95</v>
      </c>
      <c r="H106" s="16"/>
      <c r="I106" s="22"/>
      <c r="J106" s="16" t="str">
        <f>Source!BO90</f>
        <v>110-0318</v>
      </c>
      <c r="K106" s="16"/>
      <c r="L106" s="22"/>
      <c r="M106" s="32"/>
      <c r="S106">
        <f>ROUND((Source!FX90/100)*((ROUND(Source!AF90*Source!I90, 2)+ROUND(Source!AE90*Source!I90, 2))), 2)</f>
        <v>0</v>
      </c>
      <c r="T106">
        <f>Source!X90</f>
        <v>0</v>
      </c>
      <c r="U106">
        <f>ROUND((Source!FY90/100)*((ROUND(Source!AF90*Source!I90, 2)+ROUND(Source!AE90*Source!I90, 2))), 2)</f>
        <v>0</v>
      </c>
      <c r="V106">
        <f>Source!Y90</f>
        <v>0</v>
      </c>
    </row>
    <row r="107" spans="1:26" ht="14.25" x14ac:dyDescent="0.2">
      <c r="A107" s="38"/>
      <c r="B107" s="38"/>
      <c r="C107" s="39"/>
      <c r="D107" s="40" t="s">
        <v>582</v>
      </c>
      <c r="E107" s="41"/>
      <c r="F107" s="42"/>
      <c r="G107" s="43">
        <f>Source!AL90</f>
        <v>43.95</v>
      </c>
      <c r="H107" s="44" t="str">
        <f>Source!DD90</f>
        <v/>
      </c>
      <c r="I107" s="43">
        <f>ROUND(Source!AC90*Source!I90, 2)</f>
        <v>131.85</v>
      </c>
      <c r="J107" s="44"/>
      <c r="K107" s="44">
        <f>IF(Source!BC90&lt;&gt; 0, Source!BC90, 1)</f>
        <v>6.63</v>
      </c>
      <c r="L107" s="43">
        <f>Source!P90</f>
        <v>874.17</v>
      </c>
      <c r="M107" s="55"/>
    </row>
    <row r="108" spans="1:26" ht="15" x14ac:dyDescent="0.25">
      <c r="H108" s="96">
        <f>ROUND(Source!AC90*Source!I90, 2)+ROUND(Source!AF90*Source!I90, 2)+ROUND((((Source!ET90)-(Source!EU90))+Source!AE90)*Source!I90, 2)</f>
        <v>131.85</v>
      </c>
      <c r="I108" s="96"/>
      <c r="K108" s="96">
        <f>Source!O90</f>
        <v>874.17</v>
      </c>
      <c r="L108" s="96"/>
      <c r="M108" s="37">
        <f>Source!U90</f>
        <v>0</v>
      </c>
      <c r="O108" s="36">
        <f>H108</f>
        <v>131.85</v>
      </c>
      <c r="P108" s="36">
        <f>K108</f>
        <v>874.17</v>
      </c>
      <c r="Q108" s="36">
        <f>M108</f>
        <v>0</v>
      </c>
      <c r="W108">
        <f>IF(Source!BI90&lt;=1,H108, 0)</f>
        <v>131.85</v>
      </c>
      <c r="X108">
        <f>IF(Source!BI90=2,H108, 0)</f>
        <v>0</v>
      </c>
      <c r="Y108">
        <f>IF(Source!BI90=3,H108, 0)</f>
        <v>0</v>
      </c>
      <c r="Z108">
        <f>IF(Source!BI90=4,H108, 0)</f>
        <v>0</v>
      </c>
    </row>
    <row r="109" spans="1:26" ht="14.25" x14ac:dyDescent="0.2">
      <c r="A109" s="28">
        <v>12</v>
      </c>
      <c r="B109" s="28" t="str">
        <f>Source!E91</f>
        <v>11</v>
      </c>
      <c r="C109" s="29" t="str">
        <f>Source!F91</f>
        <v>509-1714</v>
      </c>
      <c r="D109" s="15" t="str">
        <f>Source!G91</f>
        <v>Зажим натяжной болтовый НБ-2-6</v>
      </c>
      <c r="E109" s="31" t="str">
        <f>Source!H91</f>
        <v>шт.</v>
      </c>
      <c r="F109" s="10">
        <f>Source!I91</f>
        <v>3</v>
      </c>
      <c r="G109" s="22">
        <f>IF(Source!AK91&lt;&gt; 0, Source!AK91,Source!AL91 + Source!AM91 + Source!AO91)</f>
        <v>90.78</v>
      </c>
      <c r="H109" s="16"/>
      <c r="I109" s="22"/>
      <c r="J109" s="16" t="str">
        <f>Source!BO91</f>
        <v>509-1714</v>
      </c>
      <c r="K109" s="16"/>
      <c r="L109" s="22"/>
      <c r="M109" s="32"/>
      <c r="S109">
        <f>ROUND((Source!FX91/100)*((ROUND(Source!AF91*Source!I91, 2)+ROUND(Source!AE91*Source!I91, 2))), 2)</f>
        <v>0</v>
      </c>
      <c r="T109">
        <f>Source!X91</f>
        <v>0</v>
      </c>
      <c r="U109">
        <f>ROUND((Source!FY91/100)*((ROUND(Source!AF91*Source!I91, 2)+ROUND(Source!AE91*Source!I91, 2))), 2)</f>
        <v>0</v>
      </c>
      <c r="V109">
        <f>Source!Y91</f>
        <v>0</v>
      </c>
    </row>
    <row r="110" spans="1:26" ht="14.25" x14ac:dyDescent="0.2">
      <c r="A110" s="38"/>
      <c r="B110" s="38"/>
      <c r="C110" s="39"/>
      <c r="D110" s="40" t="s">
        <v>582</v>
      </c>
      <c r="E110" s="41"/>
      <c r="F110" s="42"/>
      <c r="G110" s="43">
        <f>Source!AL91</f>
        <v>90.78</v>
      </c>
      <c r="H110" s="44" t="str">
        <f>Source!DD91</f>
        <v/>
      </c>
      <c r="I110" s="43">
        <f>ROUND(Source!AC91*Source!I91, 2)</f>
        <v>272.33999999999997</v>
      </c>
      <c r="J110" s="44"/>
      <c r="K110" s="44">
        <f>IF(Source!BC91&lt;&gt; 0, Source!BC91, 1)</f>
        <v>8.2899999999999991</v>
      </c>
      <c r="L110" s="43">
        <f>Source!P91</f>
        <v>2257.6999999999998</v>
      </c>
      <c r="M110" s="55"/>
    </row>
    <row r="111" spans="1:26" ht="15" x14ac:dyDescent="0.25">
      <c r="H111" s="96">
        <f>ROUND(Source!AC91*Source!I91, 2)+ROUND(Source!AF91*Source!I91, 2)+ROUND((((Source!ET91)-(Source!EU91))+Source!AE91)*Source!I91, 2)</f>
        <v>272.33999999999997</v>
      </c>
      <c r="I111" s="96"/>
      <c r="K111" s="96">
        <f>Source!O91</f>
        <v>2257.6999999999998</v>
      </c>
      <c r="L111" s="96"/>
      <c r="M111" s="37">
        <f>Source!U91</f>
        <v>0</v>
      </c>
      <c r="O111" s="36">
        <f>H111</f>
        <v>272.33999999999997</v>
      </c>
      <c r="P111" s="36">
        <f>K111</f>
        <v>2257.6999999999998</v>
      </c>
      <c r="Q111" s="36">
        <f>M111</f>
        <v>0</v>
      </c>
      <c r="W111">
        <f>IF(Source!BI91&lt;=1,H111, 0)</f>
        <v>0</v>
      </c>
      <c r="X111">
        <f>IF(Source!BI91=2,H111, 0)</f>
        <v>272.33999999999997</v>
      </c>
      <c r="Y111">
        <f>IF(Source!BI91=3,H111, 0)</f>
        <v>0</v>
      </c>
      <c r="Z111">
        <f>IF(Source!BI91=4,H111, 0)</f>
        <v>0</v>
      </c>
    </row>
    <row r="112" spans="1:26" ht="28.5" x14ac:dyDescent="0.2">
      <c r="A112" s="28">
        <v>13</v>
      </c>
      <c r="B112" s="28" t="str">
        <f>Source!E92</f>
        <v>12</v>
      </c>
      <c r="C112" s="29" t="str">
        <f>Source!F92</f>
        <v>110-0316</v>
      </c>
      <c r="D112" s="15" t="str">
        <f>Source!G92</f>
        <v>Звено промежуточное трехлапчатое ПРТ-7-1</v>
      </c>
      <c r="E112" s="31" t="str">
        <f>Source!H92</f>
        <v>шт.</v>
      </c>
      <c r="F112" s="10">
        <f>Source!I92</f>
        <v>3</v>
      </c>
      <c r="G112" s="22">
        <f>IF(Source!AK92&lt;&gt; 0, Source!AK92,Source!AL92 + Source!AM92 + Source!AO92)</f>
        <v>36.979999999999997</v>
      </c>
      <c r="H112" s="16"/>
      <c r="I112" s="22"/>
      <c r="J112" s="16" t="str">
        <f>Source!BO92</f>
        <v>110-0316</v>
      </c>
      <c r="K112" s="16"/>
      <c r="L112" s="22"/>
      <c r="M112" s="32"/>
      <c r="S112">
        <f>ROUND((Source!FX92/100)*((ROUND(Source!AF92*Source!I92, 2)+ROUND(Source!AE92*Source!I92, 2))), 2)</f>
        <v>0</v>
      </c>
      <c r="T112">
        <f>Source!X92</f>
        <v>0</v>
      </c>
      <c r="U112">
        <f>ROUND((Source!FY92/100)*((ROUND(Source!AF92*Source!I92, 2)+ROUND(Source!AE92*Source!I92, 2))), 2)</f>
        <v>0</v>
      </c>
      <c r="V112">
        <f>Source!Y92</f>
        <v>0</v>
      </c>
    </row>
    <row r="113" spans="1:26" ht="14.25" x14ac:dyDescent="0.2">
      <c r="A113" s="38"/>
      <c r="B113" s="38"/>
      <c r="C113" s="39"/>
      <c r="D113" s="40" t="s">
        <v>582</v>
      </c>
      <c r="E113" s="41"/>
      <c r="F113" s="42"/>
      <c r="G113" s="43">
        <f>Source!AL92</f>
        <v>36.979999999999997</v>
      </c>
      <c r="H113" s="44" t="str">
        <f>Source!DD92</f>
        <v/>
      </c>
      <c r="I113" s="43">
        <f>ROUND(Source!AC92*Source!I92, 2)</f>
        <v>110.94</v>
      </c>
      <c r="J113" s="44"/>
      <c r="K113" s="44">
        <f>IF(Source!BC92&lt;&gt; 0, Source!BC92, 1)</f>
        <v>4.92</v>
      </c>
      <c r="L113" s="43">
        <f>Source!P92</f>
        <v>545.82000000000005</v>
      </c>
      <c r="M113" s="55"/>
    </row>
    <row r="114" spans="1:26" ht="15" x14ac:dyDescent="0.25">
      <c r="H114" s="96">
        <f>ROUND(Source!AC92*Source!I92, 2)+ROUND(Source!AF92*Source!I92, 2)+ROUND((((Source!ET92)-(Source!EU92))+Source!AE92)*Source!I92, 2)</f>
        <v>110.94</v>
      </c>
      <c r="I114" s="96"/>
      <c r="K114" s="96">
        <f>Source!O92</f>
        <v>545.82000000000005</v>
      </c>
      <c r="L114" s="96"/>
      <c r="M114" s="37">
        <f>Source!U92</f>
        <v>0</v>
      </c>
      <c r="O114" s="36">
        <f>H114</f>
        <v>110.94</v>
      </c>
      <c r="P114" s="36">
        <f>K114</f>
        <v>545.82000000000005</v>
      </c>
      <c r="Q114" s="36">
        <f>M114</f>
        <v>0</v>
      </c>
      <c r="W114">
        <f>IF(Source!BI92&lt;=1,H114, 0)</f>
        <v>110.94</v>
      </c>
      <c r="X114">
        <f>IF(Source!BI92=2,H114, 0)</f>
        <v>0</v>
      </c>
      <c r="Y114">
        <f>IF(Source!BI92=3,H114, 0)</f>
        <v>0</v>
      </c>
      <c r="Z114">
        <f>IF(Source!BI92=4,H114, 0)</f>
        <v>0</v>
      </c>
    </row>
    <row r="115" spans="1:26" ht="14.25" x14ac:dyDescent="0.2">
      <c r="A115" s="28">
        <v>14</v>
      </c>
      <c r="B115" s="28" t="str">
        <f>Source!E93</f>
        <v>13</v>
      </c>
      <c r="C115" s="29" t="str">
        <f>Source!F93</f>
        <v>509-1771</v>
      </c>
      <c r="D115" s="15" t="str">
        <f>Source!G93</f>
        <v>Ушко однолапчатое У1-7-16</v>
      </c>
      <c r="E115" s="31" t="str">
        <f>Source!H93</f>
        <v>шт.</v>
      </c>
      <c r="F115" s="10">
        <f>Source!I93</f>
        <v>3</v>
      </c>
      <c r="G115" s="22">
        <f>IF(Source!AK93&lt;&gt; 0, Source!AK93,Source!AL93 + Source!AM93 + Source!AO93)</f>
        <v>39.909999999999997</v>
      </c>
      <c r="H115" s="16"/>
      <c r="I115" s="22"/>
      <c r="J115" s="16" t="str">
        <f>Source!BO93</f>
        <v>509-1771</v>
      </c>
      <c r="K115" s="16"/>
      <c r="L115" s="22"/>
      <c r="M115" s="32"/>
      <c r="S115">
        <f>ROUND((Source!FX93/100)*((ROUND(Source!AF93*Source!I93, 2)+ROUND(Source!AE93*Source!I93, 2))), 2)</f>
        <v>0</v>
      </c>
      <c r="T115">
        <f>Source!X93</f>
        <v>0</v>
      </c>
      <c r="U115">
        <f>ROUND((Source!FY93/100)*((ROUND(Source!AF93*Source!I93, 2)+ROUND(Source!AE93*Source!I93, 2))), 2)</f>
        <v>0</v>
      </c>
      <c r="V115">
        <f>Source!Y93</f>
        <v>0</v>
      </c>
    </row>
    <row r="116" spans="1:26" ht="14.25" x14ac:dyDescent="0.2">
      <c r="A116" s="38"/>
      <c r="B116" s="38"/>
      <c r="C116" s="39"/>
      <c r="D116" s="40" t="s">
        <v>582</v>
      </c>
      <c r="E116" s="41"/>
      <c r="F116" s="42"/>
      <c r="G116" s="43">
        <f>Source!AL93</f>
        <v>39.909999999999997</v>
      </c>
      <c r="H116" s="44" t="str">
        <f>Source!DD93</f>
        <v/>
      </c>
      <c r="I116" s="43">
        <f>ROUND(Source!AC93*Source!I93, 2)</f>
        <v>119.73</v>
      </c>
      <c r="J116" s="44"/>
      <c r="K116" s="44">
        <f>IF(Source!BC93&lt;&gt; 0, Source!BC93, 1)</f>
        <v>4.5</v>
      </c>
      <c r="L116" s="43">
        <f>Source!P93</f>
        <v>538.79</v>
      </c>
      <c r="M116" s="55"/>
    </row>
    <row r="117" spans="1:26" ht="15" x14ac:dyDescent="0.25">
      <c r="H117" s="96">
        <f>ROUND(Source!AC93*Source!I93, 2)+ROUND(Source!AF93*Source!I93, 2)+ROUND((((Source!ET93)-(Source!EU93))+Source!AE93)*Source!I93, 2)</f>
        <v>119.73</v>
      </c>
      <c r="I117" s="96"/>
      <c r="K117" s="96">
        <f>Source!O93</f>
        <v>538.79</v>
      </c>
      <c r="L117" s="96"/>
      <c r="M117" s="37">
        <f>Source!U93</f>
        <v>0</v>
      </c>
      <c r="O117" s="36">
        <f>H117</f>
        <v>119.73</v>
      </c>
      <c r="P117" s="36">
        <f>K117</f>
        <v>538.79</v>
      </c>
      <c r="Q117" s="36">
        <f>M117</f>
        <v>0</v>
      </c>
      <c r="W117">
        <f>IF(Source!BI93&lt;=1,H117, 0)</f>
        <v>0</v>
      </c>
      <c r="X117">
        <f>IF(Source!BI93=2,H117, 0)</f>
        <v>119.73</v>
      </c>
      <c r="Y117">
        <f>IF(Source!BI93=3,H117, 0)</f>
        <v>0</v>
      </c>
      <c r="Z117">
        <f>IF(Source!BI93=4,H117, 0)</f>
        <v>0</v>
      </c>
    </row>
    <row r="118" spans="1:26" ht="42.75" x14ac:dyDescent="0.2">
      <c r="A118" s="28">
        <v>15</v>
      </c>
      <c r="B118" s="28" t="str">
        <f>Source!E94</f>
        <v>14</v>
      </c>
      <c r="C118" s="29" t="str">
        <f>Source!F94</f>
        <v>110-0345</v>
      </c>
      <c r="D118" s="15" t="str">
        <f>Source!G94</f>
        <v>Изоляторы линейные подвесные стеклянные ПСД-70Е  (прим. Изолятор ПС-70)</v>
      </c>
      <c r="E118" s="31" t="str">
        <f>Source!H94</f>
        <v>шт.</v>
      </c>
      <c r="F118" s="10">
        <f>Source!I94</f>
        <v>6</v>
      </c>
      <c r="G118" s="22">
        <f>IF(Source!AK94&lt;&gt; 0, Source!AK94,Source!AL94 + Source!AM94 + Source!AO94)</f>
        <v>171.79</v>
      </c>
      <c r="H118" s="16"/>
      <c r="I118" s="22"/>
      <c r="J118" s="16" t="str">
        <f>Source!BO94</f>
        <v>110-0345</v>
      </c>
      <c r="K118" s="16"/>
      <c r="L118" s="22"/>
      <c r="M118" s="32"/>
      <c r="S118">
        <f>ROUND((Source!FX94/100)*((ROUND(Source!AF94*Source!I94, 2)+ROUND(Source!AE94*Source!I94, 2))), 2)</f>
        <v>0</v>
      </c>
      <c r="T118">
        <f>Source!X94</f>
        <v>0</v>
      </c>
      <c r="U118">
        <f>ROUND((Source!FY94/100)*((ROUND(Source!AF94*Source!I94, 2)+ROUND(Source!AE94*Source!I94, 2))), 2)</f>
        <v>0</v>
      </c>
      <c r="V118">
        <f>Source!Y94</f>
        <v>0</v>
      </c>
    </row>
    <row r="119" spans="1:26" ht="14.25" x14ac:dyDescent="0.2">
      <c r="A119" s="38"/>
      <c r="B119" s="38"/>
      <c r="C119" s="39"/>
      <c r="D119" s="40" t="s">
        <v>582</v>
      </c>
      <c r="E119" s="41"/>
      <c r="F119" s="42"/>
      <c r="G119" s="43">
        <f>Source!AL94</f>
        <v>171.79</v>
      </c>
      <c r="H119" s="44" t="str">
        <f>Source!DD94</f>
        <v/>
      </c>
      <c r="I119" s="43">
        <f>ROUND(Source!AC94*Source!I94, 2)</f>
        <v>1030.74</v>
      </c>
      <c r="J119" s="44"/>
      <c r="K119" s="44">
        <f>IF(Source!BC94&lt;&gt; 0, Source!BC94, 1)</f>
        <v>10.15</v>
      </c>
      <c r="L119" s="43">
        <f>Source!P94</f>
        <v>10462.01</v>
      </c>
      <c r="M119" s="55"/>
    </row>
    <row r="120" spans="1:26" ht="15" x14ac:dyDescent="0.25">
      <c r="H120" s="96">
        <f>ROUND(Source!AC94*Source!I94, 2)+ROUND(Source!AF94*Source!I94, 2)+ROUND((((Source!ET94)-(Source!EU94))+Source!AE94)*Source!I94, 2)</f>
        <v>1030.74</v>
      </c>
      <c r="I120" s="96"/>
      <c r="K120" s="96">
        <f>Source!O94</f>
        <v>10462.01</v>
      </c>
      <c r="L120" s="96"/>
      <c r="M120" s="37">
        <f>Source!U94</f>
        <v>0</v>
      </c>
      <c r="O120" s="36">
        <f>H120</f>
        <v>1030.74</v>
      </c>
      <c r="P120" s="36">
        <f>K120</f>
        <v>10462.01</v>
      </c>
      <c r="Q120" s="36">
        <f>M120</f>
        <v>0</v>
      </c>
      <c r="W120">
        <f>IF(Source!BI94&lt;=1,H120, 0)</f>
        <v>1030.74</v>
      </c>
      <c r="X120">
        <f>IF(Source!BI94=2,H120, 0)</f>
        <v>0</v>
      </c>
      <c r="Y120">
        <f>IF(Source!BI94=3,H120, 0)</f>
        <v>0</v>
      </c>
      <c r="Z120">
        <f>IF(Source!BI94=4,H120, 0)</f>
        <v>0</v>
      </c>
    </row>
    <row r="121" spans="1:26" ht="28.5" x14ac:dyDescent="0.2">
      <c r="A121" s="28">
        <v>16</v>
      </c>
      <c r="B121" s="28" t="str">
        <f>Source!E95</f>
        <v>15</v>
      </c>
      <c r="C121" s="29" t="str">
        <f>Source!F95</f>
        <v>509-5944</v>
      </c>
      <c r="D121" s="15" t="str">
        <f>Source!G95</f>
        <v>Зажим аппаратный прессуемый А1А-70-2</v>
      </c>
      <c r="E121" s="31" t="str">
        <f>Source!H95</f>
        <v>шт.</v>
      </c>
      <c r="F121" s="10">
        <f>Source!I95</f>
        <v>6</v>
      </c>
      <c r="G121" s="22">
        <f>IF(Source!AK95&lt;&gt; 0, Source!AK95,Source!AL95 + Source!AM95 + Source!AO95)</f>
        <v>17.260000000000002</v>
      </c>
      <c r="H121" s="16"/>
      <c r="I121" s="22"/>
      <c r="J121" s="16" t="str">
        <f>Source!BO95</f>
        <v>509-5944</v>
      </c>
      <c r="K121" s="16"/>
      <c r="L121" s="22"/>
      <c r="M121" s="32"/>
      <c r="S121">
        <f>ROUND((Source!FX95/100)*((ROUND(Source!AF95*Source!I95, 2)+ROUND(Source!AE95*Source!I95, 2))), 2)</f>
        <v>0</v>
      </c>
      <c r="T121">
        <f>Source!X95</f>
        <v>0</v>
      </c>
      <c r="U121">
        <f>ROUND((Source!FY95/100)*((ROUND(Source!AF95*Source!I95, 2)+ROUND(Source!AE95*Source!I95, 2))), 2)</f>
        <v>0</v>
      </c>
      <c r="V121">
        <f>Source!Y95</f>
        <v>0</v>
      </c>
    </row>
    <row r="122" spans="1:26" ht="14.25" x14ac:dyDescent="0.2">
      <c r="A122" s="38"/>
      <c r="B122" s="38"/>
      <c r="C122" s="39"/>
      <c r="D122" s="40" t="s">
        <v>582</v>
      </c>
      <c r="E122" s="41"/>
      <c r="F122" s="42"/>
      <c r="G122" s="43">
        <f>Source!AL95</f>
        <v>17.260000000000002</v>
      </c>
      <c r="H122" s="44" t="str">
        <f>Source!DD95</f>
        <v/>
      </c>
      <c r="I122" s="43">
        <f>ROUND(Source!AC95*Source!I95, 2)</f>
        <v>103.56</v>
      </c>
      <c r="J122" s="44"/>
      <c r="K122" s="44">
        <f>IF(Source!BC95&lt;&gt; 0, Source!BC95, 1)</f>
        <v>8.42</v>
      </c>
      <c r="L122" s="43">
        <f>Source!P95</f>
        <v>871.98</v>
      </c>
      <c r="M122" s="55"/>
    </row>
    <row r="123" spans="1:26" ht="15" x14ac:dyDescent="0.25">
      <c r="H123" s="96">
        <f>ROUND(Source!AC95*Source!I95, 2)+ROUND(Source!AF95*Source!I95, 2)+ROUND((((Source!ET95)-(Source!EU95))+Source!AE95)*Source!I95, 2)</f>
        <v>103.56</v>
      </c>
      <c r="I123" s="96"/>
      <c r="K123" s="96">
        <f>Source!O95</f>
        <v>871.98</v>
      </c>
      <c r="L123" s="96"/>
      <c r="M123" s="37">
        <f>Source!U95</f>
        <v>0</v>
      </c>
      <c r="O123" s="36">
        <f>H123</f>
        <v>103.56</v>
      </c>
      <c r="P123" s="36">
        <f>K123</f>
        <v>871.98</v>
      </c>
      <c r="Q123" s="36">
        <f>M123</f>
        <v>0</v>
      </c>
      <c r="W123">
        <f>IF(Source!BI95&lt;=1,H123, 0)</f>
        <v>0</v>
      </c>
      <c r="X123">
        <f>IF(Source!BI95=2,H123, 0)</f>
        <v>103.56</v>
      </c>
      <c r="Y123">
        <f>IF(Source!BI95=3,H123, 0)</f>
        <v>0</v>
      </c>
      <c r="Z123">
        <f>IF(Source!BI95=4,H123, 0)</f>
        <v>0</v>
      </c>
    </row>
    <row r="124" spans="1:26" ht="28.5" x14ac:dyDescent="0.2">
      <c r="A124" s="28">
        <v>17</v>
      </c>
      <c r="B124" s="28" t="str">
        <f>Source!E96</f>
        <v>16</v>
      </c>
      <c r="C124" s="29" t="str">
        <f>Source!F96</f>
        <v>Прайс-лист</v>
      </c>
      <c r="D124" s="15" t="s">
        <v>583</v>
      </c>
      <c r="E124" s="31" t="str">
        <f>Source!H96</f>
        <v>шт.</v>
      </c>
      <c r="F124" s="10">
        <f>Source!I96</f>
        <v>1</v>
      </c>
      <c r="G124" s="22">
        <f>IF(Source!AK96&lt;&gt; 0, Source!AK96,Source!AL96 + Source!AM96 + Source!AO96)</f>
        <v>583.33000000000004</v>
      </c>
      <c r="H124" s="16"/>
      <c r="I124" s="22"/>
      <c r="J124" s="16" t="str">
        <f>Source!BO96</f>
        <v/>
      </c>
      <c r="K124" s="16"/>
      <c r="L124" s="22"/>
      <c r="M124" s="32"/>
      <c r="S124">
        <f>ROUND((Source!FX96/100)*((ROUND(Source!AF96*Source!I96, 2)+ROUND(Source!AE96*Source!I96, 2))), 2)</f>
        <v>0</v>
      </c>
      <c r="T124">
        <f>Source!X96</f>
        <v>0</v>
      </c>
      <c r="U124">
        <f>ROUND((Source!FY96/100)*((ROUND(Source!AF96*Source!I96, 2)+ROUND(Source!AE96*Source!I96, 2))), 2)</f>
        <v>0</v>
      </c>
      <c r="V124">
        <f>Source!Y96</f>
        <v>0</v>
      </c>
    </row>
    <row r="125" spans="1:26" ht="14.25" x14ac:dyDescent="0.2">
      <c r="A125" s="38"/>
      <c r="B125" s="38"/>
      <c r="C125" s="39"/>
      <c r="D125" s="40" t="s">
        <v>582</v>
      </c>
      <c r="E125" s="41"/>
      <c r="F125" s="42"/>
      <c r="G125" s="43">
        <f>Source!AL96</f>
        <v>583.33000000000004</v>
      </c>
      <c r="H125" s="44" t="str">
        <f>Source!DD96</f>
        <v/>
      </c>
      <c r="I125" s="43">
        <f>ROUND(Source!AC96*Source!I96, 2)</f>
        <v>583.33000000000004</v>
      </c>
      <c r="J125" s="44"/>
      <c r="K125" s="44">
        <f>IF(Source!BC96&lt;&gt; 0, Source!BC96, 1)</f>
        <v>1</v>
      </c>
      <c r="L125" s="43">
        <f>Source!P96</f>
        <v>583.33000000000004</v>
      </c>
      <c r="M125" s="55"/>
    </row>
    <row r="126" spans="1:26" ht="15" x14ac:dyDescent="0.25">
      <c r="H126" s="96">
        <f>ROUND(Source!AC96*Source!I96, 2)+ROUND(Source!AF96*Source!I96, 2)+ROUND((((Source!ET96)-(Source!EU96))+Source!AE96)*Source!I96, 2)</f>
        <v>583.33000000000004</v>
      </c>
      <c r="I126" s="96"/>
      <c r="K126" s="96">
        <f>Source!O96</f>
        <v>583.33000000000004</v>
      </c>
      <c r="L126" s="96"/>
      <c r="M126" s="37">
        <f>Source!U96</f>
        <v>0</v>
      </c>
      <c r="O126" s="36">
        <f>H126</f>
        <v>583.33000000000004</v>
      </c>
      <c r="P126" s="36">
        <f>K126</f>
        <v>583.33000000000004</v>
      </c>
      <c r="Q126" s="36">
        <f>M126</f>
        <v>0</v>
      </c>
      <c r="W126">
        <f>IF(Source!BI96&lt;=1,H126, 0)</f>
        <v>583.33000000000004</v>
      </c>
      <c r="X126">
        <f>IF(Source!BI96=2,H126, 0)</f>
        <v>0</v>
      </c>
      <c r="Y126">
        <f>IF(Source!BI96=3,H126, 0)</f>
        <v>0</v>
      </c>
      <c r="Z126">
        <f>IF(Source!BI96=4,H126, 0)</f>
        <v>0</v>
      </c>
    </row>
    <row r="127" spans="1:26" ht="28.5" x14ac:dyDescent="0.2">
      <c r="A127" s="28">
        <v>18</v>
      </c>
      <c r="B127" s="28" t="str">
        <f>Source!E97</f>
        <v>17</v>
      </c>
      <c r="C127" s="29" t="str">
        <f>Source!F97</f>
        <v>33-04-030-1</v>
      </c>
      <c r="D127" s="15" t="str">
        <f>Source!G97</f>
        <v>Установка разрядников с помощью механизмов</v>
      </c>
      <c r="E127" s="31" t="str">
        <f>Source!H97</f>
        <v>1 КОМПЛ.</v>
      </c>
      <c r="F127" s="10">
        <f>Source!I97</f>
        <v>1</v>
      </c>
      <c r="G127" s="22">
        <f>IF(Source!AK97&lt;&gt; 0, Source!AK97,Source!AL97 + Source!AM97 + Source!AO97)</f>
        <v>141.72</v>
      </c>
      <c r="H127" s="16"/>
      <c r="I127" s="22"/>
      <c r="J127" s="16" t="str">
        <f>Source!BO97</f>
        <v>33-04-030-1</v>
      </c>
      <c r="K127" s="16"/>
      <c r="L127" s="22"/>
      <c r="M127" s="32"/>
      <c r="S127">
        <f>ROUND((Source!FX97/100)*((ROUND(Source!AF97*Source!I97, 2)+ROUND(Source!AE97*Source!I97, 2))), 2)</f>
        <v>45.58</v>
      </c>
      <c r="T127">
        <f>Source!X97</f>
        <v>1607.52</v>
      </c>
      <c r="U127">
        <f>ROUND((Source!FY97/100)*((ROUND(Source!AF97*Source!I97, 2)+ROUND(Source!AE97*Source!I97, 2))), 2)</f>
        <v>26.55</v>
      </c>
      <c r="V127">
        <f>Source!Y97</f>
        <v>936.42</v>
      </c>
    </row>
    <row r="128" spans="1:26" ht="14.25" x14ac:dyDescent="0.2">
      <c r="A128" s="28"/>
      <c r="B128" s="28"/>
      <c r="C128" s="29"/>
      <c r="D128" s="15" t="s">
        <v>575</v>
      </c>
      <c r="E128" s="31"/>
      <c r="F128" s="10"/>
      <c r="G128" s="22">
        <f>Source!AO97</f>
        <v>35.520000000000003</v>
      </c>
      <c r="H128" s="16" t="str">
        <f>Source!DG97</f>
        <v/>
      </c>
      <c r="I128" s="22">
        <f>ROUND(Source!AF97*Source!I97, 2)</f>
        <v>35.520000000000003</v>
      </c>
      <c r="J128" s="16"/>
      <c r="K128" s="16">
        <f>IF(Source!BA97&lt;&gt; 0, Source!BA97, 1)</f>
        <v>35.270000000000003</v>
      </c>
      <c r="L128" s="22">
        <f>Source!S97</f>
        <v>1252.79</v>
      </c>
      <c r="M128" s="32"/>
      <c r="R128">
        <f>I128</f>
        <v>35.520000000000003</v>
      </c>
    </row>
    <row r="129" spans="1:26" ht="14.25" x14ac:dyDescent="0.2">
      <c r="A129" s="28"/>
      <c r="B129" s="28"/>
      <c r="C129" s="29"/>
      <c r="D129" s="15" t="s">
        <v>59</v>
      </c>
      <c r="E129" s="31"/>
      <c r="F129" s="10"/>
      <c r="G129" s="22">
        <f>Source!AM97</f>
        <v>103.26</v>
      </c>
      <c r="H129" s="16" t="str">
        <f>Source!DE97</f>
        <v/>
      </c>
      <c r="I129" s="22">
        <f>ROUND((((Source!ET97)-(Source!EU97))+Source!AE97)*Source!I97, 2)</f>
        <v>103.26</v>
      </c>
      <c r="J129" s="16"/>
      <c r="K129" s="16">
        <f>IF(Source!BB97&lt;&gt; 0, Source!BB97, 1)</f>
        <v>11.22</v>
      </c>
      <c r="L129" s="22">
        <f>Source!Q97</f>
        <v>1158.58</v>
      </c>
      <c r="M129" s="32"/>
    </row>
    <row r="130" spans="1:26" ht="14.25" x14ac:dyDescent="0.2">
      <c r="A130" s="28"/>
      <c r="B130" s="28"/>
      <c r="C130" s="29"/>
      <c r="D130" s="15" t="s">
        <v>576</v>
      </c>
      <c r="E130" s="31"/>
      <c r="F130" s="10"/>
      <c r="G130" s="22">
        <f>Source!AN97</f>
        <v>8.73</v>
      </c>
      <c r="H130" s="16" t="str">
        <f>Source!DF97</f>
        <v/>
      </c>
      <c r="I130" s="22">
        <f>ROUND(Source!AE97*Source!I97, 2)</f>
        <v>8.73</v>
      </c>
      <c r="J130" s="16"/>
      <c r="K130" s="16">
        <f>IF(Source!BS97&lt;&gt; 0, Source!BS97, 1)</f>
        <v>35.270000000000003</v>
      </c>
      <c r="L130" s="22">
        <f>Source!R97</f>
        <v>307.91000000000003</v>
      </c>
      <c r="M130" s="32"/>
      <c r="R130">
        <f>I130</f>
        <v>8.73</v>
      </c>
    </row>
    <row r="131" spans="1:26" ht="14.25" x14ac:dyDescent="0.2">
      <c r="A131" s="28"/>
      <c r="B131" s="28"/>
      <c r="C131" s="29"/>
      <c r="D131" s="15" t="s">
        <v>582</v>
      </c>
      <c r="E131" s="31"/>
      <c r="F131" s="10"/>
      <c r="G131" s="22">
        <f>Source!AL97</f>
        <v>2.94</v>
      </c>
      <c r="H131" s="16" t="str">
        <f>Source!DD97</f>
        <v/>
      </c>
      <c r="I131" s="22">
        <f>ROUND(Source!AC97*Source!I97, 2)</f>
        <v>2.94</v>
      </c>
      <c r="J131" s="16"/>
      <c r="K131" s="16">
        <f>IF(Source!BC97&lt;&gt; 0, Source!BC97, 1)</f>
        <v>13.66</v>
      </c>
      <c r="L131" s="22">
        <f>Source!P97</f>
        <v>40.159999999999997</v>
      </c>
      <c r="M131" s="32"/>
    </row>
    <row r="132" spans="1:26" ht="14.25" x14ac:dyDescent="0.2">
      <c r="A132" s="28"/>
      <c r="B132" s="28"/>
      <c r="C132" s="29"/>
      <c r="D132" s="15" t="s">
        <v>577</v>
      </c>
      <c r="E132" s="31" t="s">
        <v>578</v>
      </c>
      <c r="F132" s="10">
        <f>Source!BZ97</f>
        <v>103</v>
      </c>
      <c r="G132" s="33"/>
      <c r="H132" s="16"/>
      <c r="I132" s="22">
        <f>SUM(S127:S134)</f>
        <v>45.58</v>
      </c>
      <c r="J132" s="34"/>
      <c r="K132" s="15">
        <f>Source!AT97</f>
        <v>103</v>
      </c>
      <c r="L132" s="22">
        <f>SUM(T127:T134)</f>
        <v>1607.52</v>
      </c>
      <c r="M132" s="32"/>
    </row>
    <row r="133" spans="1:26" ht="14.25" x14ac:dyDescent="0.2">
      <c r="A133" s="28"/>
      <c r="B133" s="28"/>
      <c r="C133" s="29"/>
      <c r="D133" s="15" t="s">
        <v>579</v>
      </c>
      <c r="E133" s="31" t="s">
        <v>578</v>
      </c>
      <c r="F133" s="10">
        <f>Source!CA97</f>
        <v>60</v>
      </c>
      <c r="G133" s="33"/>
      <c r="H133" s="16"/>
      <c r="I133" s="22">
        <f>SUM(U127:U134)</f>
        <v>26.55</v>
      </c>
      <c r="J133" s="34"/>
      <c r="K133" s="15">
        <f>Source!AU97</f>
        <v>60</v>
      </c>
      <c r="L133" s="22">
        <f>SUM(V127:V134)</f>
        <v>936.42</v>
      </c>
      <c r="M133" s="32"/>
    </row>
    <row r="134" spans="1:26" ht="14.25" x14ac:dyDescent="0.2">
      <c r="A134" s="38"/>
      <c r="B134" s="38"/>
      <c r="C134" s="39"/>
      <c r="D134" s="40" t="s">
        <v>580</v>
      </c>
      <c r="E134" s="41" t="s">
        <v>581</v>
      </c>
      <c r="F134" s="42">
        <f>Source!AQ97</f>
        <v>4.29</v>
      </c>
      <c r="G134" s="43"/>
      <c r="H134" s="44" t="str">
        <f>Source!DI97</f>
        <v/>
      </c>
      <c r="I134" s="43"/>
      <c r="J134" s="44"/>
      <c r="K134" s="44"/>
      <c r="L134" s="43"/>
      <c r="M134" s="45">
        <f>Source!U97</f>
        <v>4.29</v>
      </c>
    </row>
    <row r="135" spans="1:26" ht="15" x14ac:dyDescent="0.25">
      <c r="H135" s="96">
        <f>ROUND(Source!AC97*Source!I97, 2)+ROUND(Source!AF97*Source!I97, 2)+ROUND((((Source!ET97)-(Source!EU97))+Source!AE97)*Source!I97, 2)+SUM(I132:I133)</f>
        <v>213.85</v>
      </c>
      <c r="I135" s="96"/>
      <c r="K135" s="96">
        <f>Source!O97+SUM(L132:L133)</f>
        <v>4995.47</v>
      </c>
      <c r="L135" s="96"/>
      <c r="M135" s="37">
        <f>Source!U97</f>
        <v>4.29</v>
      </c>
      <c r="O135" s="36">
        <f>H135</f>
        <v>213.85</v>
      </c>
      <c r="P135" s="36">
        <f>K135</f>
        <v>4995.47</v>
      </c>
      <c r="Q135" s="36">
        <f>M135</f>
        <v>4.29</v>
      </c>
      <c r="W135">
        <f>IF(Source!BI97&lt;=1,H135, 0)</f>
        <v>213.85</v>
      </c>
      <c r="X135">
        <f>IF(Source!BI97=2,H135, 0)</f>
        <v>0</v>
      </c>
      <c r="Y135">
        <f>IF(Source!BI97=3,H135, 0)</f>
        <v>0</v>
      </c>
      <c r="Z135">
        <f>IF(Source!BI97=4,H135, 0)</f>
        <v>0</v>
      </c>
    </row>
    <row r="136" spans="1:26" ht="28.5" x14ac:dyDescent="0.2">
      <c r="A136" s="28">
        <v>19</v>
      </c>
      <c r="B136" s="28" t="str">
        <f>Source!E103</f>
        <v>18</v>
      </c>
      <c r="C136" s="29" t="str">
        <f>Source!F103</f>
        <v>204-0003</v>
      </c>
      <c r="D136" s="15" t="str">
        <f>Source!G103</f>
        <v>Горячекатаная арматурная сталь гладкая класса А-I, диаметром 10 мм</v>
      </c>
      <c r="E136" s="31" t="str">
        <f>Source!H103</f>
        <v>т</v>
      </c>
      <c r="F136" s="10">
        <f>Source!I103</f>
        <v>5.169E-3</v>
      </c>
      <c r="G136" s="22">
        <f>IF(Source!AK103&lt;&gt; 0, Source!AK103,Source!AL103 + Source!AM103 + Source!AO103)</f>
        <v>6813</v>
      </c>
      <c r="H136" s="16"/>
      <c r="I136" s="22"/>
      <c r="J136" s="16" t="str">
        <f>Source!BO103</f>
        <v>204-0003</v>
      </c>
      <c r="K136" s="16"/>
      <c r="L136" s="22"/>
      <c r="M136" s="32"/>
      <c r="S136">
        <f>ROUND((Source!FX103/100)*((ROUND(Source!AF103*Source!I103, 2)+ROUND(Source!AE103*Source!I103, 2))), 2)</f>
        <v>0</v>
      </c>
      <c r="T136">
        <f>Source!X103</f>
        <v>0</v>
      </c>
      <c r="U136">
        <f>ROUND((Source!FY103/100)*((ROUND(Source!AF103*Source!I103, 2)+ROUND(Source!AE103*Source!I103, 2))), 2)</f>
        <v>0</v>
      </c>
      <c r="V136">
        <f>Source!Y103</f>
        <v>0</v>
      </c>
    </row>
    <row r="137" spans="1:26" ht="14.25" x14ac:dyDescent="0.2">
      <c r="A137" s="38"/>
      <c r="B137" s="38"/>
      <c r="C137" s="39"/>
      <c r="D137" s="40" t="s">
        <v>582</v>
      </c>
      <c r="E137" s="41"/>
      <c r="F137" s="42"/>
      <c r="G137" s="43">
        <f>Source!AL103</f>
        <v>6813</v>
      </c>
      <c r="H137" s="44" t="str">
        <f>Source!DD103</f>
        <v/>
      </c>
      <c r="I137" s="43">
        <f>ROUND(Source!AC103*Source!I103, 2)</f>
        <v>35.22</v>
      </c>
      <c r="J137" s="44"/>
      <c r="K137" s="44">
        <f>IF(Source!BC103&lt;&gt; 0, Source!BC103, 1)</f>
        <v>10.43</v>
      </c>
      <c r="L137" s="43">
        <f>Source!P103</f>
        <v>367.31</v>
      </c>
      <c r="M137" s="55"/>
    </row>
    <row r="138" spans="1:26" ht="15" x14ac:dyDescent="0.25">
      <c r="H138" s="96">
        <f>ROUND(Source!AC103*Source!I103, 2)+ROUND(Source!AF103*Source!I103, 2)+ROUND((((Source!ET103)-(Source!EU103))+Source!AE103)*Source!I103, 2)</f>
        <v>35.22</v>
      </c>
      <c r="I138" s="96"/>
      <c r="K138" s="96">
        <f>Source!O103</f>
        <v>367.31</v>
      </c>
      <c r="L138" s="96"/>
      <c r="M138" s="37">
        <f>Source!U103</f>
        <v>0</v>
      </c>
      <c r="O138" s="36">
        <f>H138</f>
        <v>35.22</v>
      </c>
      <c r="P138" s="36">
        <f>K138</f>
        <v>367.31</v>
      </c>
      <c r="Q138" s="36">
        <f>M138</f>
        <v>0</v>
      </c>
      <c r="W138">
        <f>IF(Source!BI103&lt;=1,H138, 0)</f>
        <v>35.22</v>
      </c>
      <c r="X138">
        <f>IF(Source!BI103=2,H138, 0)</f>
        <v>0</v>
      </c>
      <c r="Y138">
        <f>IF(Source!BI103=3,H138, 0)</f>
        <v>0</v>
      </c>
      <c r="Z138">
        <f>IF(Source!BI103=4,H138, 0)</f>
        <v>0</v>
      </c>
    </row>
    <row r="139" spans="1:26" ht="42.75" x14ac:dyDescent="0.2">
      <c r="A139" s="28">
        <v>20</v>
      </c>
      <c r="B139" s="28" t="str">
        <f>Source!E104</f>
        <v>19</v>
      </c>
      <c r="C139" s="29" t="str">
        <f>Source!F104</f>
        <v>33-03-004-1</v>
      </c>
      <c r="D139" s="15" t="str">
        <f>Source!G104</f>
        <v>Забивка вертикальных заземлителей механизированная на глубину до 5 м</v>
      </c>
      <c r="E139" s="31" t="str">
        <f>Source!H104</f>
        <v>1 заземлитель</v>
      </c>
      <c r="F139" s="10">
        <f>Source!I104</f>
        <v>2</v>
      </c>
      <c r="G139" s="22">
        <f>IF(Source!AK104&lt;&gt; 0, Source!AK104,Source!AL104 + Source!AM104 + Source!AO104)</f>
        <v>140.05000000000001</v>
      </c>
      <c r="H139" s="16"/>
      <c r="I139" s="22"/>
      <c r="J139" s="16" t="str">
        <f>Source!BO104</f>
        <v>33-03-004-1</v>
      </c>
      <c r="K139" s="16"/>
      <c r="L139" s="22"/>
      <c r="M139" s="32"/>
      <c r="S139">
        <f>ROUND((Source!FX104/100)*((ROUND(Source!AF104*Source!I104, 2)+ROUND(Source!AE104*Source!I104, 2))), 2)</f>
        <v>24.49</v>
      </c>
      <c r="T139">
        <f>Source!X104</f>
        <v>863.88</v>
      </c>
      <c r="U139">
        <f>ROUND((Source!FY104/100)*((ROUND(Source!AF104*Source!I104, 2)+ROUND(Source!AE104*Source!I104, 2))), 2)</f>
        <v>14.27</v>
      </c>
      <c r="V139">
        <f>Source!Y104</f>
        <v>503.23</v>
      </c>
    </row>
    <row r="140" spans="1:26" ht="14.25" x14ac:dyDescent="0.2">
      <c r="A140" s="28"/>
      <c r="B140" s="28"/>
      <c r="C140" s="29"/>
      <c r="D140" s="15" t="s">
        <v>575</v>
      </c>
      <c r="E140" s="31"/>
      <c r="F140" s="10"/>
      <c r="G140" s="22">
        <f>Source!AO104</f>
        <v>6.4</v>
      </c>
      <c r="H140" s="16" t="str">
        <f>Source!DG104</f>
        <v/>
      </c>
      <c r="I140" s="22">
        <f>ROUND(Source!AF104*Source!I104, 2)</f>
        <v>12.8</v>
      </c>
      <c r="J140" s="16"/>
      <c r="K140" s="16">
        <f>IF(Source!BA104&lt;&gt; 0, Source!BA104, 1)</f>
        <v>35.270000000000003</v>
      </c>
      <c r="L140" s="22">
        <f>Source!S104</f>
        <v>451.46</v>
      </c>
      <c r="M140" s="32"/>
      <c r="R140">
        <f>I140</f>
        <v>12.8</v>
      </c>
    </row>
    <row r="141" spans="1:26" ht="14.25" x14ac:dyDescent="0.2">
      <c r="A141" s="28"/>
      <c r="B141" s="28"/>
      <c r="C141" s="29"/>
      <c r="D141" s="15" t="s">
        <v>59</v>
      </c>
      <c r="E141" s="31"/>
      <c r="F141" s="10"/>
      <c r="G141" s="22">
        <f>Source!AM104</f>
        <v>100.39</v>
      </c>
      <c r="H141" s="16" t="str">
        <f>Source!DE104</f>
        <v/>
      </c>
      <c r="I141" s="22">
        <f>ROUND((((Source!ET104)-(Source!EU104))+Source!AE104)*Source!I104, 2)</f>
        <v>200.78</v>
      </c>
      <c r="J141" s="16"/>
      <c r="K141" s="16">
        <f>IF(Source!BB104&lt;&gt; 0, Source!BB104, 1)</f>
        <v>9.14</v>
      </c>
      <c r="L141" s="22">
        <f>Source!Q104</f>
        <v>1835.13</v>
      </c>
      <c r="M141" s="32"/>
    </row>
    <row r="142" spans="1:26" ht="14.25" x14ac:dyDescent="0.2">
      <c r="A142" s="28"/>
      <c r="B142" s="28"/>
      <c r="C142" s="29"/>
      <c r="D142" s="15" t="s">
        <v>576</v>
      </c>
      <c r="E142" s="31"/>
      <c r="F142" s="10"/>
      <c r="G142" s="22">
        <f>Source!AN104</f>
        <v>5.49</v>
      </c>
      <c r="H142" s="16" t="str">
        <f>Source!DF104</f>
        <v/>
      </c>
      <c r="I142" s="22">
        <f>ROUND(Source!AE104*Source!I104, 2)</f>
        <v>10.98</v>
      </c>
      <c r="J142" s="16"/>
      <c r="K142" s="16">
        <f>IF(Source!BS104&lt;&gt; 0, Source!BS104, 1)</f>
        <v>35.270000000000003</v>
      </c>
      <c r="L142" s="22">
        <f>Source!R104</f>
        <v>387.26</v>
      </c>
      <c r="M142" s="32"/>
      <c r="R142">
        <f>I142</f>
        <v>10.98</v>
      </c>
    </row>
    <row r="143" spans="1:26" ht="14.25" x14ac:dyDescent="0.2">
      <c r="A143" s="28"/>
      <c r="B143" s="28"/>
      <c r="C143" s="29"/>
      <c r="D143" s="15" t="s">
        <v>582</v>
      </c>
      <c r="E143" s="31"/>
      <c r="F143" s="10"/>
      <c r="G143" s="22">
        <f>Source!AL104</f>
        <v>33.26</v>
      </c>
      <c r="H143" s="16" t="str">
        <f>Source!DD104</f>
        <v/>
      </c>
      <c r="I143" s="22">
        <f>ROUND(Source!AC104*Source!I104, 2)</f>
        <v>66.52</v>
      </c>
      <c r="J143" s="16"/>
      <c r="K143" s="16">
        <f>IF(Source!BC104&lt;&gt; 0, Source!BC104, 1)</f>
        <v>10.55</v>
      </c>
      <c r="L143" s="22">
        <f>Source!P104</f>
        <v>701.79</v>
      </c>
      <c r="M143" s="32"/>
    </row>
    <row r="144" spans="1:26" ht="14.25" x14ac:dyDescent="0.2">
      <c r="A144" s="28"/>
      <c r="B144" s="28"/>
      <c r="C144" s="29"/>
      <c r="D144" s="15" t="s">
        <v>577</v>
      </c>
      <c r="E144" s="31" t="s">
        <v>578</v>
      </c>
      <c r="F144" s="10">
        <f>Source!BZ104</f>
        <v>103</v>
      </c>
      <c r="G144" s="33"/>
      <c r="H144" s="16"/>
      <c r="I144" s="22">
        <f>SUM(S139:S147)</f>
        <v>24.49</v>
      </c>
      <c r="J144" s="34"/>
      <c r="K144" s="15">
        <f>Source!AT104</f>
        <v>103</v>
      </c>
      <c r="L144" s="22">
        <f>SUM(T139:T147)</f>
        <v>863.88</v>
      </c>
      <c r="M144" s="32"/>
    </row>
    <row r="145" spans="1:28" ht="14.25" x14ac:dyDescent="0.2">
      <c r="A145" s="28"/>
      <c r="B145" s="28"/>
      <c r="C145" s="29"/>
      <c r="D145" s="15" t="s">
        <v>579</v>
      </c>
      <c r="E145" s="31" t="s">
        <v>578</v>
      </c>
      <c r="F145" s="10">
        <f>Source!CA104</f>
        <v>60</v>
      </c>
      <c r="G145" s="33"/>
      <c r="H145" s="16"/>
      <c r="I145" s="22">
        <f>SUM(U139:U147)</f>
        <v>14.27</v>
      </c>
      <c r="J145" s="34"/>
      <c r="K145" s="15">
        <f>Source!AU104</f>
        <v>60</v>
      </c>
      <c r="L145" s="22">
        <f>SUM(V139:V147)</f>
        <v>503.23</v>
      </c>
      <c r="M145" s="32"/>
    </row>
    <row r="146" spans="1:28" ht="14.25" x14ac:dyDescent="0.2">
      <c r="A146" s="28"/>
      <c r="B146" s="28"/>
      <c r="C146" s="29"/>
      <c r="D146" s="15" t="s">
        <v>580</v>
      </c>
      <c r="E146" s="31" t="s">
        <v>581</v>
      </c>
      <c r="F146" s="10">
        <f>Source!AQ104</f>
        <v>0.81</v>
      </c>
      <c r="G146" s="22"/>
      <c r="H146" s="16" t="str">
        <f>Source!DI104</f>
        <v/>
      </c>
      <c r="I146" s="22"/>
      <c r="J146" s="16"/>
      <c r="K146" s="16"/>
      <c r="L146" s="22"/>
      <c r="M146" s="35">
        <f>Source!U104</f>
        <v>1.62</v>
      </c>
    </row>
    <row r="147" spans="1:28" ht="42.75" x14ac:dyDescent="0.2">
      <c r="A147" s="50">
        <v>21</v>
      </c>
      <c r="B147" s="50" t="str">
        <f>Source!E105</f>
        <v>19,1</v>
      </c>
      <c r="C147" s="50" t="str">
        <f>Source!F105</f>
        <v>204-0004</v>
      </c>
      <c r="D147" s="50" t="s">
        <v>584</v>
      </c>
      <c r="E147" s="51" t="str">
        <f>Source!H105</f>
        <v>т</v>
      </c>
      <c r="F147" s="52">
        <f>Source!I105</f>
        <v>-0.01</v>
      </c>
      <c r="G147" s="53">
        <f>Source!AK105</f>
        <v>6594</v>
      </c>
      <c r="H147" s="54" t="s">
        <v>3</v>
      </c>
      <c r="I147" s="53">
        <f>ROUND(Source!AC105*Source!I105, 2)+ROUND((((Source!ET105)-(Source!EU105))+Source!AE105)*Source!I105, 2)+ROUND(Source!AF105*Source!I105, 2)</f>
        <v>-65.94</v>
      </c>
      <c r="J147" s="51"/>
      <c r="K147" s="51">
        <f>IF(Source!BC105&lt;&gt; 0, Source!BC105, 1)</f>
        <v>10.53</v>
      </c>
      <c r="L147" s="53">
        <f>Source!O105</f>
        <v>-694.35</v>
      </c>
      <c r="M147" s="53"/>
      <c r="S147">
        <f>ROUND((Source!FX105/100)*((ROUND(Source!AF105*Source!I105, 2)+ROUND(Source!AE105*Source!I105, 2))), 2)</f>
        <v>0</v>
      </c>
      <c r="T147">
        <f>Source!X105</f>
        <v>0</v>
      </c>
      <c r="U147">
        <f>ROUND((Source!FY105/100)*((ROUND(Source!AF105*Source!I105, 2)+ROUND(Source!AE105*Source!I105, 2))), 2)</f>
        <v>0</v>
      </c>
      <c r="V147">
        <f>Source!Y105</f>
        <v>0</v>
      </c>
      <c r="Y147">
        <f>IF(Source!BI105=3,I147, 0)</f>
        <v>0</v>
      </c>
      <c r="AA147">
        <f>ROUND(Source!AC105*Source!I105, 2)+ROUND((((Source!ET105)-(Source!EU105))+Source!AE105)*Source!I105, 2)+ROUND(Source!AF105*Source!I105, 2)</f>
        <v>-65.94</v>
      </c>
      <c r="AB147">
        <f>Source!O105</f>
        <v>-694.35</v>
      </c>
    </row>
    <row r="148" spans="1:28" ht="15" x14ac:dyDescent="0.25">
      <c r="H148" s="96">
        <f>ROUND(Source!AC104*Source!I104, 2)+ROUND(Source!AF104*Source!I104, 2)+ROUND((((Source!ET104)-(Source!EU104))+Source!AE104)*Source!I104, 2)+SUM(I144:I145)+SUM(AA147:AA147)</f>
        <v>252.92000000000002</v>
      </c>
      <c r="I148" s="96"/>
      <c r="K148" s="96">
        <f>Source!O104+SUM(L144:L145)+SUM(AB147:AB147)</f>
        <v>3661.14</v>
      </c>
      <c r="L148" s="96"/>
      <c r="M148" s="37">
        <f>Source!U104</f>
        <v>1.62</v>
      </c>
      <c r="O148" s="36">
        <f>H148</f>
        <v>252.92000000000002</v>
      </c>
      <c r="P148" s="36">
        <f>K148</f>
        <v>3661.14</v>
      </c>
      <c r="Q148" s="36">
        <f>M148</f>
        <v>1.62</v>
      </c>
      <c r="W148">
        <f>IF(Source!BI104&lt;=1,H148, 0)</f>
        <v>252.92000000000002</v>
      </c>
      <c r="X148">
        <f>IF(Source!BI104=2,H148, 0)</f>
        <v>0</v>
      </c>
      <c r="Y148">
        <f>IF(Source!BI104=3,H148, 0)</f>
        <v>0</v>
      </c>
      <c r="Z148">
        <f>IF(Source!BI104=4,H148, 0)</f>
        <v>0</v>
      </c>
    </row>
    <row r="149" spans="1:28" ht="28.5" x14ac:dyDescent="0.2">
      <c r="A149" s="28">
        <v>22</v>
      </c>
      <c r="B149" s="28" t="str">
        <f>Source!E106</f>
        <v>20</v>
      </c>
      <c r="C149" s="29" t="str">
        <f>Source!F106</f>
        <v>101-1641</v>
      </c>
      <c r="D149" s="15" t="str">
        <f>Source!G106</f>
        <v>Сталь угловая равнополочная, марка стали ВСт3кп2, размером 50x50x5 мм</v>
      </c>
      <c r="E149" s="31" t="str">
        <f>Source!H106</f>
        <v>т</v>
      </c>
      <c r="F149" s="10">
        <f>Source!I106</f>
        <v>2.223E-2</v>
      </c>
      <c r="G149" s="22">
        <f>IF(Source!AK106&lt;&gt; 0, Source!AK106,Source!AL106 + Source!AM106 + Source!AO106)</f>
        <v>6074</v>
      </c>
      <c r="H149" s="16"/>
      <c r="I149" s="22"/>
      <c r="J149" s="16" t="str">
        <f>Source!BO106</f>
        <v>101-1641</v>
      </c>
      <c r="K149" s="16"/>
      <c r="L149" s="22"/>
      <c r="M149" s="32"/>
      <c r="S149">
        <f>ROUND((Source!FX106/100)*((ROUND(Source!AF106*Source!I106, 2)+ROUND(Source!AE106*Source!I106, 2))), 2)</f>
        <v>0</v>
      </c>
      <c r="T149">
        <f>Source!X106</f>
        <v>0</v>
      </c>
      <c r="U149">
        <f>ROUND((Source!FY106/100)*((ROUND(Source!AF106*Source!I106, 2)+ROUND(Source!AE106*Source!I106, 2))), 2)</f>
        <v>0</v>
      </c>
      <c r="V149">
        <f>Source!Y106</f>
        <v>0</v>
      </c>
    </row>
    <row r="150" spans="1:28" x14ac:dyDescent="0.2">
      <c r="D150" s="46" t="str">
        <f>"Объем: "&amp;Source!I106&amp;"=0,011115*"&amp;"2"</f>
        <v>Объем: 0,02223=0,011115*2</v>
      </c>
    </row>
    <row r="151" spans="1:28" ht="14.25" x14ac:dyDescent="0.2">
      <c r="A151" s="38"/>
      <c r="B151" s="38"/>
      <c r="C151" s="39"/>
      <c r="D151" s="40" t="s">
        <v>582</v>
      </c>
      <c r="E151" s="41"/>
      <c r="F151" s="42"/>
      <c r="G151" s="43">
        <f>Source!AL106</f>
        <v>6074</v>
      </c>
      <c r="H151" s="44" t="str">
        <f>Source!DD106</f>
        <v/>
      </c>
      <c r="I151" s="43">
        <f>ROUND(Source!AC106*Source!I106, 2)</f>
        <v>135.03</v>
      </c>
      <c r="J151" s="44"/>
      <c r="K151" s="44">
        <f>IF(Source!BC106&lt;&gt; 0, Source!BC106, 1)</f>
        <v>13.67</v>
      </c>
      <c r="L151" s="43">
        <f>Source!P106</f>
        <v>1845.79</v>
      </c>
      <c r="M151" s="55"/>
    </row>
    <row r="152" spans="1:28" ht="15" x14ac:dyDescent="0.25">
      <c r="H152" s="96">
        <f>ROUND(Source!AC106*Source!I106, 2)+ROUND(Source!AF106*Source!I106, 2)+ROUND((((Source!ET106)-(Source!EU106))+Source!AE106)*Source!I106, 2)</f>
        <v>135.03</v>
      </c>
      <c r="I152" s="96"/>
      <c r="K152" s="96">
        <f>Source!O106</f>
        <v>1845.79</v>
      </c>
      <c r="L152" s="96"/>
      <c r="M152" s="37">
        <f>Source!U106</f>
        <v>0</v>
      </c>
      <c r="O152" s="36">
        <f>H152</f>
        <v>135.03</v>
      </c>
      <c r="P152" s="36">
        <f>K152</f>
        <v>1845.79</v>
      </c>
      <c r="Q152" s="36">
        <f>M152</f>
        <v>0</v>
      </c>
      <c r="W152">
        <f>IF(Source!BI106&lt;=1,H152, 0)</f>
        <v>135.03</v>
      </c>
      <c r="X152">
        <f>IF(Source!BI106=2,H152, 0)</f>
        <v>0</v>
      </c>
      <c r="Y152">
        <f>IF(Source!BI106=3,H152, 0)</f>
        <v>0</v>
      </c>
      <c r="Z152">
        <f>IF(Source!BI106=4,H152, 0)</f>
        <v>0</v>
      </c>
    </row>
    <row r="153" spans="1:28" ht="42.75" x14ac:dyDescent="0.2">
      <c r="A153" s="28">
        <v>23</v>
      </c>
      <c r="B153" s="28" t="str">
        <f>Source!E107</f>
        <v>21</v>
      </c>
      <c r="C153" s="29" t="str">
        <f>Source!F107</f>
        <v>33-04-031-3</v>
      </c>
      <c r="D153" s="15" t="str">
        <f>Source!G107</f>
        <v>Установка оборудования пунктов секционирования на железобетонных стойках опор ВЛ</v>
      </c>
      <c r="E153" s="31" t="str">
        <f>Source!H107</f>
        <v>1 ПУНКТ</v>
      </c>
      <c r="F153" s="10">
        <f>Source!I107</f>
        <v>1</v>
      </c>
      <c r="G153" s="22">
        <f>IF(Source!AK107&lt;&gt; 0, Source!AK107,Source!AL107 + Source!AM107 + Source!AO107)</f>
        <v>1214.69</v>
      </c>
      <c r="H153" s="16"/>
      <c r="I153" s="22"/>
      <c r="J153" s="16" t="str">
        <f>Source!BO107</f>
        <v>33-04-031-3</v>
      </c>
      <c r="K153" s="16"/>
      <c r="L153" s="22"/>
      <c r="M153" s="32"/>
      <c r="S153">
        <f>ROUND((Source!FX107/100)*((ROUND(Source!AF107*Source!I107, 2)+ROUND(Source!AE107*Source!I107, 2))), 2)</f>
        <v>351.59</v>
      </c>
      <c r="T153">
        <f>Source!X107</f>
        <v>12400.6</v>
      </c>
      <c r="U153">
        <f>ROUND((Source!FY107/100)*((ROUND(Source!AF107*Source!I107, 2)+ROUND(Source!AE107*Source!I107, 2))), 2)</f>
        <v>204.81</v>
      </c>
      <c r="V153">
        <f>Source!Y107</f>
        <v>7223.65</v>
      </c>
    </row>
    <row r="154" spans="1:28" ht="14.25" x14ac:dyDescent="0.2">
      <c r="A154" s="28"/>
      <c r="B154" s="28"/>
      <c r="C154" s="29"/>
      <c r="D154" s="15" t="s">
        <v>575</v>
      </c>
      <c r="E154" s="31"/>
      <c r="F154" s="10"/>
      <c r="G154" s="22">
        <f>Source!AO107</f>
        <v>257.02</v>
      </c>
      <c r="H154" s="16" t="str">
        <f>Source!DG107</f>
        <v/>
      </c>
      <c r="I154" s="22">
        <f>ROUND(Source!AF107*Source!I107, 2)</f>
        <v>257.02</v>
      </c>
      <c r="J154" s="16"/>
      <c r="K154" s="16">
        <f>IF(Source!BA107&lt;&gt; 0, Source!BA107, 1)</f>
        <v>35.270000000000003</v>
      </c>
      <c r="L154" s="22">
        <f>Source!S107</f>
        <v>9065.1</v>
      </c>
      <c r="M154" s="32"/>
      <c r="R154">
        <f>I154</f>
        <v>257.02</v>
      </c>
    </row>
    <row r="155" spans="1:28" ht="14.25" x14ac:dyDescent="0.2">
      <c r="A155" s="28"/>
      <c r="B155" s="28"/>
      <c r="C155" s="29"/>
      <c r="D155" s="15" t="s">
        <v>59</v>
      </c>
      <c r="E155" s="31"/>
      <c r="F155" s="10"/>
      <c r="G155" s="22">
        <f>Source!AM107</f>
        <v>957.67</v>
      </c>
      <c r="H155" s="16" t="str">
        <f>Source!DE107</f>
        <v/>
      </c>
      <c r="I155" s="22">
        <f>ROUND((((Source!ET107)-(Source!EU107))+Source!AE107)*Source!I107, 2)</f>
        <v>957.67</v>
      </c>
      <c r="J155" s="16"/>
      <c r="K155" s="16">
        <f>IF(Source!BB107&lt;&gt; 0, Source!BB107, 1)</f>
        <v>11.43</v>
      </c>
      <c r="L155" s="22">
        <f>Source!Q107</f>
        <v>10946.17</v>
      </c>
      <c r="M155" s="32"/>
    </row>
    <row r="156" spans="1:28" ht="14.25" x14ac:dyDescent="0.2">
      <c r="A156" s="28"/>
      <c r="B156" s="28"/>
      <c r="C156" s="29"/>
      <c r="D156" s="15" t="s">
        <v>576</v>
      </c>
      <c r="E156" s="31"/>
      <c r="F156" s="10"/>
      <c r="G156" s="22">
        <f>Source!AN107</f>
        <v>84.33</v>
      </c>
      <c r="H156" s="16" t="str">
        <f>Source!DF107</f>
        <v/>
      </c>
      <c r="I156" s="22">
        <f>ROUND(Source!AE107*Source!I107, 2)</f>
        <v>84.33</v>
      </c>
      <c r="J156" s="16"/>
      <c r="K156" s="16">
        <f>IF(Source!BS107&lt;&gt; 0, Source!BS107, 1)</f>
        <v>35.270000000000003</v>
      </c>
      <c r="L156" s="22">
        <f>Source!R107</f>
        <v>2974.32</v>
      </c>
      <c r="M156" s="32"/>
      <c r="R156">
        <f>I156</f>
        <v>84.33</v>
      </c>
    </row>
    <row r="157" spans="1:28" ht="14.25" x14ac:dyDescent="0.2">
      <c r="A157" s="28"/>
      <c r="B157" s="28"/>
      <c r="C157" s="29"/>
      <c r="D157" s="15" t="s">
        <v>577</v>
      </c>
      <c r="E157" s="31" t="s">
        <v>578</v>
      </c>
      <c r="F157" s="10">
        <f>Source!BZ107</f>
        <v>103</v>
      </c>
      <c r="G157" s="33"/>
      <c r="H157" s="16"/>
      <c r="I157" s="22">
        <f>SUM(S153:S159)</f>
        <v>351.59</v>
      </c>
      <c r="J157" s="34"/>
      <c r="K157" s="15">
        <f>Source!AT107</f>
        <v>103</v>
      </c>
      <c r="L157" s="22">
        <f>SUM(T153:T159)</f>
        <v>12400.6</v>
      </c>
      <c r="M157" s="32"/>
    </row>
    <row r="158" spans="1:28" ht="14.25" x14ac:dyDescent="0.2">
      <c r="A158" s="28"/>
      <c r="B158" s="28"/>
      <c r="C158" s="29"/>
      <c r="D158" s="15" t="s">
        <v>579</v>
      </c>
      <c r="E158" s="31" t="s">
        <v>578</v>
      </c>
      <c r="F158" s="10">
        <f>Source!CA107</f>
        <v>60</v>
      </c>
      <c r="G158" s="33"/>
      <c r="H158" s="16"/>
      <c r="I158" s="22">
        <f>SUM(U153:U159)</f>
        <v>204.81</v>
      </c>
      <c r="J158" s="34"/>
      <c r="K158" s="15">
        <f>Source!AU107</f>
        <v>60</v>
      </c>
      <c r="L158" s="22">
        <f>SUM(V153:V159)</f>
        <v>7223.65</v>
      </c>
      <c r="M158" s="32"/>
    </row>
    <row r="159" spans="1:28" ht="14.25" x14ac:dyDescent="0.2">
      <c r="A159" s="38"/>
      <c r="B159" s="38"/>
      <c r="C159" s="39"/>
      <c r="D159" s="40" t="s">
        <v>580</v>
      </c>
      <c r="E159" s="41" t="s">
        <v>581</v>
      </c>
      <c r="F159" s="42">
        <f>Source!AQ107</f>
        <v>28.59</v>
      </c>
      <c r="G159" s="43"/>
      <c r="H159" s="44" t="str">
        <f>Source!DI107</f>
        <v/>
      </c>
      <c r="I159" s="43"/>
      <c r="J159" s="44"/>
      <c r="K159" s="44"/>
      <c r="L159" s="43"/>
      <c r="M159" s="45">
        <f>Source!U107</f>
        <v>28.59</v>
      </c>
    </row>
    <row r="160" spans="1:28" ht="15" x14ac:dyDescent="0.25">
      <c r="H160" s="96">
        <f>ROUND(Source!AC107*Source!I107, 2)+ROUND(Source!AF107*Source!I107, 2)+ROUND((((Source!ET107)-(Source!EU107))+Source!AE107)*Source!I107, 2)+SUM(I157:I158)</f>
        <v>1771.0900000000001</v>
      </c>
      <c r="I160" s="96"/>
      <c r="K160" s="96">
        <f>Source!O107+SUM(L157:L158)</f>
        <v>39635.520000000004</v>
      </c>
      <c r="L160" s="96"/>
      <c r="M160" s="37">
        <f>Source!U107</f>
        <v>28.59</v>
      </c>
      <c r="O160" s="36">
        <f>H160</f>
        <v>1771.0900000000001</v>
      </c>
      <c r="P160" s="36">
        <f>K160</f>
        <v>39635.520000000004</v>
      </c>
      <c r="Q160" s="36">
        <f>M160</f>
        <v>28.59</v>
      </c>
      <c r="W160">
        <f>IF(Source!BI107&lt;=1,H160, 0)</f>
        <v>1771.0900000000001</v>
      </c>
      <c r="X160">
        <f>IF(Source!BI107=2,H160, 0)</f>
        <v>0</v>
      </c>
      <c r="Y160">
        <f>IF(Source!BI107=3,H160, 0)</f>
        <v>0</v>
      </c>
      <c r="Z160">
        <f>IF(Source!BI107=4,H160, 0)</f>
        <v>0</v>
      </c>
    </row>
    <row r="161" spans="1:32" ht="42.75" x14ac:dyDescent="0.2">
      <c r="A161" s="38">
        <v>24</v>
      </c>
      <c r="B161" s="38" t="str">
        <f>Source!E109</f>
        <v>22</v>
      </c>
      <c r="C161" s="39" t="str">
        <f>Source!F109</f>
        <v>Оборудование Заказчика</v>
      </c>
      <c r="D161" s="40" t="str">
        <f>Source!G109</f>
        <v>Комплект вакуумного реклоузера</v>
      </c>
      <c r="E161" s="41" t="str">
        <f>Source!H109</f>
        <v>компл.</v>
      </c>
      <c r="F161" s="42">
        <f>Source!I109</f>
        <v>1</v>
      </c>
      <c r="G161" s="43">
        <f>IF(Source!AK109&lt;&gt; 0, Source!AK109,Source!AL109 + Source!AM109 + Source!AO109)</f>
        <v>0</v>
      </c>
      <c r="H161" s="44"/>
      <c r="I161" s="43"/>
      <c r="J161" s="44" t="str">
        <f>Source!BO109</f>
        <v/>
      </c>
      <c r="K161" s="44"/>
      <c r="L161" s="43"/>
      <c r="M161" s="55"/>
      <c r="S161">
        <f>ROUND((Source!FX109/100)*((ROUND(Source!AF109*Source!I109, 2)+ROUND(Source!AE109*Source!I109, 2))), 2)</f>
        <v>0</v>
      </c>
      <c r="T161">
        <f>Source!X109</f>
        <v>0</v>
      </c>
      <c r="U161">
        <f>ROUND((Source!FY109/100)*((ROUND(Source!AF109*Source!I109, 2)+ROUND(Source!AE109*Source!I109, 2))), 2)</f>
        <v>0</v>
      </c>
      <c r="V161">
        <f>Source!Y109</f>
        <v>0</v>
      </c>
    </row>
    <row r="162" spans="1:32" ht="15" x14ac:dyDescent="0.25">
      <c r="H162" s="96">
        <f>ROUND(Source!AC109*Source!I109, 2)+ROUND(Source!AF109*Source!I109, 2)+ROUND((((Source!ET109)-(Source!EU109))+Source!AE109)*Source!I109, 2)</f>
        <v>0</v>
      </c>
      <c r="I162" s="96"/>
      <c r="K162" s="96">
        <f>Source!O109</f>
        <v>0</v>
      </c>
      <c r="L162" s="96"/>
      <c r="M162" s="37">
        <f>Source!U109</f>
        <v>0</v>
      </c>
      <c r="O162" s="36">
        <f>H162</f>
        <v>0</v>
      </c>
      <c r="P162" s="36">
        <f>K162</f>
        <v>0</v>
      </c>
      <c r="Q162" s="36">
        <f>M162</f>
        <v>0</v>
      </c>
      <c r="W162">
        <f>IF(Source!BI109&lt;=1,H162, 0)</f>
        <v>0</v>
      </c>
      <c r="X162">
        <f>IF(Source!BI109=2,H162, 0)</f>
        <v>0</v>
      </c>
      <c r="Y162">
        <f>IF(Source!BI109=3,H162, 0)</f>
        <v>0</v>
      </c>
      <c r="Z162">
        <f>IF(Source!BI109=4,H162, 0)</f>
        <v>0</v>
      </c>
    </row>
    <row r="163" spans="1:32" ht="14.25" x14ac:dyDescent="0.2">
      <c r="D163" s="100" t="str">
        <f>Source!G110</f>
        <v>Устройство контура заземления</v>
      </c>
      <c r="E163" s="100"/>
      <c r="F163" s="100"/>
      <c r="G163" s="100"/>
      <c r="H163" s="100"/>
      <c r="I163" s="100"/>
      <c r="J163" s="100"/>
      <c r="K163" s="100"/>
      <c r="L163" s="100"/>
      <c r="M163" s="100"/>
      <c r="AF163" s="30" t="str">
        <f>Source!G110</f>
        <v>Устройство контура заземления</v>
      </c>
    </row>
    <row r="164" spans="1:32" ht="42.75" x14ac:dyDescent="0.2">
      <c r="A164" s="28">
        <v>25</v>
      </c>
      <c r="B164" s="28" t="str">
        <f>Source!E111</f>
        <v>23</v>
      </c>
      <c r="C164" s="29" t="str">
        <f>Source!F111</f>
        <v>01-02-057-2</v>
      </c>
      <c r="D164" s="15" t="str">
        <f>Source!G111</f>
        <v>Разработка грунта вручную в траншеях глубиной до 2 м без креплений с откосами, группа грунтов 2</v>
      </c>
      <c r="E164" s="31" t="str">
        <f>Source!H111</f>
        <v>100 м3 грунта</v>
      </c>
      <c r="F164" s="10">
        <f>Source!I111</f>
        <v>2.5000000000000001E-2</v>
      </c>
      <c r="G164" s="22">
        <f>IF(Source!AK111&lt;&gt; 0, Source!AK111,Source!AL111 + Source!AM111 + Source!AO111)</f>
        <v>1122.6600000000001</v>
      </c>
      <c r="H164" s="16"/>
      <c r="I164" s="22"/>
      <c r="J164" s="16" t="str">
        <f>Source!BO111</f>
        <v>01-02-057-2</v>
      </c>
      <c r="K164" s="16"/>
      <c r="L164" s="22"/>
      <c r="M164" s="32"/>
      <c r="S164">
        <f>ROUND((Source!FX111/100)*((ROUND(Source!AF111*Source!I111, 2)+ROUND(Source!AE111*Source!I111, 2))), 2)</f>
        <v>24.98</v>
      </c>
      <c r="T164">
        <f>Source!X111</f>
        <v>881.02</v>
      </c>
      <c r="U164">
        <f>ROUND((Source!FY111/100)*((ROUND(Source!AF111*Source!I111, 2)+ROUND(Source!AE111*Source!I111, 2))), 2)</f>
        <v>11.23</v>
      </c>
      <c r="V164">
        <f>Source!Y111</f>
        <v>395.96</v>
      </c>
    </row>
    <row r="165" spans="1:32" x14ac:dyDescent="0.2">
      <c r="D165" s="46" t="str">
        <f>"Объем: "&amp;Source!I111&amp;"=2,5/"&amp;"100"</f>
        <v>Объем: 0,025=2,5/100</v>
      </c>
    </row>
    <row r="166" spans="1:32" ht="14.25" x14ac:dyDescent="0.2">
      <c r="A166" s="28"/>
      <c r="B166" s="28"/>
      <c r="C166" s="29"/>
      <c r="D166" s="15" t="s">
        <v>575</v>
      </c>
      <c r="E166" s="31"/>
      <c r="F166" s="10"/>
      <c r="G166" s="22">
        <f>Source!AO111</f>
        <v>1122.6600000000001</v>
      </c>
      <c r="H166" s="16" t="str">
        <f>Source!DG111</f>
        <v/>
      </c>
      <c r="I166" s="22">
        <f>ROUND(Source!AF111*Source!I111, 2)</f>
        <v>28.07</v>
      </c>
      <c r="J166" s="16"/>
      <c r="K166" s="16">
        <f>IF(Source!BA111&lt;&gt; 0, Source!BA111, 1)</f>
        <v>35.270000000000003</v>
      </c>
      <c r="L166" s="22">
        <f>Source!S111</f>
        <v>989.91</v>
      </c>
      <c r="M166" s="32"/>
      <c r="R166">
        <f>I166</f>
        <v>28.07</v>
      </c>
    </row>
    <row r="167" spans="1:32" ht="14.25" x14ac:dyDescent="0.2">
      <c r="A167" s="28"/>
      <c r="B167" s="28"/>
      <c r="C167" s="29"/>
      <c r="D167" s="15" t="s">
        <v>577</v>
      </c>
      <c r="E167" s="31" t="s">
        <v>578</v>
      </c>
      <c r="F167" s="10">
        <f>Source!BZ111</f>
        <v>89</v>
      </c>
      <c r="G167" s="33"/>
      <c r="H167" s="16"/>
      <c r="I167" s="22">
        <f>SUM(S164:S169)</f>
        <v>24.98</v>
      </c>
      <c r="J167" s="34"/>
      <c r="K167" s="15">
        <f>Source!AT111</f>
        <v>89</v>
      </c>
      <c r="L167" s="22">
        <f>SUM(T164:T169)</f>
        <v>881.02</v>
      </c>
      <c r="M167" s="32"/>
    </row>
    <row r="168" spans="1:32" ht="14.25" x14ac:dyDescent="0.2">
      <c r="A168" s="28"/>
      <c r="B168" s="28"/>
      <c r="C168" s="29"/>
      <c r="D168" s="15" t="s">
        <v>579</v>
      </c>
      <c r="E168" s="31" t="s">
        <v>578</v>
      </c>
      <c r="F168" s="10">
        <f>Source!CA111</f>
        <v>40</v>
      </c>
      <c r="G168" s="33"/>
      <c r="H168" s="16"/>
      <c r="I168" s="22">
        <f>SUM(U164:U169)</f>
        <v>11.23</v>
      </c>
      <c r="J168" s="34"/>
      <c r="K168" s="15">
        <f>Source!AU111</f>
        <v>40</v>
      </c>
      <c r="L168" s="22">
        <f>SUM(V164:V169)</f>
        <v>395.96</v>
      </c>
      <c r="M168" s="32"/>
    </row>
    <row r="169" spans="1:32" ht="14.25" x14ac:dyDescent="0.2">
      <c r="A169" s="38"/>
      <c r="B169" s="38"/>
      <c r="C169" s="39"/>
      <c r="D169" s="40" t="s">
        <v>580</v>
      </c>
      <c r="E169" s="41" t="s">
        <v>581</v>
      </c>
      <c r="F169" s="42">
        <f>Source!AQ111</f>
        <v>154</v>
      </c>
      <c r="G169" s="43"/>
      <c r="H169" s="44" t="str">
        <f>Source!DI111</f>
        <v/>
      </c>
      <c r="I169" s="43"/>
      <c r="J169" s="44"/>
      <c r="K169" s="44"/>
      <c r="L169" s="43"/>
      <c r="M169" s="45">
        <f>Source!U111</f>
        <v>3.85</v>
      </c>
    </row>
    <row r="170" spans="1:32" ht="15" x14ac:dyDescent="0.25">
      <c r="H170" s="96">
        <f>ROUND(Source!AC111*Source!I111, 2)+ROUND(Source!AF111*Source!I111, 2)+ROUND((((Source!ET111)-(Source!EU111))+Source!AE111)*Source!I111, 2)+SUM(I167:I168)</f>
        <v>64.28</v>
      </c>
      <c r="I170" s="96"/>
      <c r="K170" s="96">
        <f>Source!O111+SUM(L167:L168)</f>
        <v>2266.89</v>
      </c>
      <c r="L170" s="96"/>
      <c r="M170" s="37">
        <f>Source!U111</f>
        <v>3.85</v>
      </c>
      <c r="O170" s="36">
        <f>H170</f>
        <v>64.28</v>
      </c>
      <c r="P170" s="36">
        <f>K170</f>
        <v>2266.89</v>
      </c>
      <c r="Q170" s="36">
        <f>M170</f>
        <v>3.85</v>
      </c>
      <c r="W170">
        <f>IF(Source!BI111&lt;=1,H170, 0)</f>
        <v>64.28</v>
      </c>
      <c r="X170">
        <f>IF(Source!BI111=2,H170, 0)</f>
        <v>0</v>
      </c>
      <c r="Y170">
        <f>IF(Source!BI111=3,H170, 0)</f>
        <v>0</v>
      </c>
      <c r="Z170">
        <f>IF(Source!BI111=4,H170, 0)</f>
        <v>0</v>
      </c>
    </row>
    <row r="171" spans="1:32" ht="28.5" x14ac:dyDescent="0.2">
      <c r="A171" s="28">
        <v>26</v>
      </c>
      <c r="B171" s="28" t="str">
        <f>Source!E112</f>
        <v>24</v>
      </c>
      <c r="C171" s="29" t="str">
        <f>Source!F112</f>
        <v>01-02-061-2</v>
      </c>
      <c r="D171" s="15" t="str">
        <f>Source!G112</f>
        <v>Засыпка вручную траншей, пазух котлованов и ям, группа грунтов 2</v>
      </c>
      <c r="E171" s="31" t="str">
        <f>Source!H112</f>
        <v>100 м3 грунта</v>
      </c>
      <c r="F171" s="10">
        <f>Source!I112</f>
        <v>2.5000000000000001E-2</v>
      </c>
      <c r="G171" s="22">
        <f>IF(Source!AK112&lt;&gt; 0, Source!AK112,Source!AL112 + Source!AM112 + Source!AO112)</f>
        <v>681.37</v>
      </c>
      <c r="H171" s="16"/>
      <c r="I171" s="22"/>
      <c r="J171" s="16" t="str">
        <f>Source!BO112</f>
        <v>01-02-061-2</v>
      </c>
      <c r="K171" s="16"/>
      <c r="L171" s="22"/>
      <c r="M171" s="32"/>
      <c r="S171">
        <f>ROUND((Source!FX112/100)*((ROUND(Source!AF112*Source!I112, 2)+ROUND(Source!AE112*Source!I112, 2))), 2)</f>
        <v>15.16</v>
      </c>
      <c r="T171">
        <f>Source!X112</f>
        <v>534.71</v>
      </c>
      <c r="U171">
        <f>ROUND((Source!FY112/100)*((ROUND(Source!AF112*Source!I112, 2)+ROUND(Source!AE112*Source!I112, 2))), 2)</f>
        <v>6.81</v>
      </c>
      <c r="V171">
        <f>Source!Y112</f>
        <v>240.32</v>
      </c>
    </row>
    <row r="172" spans="1:32" x14ac:dyDescent="0.2">
      <c r="D172" s="46" t="str">
        <f>"Объем: "&amp;Source!I112&amp;"=2,5/"&amp;"100"</f>
        <v>Объем: 0,025=2,5/100</v>
      </c>
    </row>
    <row r="173" spans="1:32" ht="14.25" x14ac:dyDescent="0.2">
      <c r="A173" s="28"/>
      <c r="B173" s="28"/>
      <c r="C173" s="29"/>
      <c r="D173" s="15" t="s">
        <v>575</v>
      </c>
      <c r="E173" s="31"/>
      <c r="F173" s="10"/>
      <c r="G173" s="22">
        <f>Source!AO112</f>
        <v>681.37</v>
      </c>
      <c r="H173" s="16" t="str">
        <f>Source!DG112</f>
        <v/>
      </c>
      <c r="I173" s="22">
        <f>ROUND(Source!AF112*Source!I112, 2)</f>
        <v>17.03</v>
      </c>
      <c r="J173" s="16"/>
      <c r="K173" s="16">
        <f>IF(Source!BA112&lt;&gt; 0, Source!BA112, 1)</f>
        <v>35.270000000000003</v>
      </c>
      <c r="L173" s="22">
        <f>Source!S112</f>
        <v>600.79999999999995</v>
      </c>
      <c r="M173" s="32"/>
      <c r="R173">
        <f>I173</f>
        <v>17.03</v>
      </c>
    </row>
    <row r="174" spans="1:32" ht="14.25" x14ac:dyDescent="0.2">
      <c r="A174" s="28"/>
      <c r="B174" s="28"/>
      <c r="C174" s="29"/>
      <c r="D174" s="15" t="s">
        <v>577</v>
      </c>
      <c r="E174" s="31" t="s">
        <v>578</v>
      </c>
      <c r="F174" s="10">
        <f>Source!BZ112</f>
        <v>89</v>
      </c>
      <c r="G174" s="33"/>
      <c r="H174" s="16"/>
      <c r="I174" s="22">
        <f>SUM(S171:S176)</f>
        <v>15.16</v>
      </c>
      <c r="J174" s="34"/>
      <c r="K174" s="15">
        <f>Source!AT112</f>
        <v>89</v>
      </c>
      <c r="L174" s="22">
        <f>SUM(T171:T176)</f>
        <v>534.71</v>
      </c>
      <c r="M174" s="32"/>
    </row>
    <row r="175" spans="1:32" ht="14.25" x14ac:dyDescent="0.2">
      <c r="A175" s="28"/>
      <c r="B175" s="28"/>
      <c r="C175" s="29"/>
      <c r="D175" s="15" t="s">
        <v>579</v>
      </c>
      <c r="E175" s="31" t="s">
        <v>578</v>
      </c>
      <c r="F175" s="10">
        <f>Source!CA112</f>
        <v>40</v>
      </c>
      <c r="G175" s="33"/>
      <c r="H175" s="16"/>
      <c r="I175" s="22">
        <f>SUM(U171:U176)</f>
        <v>6.81</v>
      </c>
      <c r="J175" s="34"/>
      <c r="K175" s="15">
        <f>Source!AU112</f>
        <v>40</v>
      </c>
      <c r="L175" s="22">
        <f>SUM(V171:V176)</f>
        <v>240.32</v>
      </c>
      <c r="M175" s="32"/>
    </row>
    <row r="176" spans="1:32" ht="14.25" x14ac:dyDescent="0.2">
      <c r="A176" s="38"/>
      <c r="B176" s="38"/>
      <c r="C176" s="39"/>
      <c r="D176" s="40" t="s">
        <v>580</v>
      </c>
      <c r="E176" s="41" t="s">
        <v>581</v>
      </c>
      <c r="F176" s="42">
        <f>Source!AQ112</f>
        <v>97.2</v>
      </c>
      <c r="G176" s="43"/>
      <c r="H176" s="44" t="str">
        <f>Source!DI112</f>
        <v/>
      </c>
      <c r="I176" s="43"/>
      <c r="J176" s="44"/>
      <c r="K176" s="44"/>
      <c r="L176" s="43"/>
      <c r="M176" s="45">
        <f>Source!U112</f>
        <v>2.4300000000000002</v>
      </c>
    </row>
    <row r="177" spans="1:26" ht="15" x14ac:dyDescent="0.25">
      <c r="H177" s="96">
        <f>ROUND(Source!AC112*Source!I112, 2)+ROUND(Source!AF112*Source!I112, 2)+ROUND((((Source!ET112)-(Source!EU112))+Source!AE112)*Source!I112, 2)+SUM(I174:I175)</f>
        <v>39</v>
      </c>
      <c r="I177" s="96"/>
      <c r="K177" s="96">
        <f>Source!O112+SUM(L174:L175)</f>
        <v>1375.83</v>
      </c>
      <c r="L177" s="96"/>
      <c r="M177" s="37">
        <f>Source!U112</f>
        <v>2.4300000000000002</v>
      </c>
      <c r="O177" s="36">
        <f>H177</f>
        <v>39</v>
      </c>
      <c r="P177" s="36">
        <f>K177</f>
        <v>1375.83</v>
      </c>
      <c r="Q177" s="36">
        <f>M177</f>
        <v>2.4300000000000002</v>
      </c>
      <c r="W177">
        <f>IF(Source!BI112&lt;=1,H177, 0)</f>
        <v>39</v>
      </c>
      <c r="X177">
        <f>IF(Source!BI112=2,H177, 0)</f>
        <v>0</v>
      </c>
      <c r="Y177">
        <f>IF(Source!BI112=3,H177, 0)</f>
        <v>0</v>
      </c>
      <c r="Z177">
        <f>IF(Source!BI112=4,H177, 0)</f>
        <v>0</v>
      </c>
    </row>
    <row r="178" spans="1:26" ht="28.5" x14ac:dyDescent="0.2">
      <c r="A178" s="28">
        <v>27</v>
      </c>
      <c r="B178" s="28" t="str">
        <f>Source!E113</f>
        <v>25</v>
      </c>
      <c r="C178" s="29" t="str">
        <f>Source!F113</f>
        <v>м08-02-472-2</v>
      </c>
      <c r="D178" s="15" t="str">
        <f>Source!G113</f>
        <v>Заземлитель горизонтальный из стали полосовой сечением 160 мм2</v>
      </c>
      <c r="E178" s="31" t="str">
        <f>Source!H113</f>
        <v>100 м</v>
      </c>
      <c r="F178" s="10">
        <f>Source!I113</f>
        <v>0.09</v>
      </c>
      <c r="G178" s="22">
        <f>IF(Source!AK113&lt;&gt; 0, Source!AK113,Source!AL113 + Source!AM113 + Source!AO113)</f>
        <v>269.77</v>
      </c>
      <c r="H178" s="16"/>
      <c r="I178" s="22"/>
      <c r="J178" s="16" t="str">
        <f>Source!BO113</f>
        <v>м08-02-472-2</v>
      </c>
      <c r="K178" s="16"/>
      <c r="L178" s="22"/>
      <c r="M178" s="32"/>
      <c r="S178">
        <f>ROUND((Source!FX113/100)*((ROUND(Source!AF113*Source!I113, 2)+ROUND(Source!AE113*Source!I113, 2))), 2)</f>
        <v>12.97</v>
      </c>
      <c r="T178">
        <f>Source!X113</f>
        <v>457.45</v>
      </c>
      <c r="U178">
        <f>ROUND((Source!FY113/100)*((ROUND(Source!AF113*Source!I113, 2)+ROUND(Source!AE113*Source!I113, 2))), 2)</f>
        <v>6.82</v>
      </c>
      <c r="V178">
        <f>Source!Y113</f>
        <v>240.52</v>
      </c>
    </row>
    <row r="179" spans="1:26" x14ac:dyDescent="0.2">
      <c r="D179" s="46" t="str">
        <f>"Объем: "&amp;Source!I113&amp;"=9/"&amp;"100"</f>
        <v>Объем: 0,09=9/100</v>
      </c>
    </row>
    <row r="180" spans="1:26" ht="14.25" x14ac:dyDescent="0.2">
      <c r="A180" s="28"/>
      <c r="B180" s="28"/>
      <c r="C180" s="29"/>
      <c r="D180" s="15" t="s">
        <v>575</v>
      </c>
      <c r="E180" s="31"/>
      <c r="F180" s="10"/>
      <c r="G180" s="22">
        <f>Source!AO113</f>
        <v>145.91</v>
      </c>
      <c r="H180" s="16" t="str">
        <f>Source!DG113</f>
        <v/>
      </c>
      <c r="I180" s="22">
        <f>ROUND(Source!AF113*Source!I113, 2)</f>
        <v>13.13</v>
      </c>
      <c r="J180" s="16"/>
      <c r="K180" s="16">
        <f>IF(Source!BA113&lt;&gt; 0, Source!BA113, 1)</f>
        <v>35.270000000000003</v>
      </c>
      <c r="L180" s="22">
        <f>Source!S113</f>
        <v>463.16</v>
      </c>
      <c r="M180" s="32"/>
      <c r="R180">
        <f>I180</f>
        <v>13.13</v>
      </c>
    </row>
    <row r="181" spans="1:26" ht="14.25" x14ac:dyDescent="0.2">
      <c r="A181" s="28"/>
      <c r="B181" s="28"/>
      <c r="C181" s="29"/>
      <c r="D181" s="15" t="s">
        <v>59</v>
      </c>
      <c r="E181" s="31"/>
      <c r="F181" s="10"/>
      <c r="G181" s="22">
        <f>Source!AM113</f>
        <v>74.3</v>
      </c>
      <c r="H181" s="16" t="str">
        <f>Source!DE113</f>
        <v/>
      </c>
      <c r="I181" s="22">
        <f>ROUND((((Source!ET113)-(Source!EU113))+Source!AE113)*Source!I113, 2)</f>
        <v>6.69</v>
      </c>
      <c r="J181" s="16"/>
      <c r="K181" s="16">
        <f>IF(Source!BB113&lt;&gt; 0, Source!BB113, 1)</f>
        <v>10.41</v>
      </c>
      <c r="L181" s="22">
        <f>Source!Q113</f>
        <v>69.61</v>
      </c>
      <c r="M181" s="32"/>
    </row>
    <row r="182" spans="1:26" ht="14.25" x14ac:dyDescent="0.2">
      <c r="A182" s="28"/>
      <c r="B182" s="28"/>
      <c r="C182" s="29"/>
      <c r="D182" s="15" t="s">
        <v>576</v>
      </c>
      <c r="E182" s="31"/>
      <c r="F182" s="10"/>
      <c r="G182" s="22">
        <f>Source!AN113</f>
        <v>2.66</v>
      </c>
      <c r="H182" s="16" t="str">
        <f>Source!DF113</f>
        <v/>
      </c>
      <c r="I182" s="22">
        <f>ROUND(Source!AE113*Source!I113, 2)</f>
        <v>0.24</v>
      </c>
      <c r="J182" s="16"/>
      <c r="K182" s="16">
        <f>IF(Source!BS113&lt;&gt; 0, Source!BS113, 1)</f>
        <v>35.270000000000003</v>
      </c>
      <c r="L182" s="22">
        <f>Source!R113</f>
        <v>8.44</v>
      </c>
      <c r="M182" s="32"/>
      <c r="R182">
        <f>I182</f>
        <v>0.24</v>
      </c>
    </row>
    <row r="183" spans="1:26" ht="14.25" x14ac:dyDescent="0.2">
      <c r="A183" s="28"/>
      <c r="B183" s="28"/>
      <c r="C183" s="29"/>
      <c r="D183" s="15" t="s">
        <v>582</v>
      </c>
      <c r="E183" s="31"/>
      <c r="F183" s="10"/>
      <c r="G183" s="22">
        <f>Source!AL113</f>
        <v>49.56</v>
      </c>
      <c r="H183" s="16" t="str">
        <f>Source!DD113</f>
        <v/>
      </c>
      <c r="I183" s="22">
        <f>ROUND(Source!AC113*Source!I113, 2)</f>
        <v>4.46</v>
      </c>
      <c r="J183" s="16"/>
      <c r="K183" s="16">
        <f>IF(Source!BC113&lt;&gt; 0, Source!BC113, 1)</f>
        <v>10.08</v>
      </c>
      <c r="L183" s="22">
        <f>Source!P113</f>
        <v>44.96</v>
      </c>
      <c r="M183" s="32"/>
    </row>
    <row r="184" spans="1:26" ht="14.25" x14ac:dyDescent="0.2">
      <c r="A184" s="28"/>
      <c r="B184" s="28"/>
      <c r="C184" s="29"/>
      <c r="D184" s="15" t="s">
        <v>577</v>
      </c>
      <c r="E184" s="31" t="s">
        <v>578</v>
      </c>
      <c r="F184" s="10">
        <f>Source!BZ113</f>
        <v>97</v>
      </c>
      <c r="G184" s="33"/>
      <c r="H184" s="16"/>
      <c r="I184" s="22">
        <f>SUM(S178:S186)</f>
        <v>12.97</v>
      </c>
      <c r="J184" s="34"/>
      <c r="K184" s="15">
        <f>Source!AT113</f>
        <v>97</v>
      </c>
      <c r="L184" s="22">
        <f>SUM(T178:T186)</f>
        <v>457.45</v>
      </c>
      <c r="M184" s="32"/>
    </row>
    <row r="185" spans="1:26" ht="14.25" x14ac:dyDescent="0.2">
      <c r="A185" s="28"/>
      <c r="B185" s="28"/>
      <c r="C185" s="29"/>
      <c r="D185" s="15" t="s">
        <v>579</v>
      </c>
      <c r="E185" s="31" t="s">
        <v>578</v>
      </c>
      <c r="F185" s="10">
        <f>Source!CA113</f>
        <v>51</v>
      </c>
      <c r="G185" s="33"/>
      <c r="H185" s="16"/>
      <c r="I185" s="22">
        <f>SUM(U178:U186)</f>
        <v>6.82</v>
      </c>
      <c r="J185" s="34"/>
      <c r="K185" s="15">
        <f>Source!AU113</f>
        <v>51</v>
      </c>
      <c r="L185" s="22">
        <f>SUM(V178:V186)</f>
        <v>240.52</v>
      </c>
      <c r="M185" s="32"/>
    </row>
    <row r="186" spans="1:26" ht="14.25" x14ac:dyDescent="0.2">
      <c r="A186" s="38"/>
      <c r="B186" s="38"/>
      <c r="C186" s="39"/>
      <c r="D186" s="40" t="s">
        <v>580</v>
      </c>
      <c r="E186" s="41" t="s">
        <v>581</v>
      </c>
      <c r="F186" s="42">
        <f>Source!AQ113</f>
        <v>16.600000000000001</v>
      </c>
      <c r="G186" s="43"/>
      <c r="H186" s="44" t="str">
        <f>Source!DI113</f>
        <v/>
      </c>
      <c r="I186" s="43"/>
      <c r="J186" s="44"/>
      <c r="K186" s="44"/>
      <c r="L186" s="43"/>
      <c r="M186" s="45">
        <f>Source!U113</f>
        <v>1.494</v>
      </c>
    </row>
    <row r="187" spans="1:26" ht="15" x14ac:dyDescent="0.25">
      <c r="H187" s="96">
        <f>ROUND(Source!AC113*Source!I113, 2)+ROUND(Source!AF113*Source!I113, 2)+ROUND((((Source!ET113)-(Source!EU113))+Source!AE113)*Source!I113, 2)+SUM(I184:I185)</f>
        <v>44.07</v>
      </c>
      <c r="I187" s="96"/>
      <c r="K187" s="96">
        <f>Source!O113+SUM(L184:L185)</f>
        <v>1275.7</v>
      </c>
      <c r="L187" s="96"/>
      <c r="M187" s="37">
        <f>Source!U113</f>
        <v>1.494</v>
      </c>
      <c r="O187" s="36">
        <f>H187</f>
        <v>44.07</v>
      </c>
      <c r="P187" s="36">
        <f>K187</f>
        <v>1275.7</v>
      </c>
      <c r="Q187" s="36">
        <f>M187</f>
        <v>1.494</v>
      </c>
      <c r="W187">
        <f>IF(Source!BI113&lt;=1,H187, 0)</f>
        <v>0</v>
      </c>
      <c r="X187">
        <f>IF(Source!BI113=2,H187, 0)</f>
        <v>44.07</v>
      </c>
      <c r="Y187">
        <f>IF(Source!BI113=3,H187, 0)</f>
        <v>0</v>
      </c>
      <c r="Z187">
        <f>IF(Source!BI113=4,H187, 0)</f>
        <v>0</v>
      </c>
    </row>
    <row r="188" spans="1:26" ht="14.25" x14ac:dyDescent="0.2">
      <c r="A188" s="28">
        <v>28</v>
      </c>
      <c r="B188" s="28" t="str">
        <f>Source!E114</f>
        <v>26</v>
      </c>
      <c r="C188" s="29" t="str">
        <f>Source!F114</f>
        <v>101-2548</v>
      </c>
      <c r="D188" s="15" t="str">
        <f>Source!G114</f>
        <v>Сталь полосовая 40х4 мм</v>
      </c>
      <c r="E188" s="31" t="str">
        <f>Source!H114</f>
        <v>т</v>
      </c>
      <c r="F188" s="10">
        <f>Source!I114</f>
        <v>3.3345E-2</v>
      </c>
      <c r="G188" s="22">
        <f>IF(Source!AK114&lt;&gt; 0, Source!AK114,Source!AL114 + Source!AM114 + Source!AO114)</f>
        <v>6258.8</v>
      </c>
      <c r="H188" s="16"/>
      <c r="I188" s="22"/>
      <c r="J188" s="16" t="str">
        <f>Source!BO114</f>
        <v>101-2548</v>
      </c>
      <c r="K188" s="16"/>
      <c r="L188" s="22"/>
      <c r="M188" s="32"/>
      <c r="S188">
        <f>ROUND((Source!FX114/100)*((ROUND(Source!AF114*Source!I114, 2)+ROUND(Source!AE114*Source!I114, 2))), 2)</f>
        <v>0</v>
      </c>
      <c r="T188">
        <f>Source!X114</f>
        <v>0</v>
      </c>
      <c r="U188">
        <f>ROUND((Source!FY114/100)*((ROUND(Source!AF114*Source!I114, 2)+ROUND(Source!AE114*Source!I114, 2))), 2)</f>
        <v>0</v>
      </c>
      <c r="V188">
        <f>Source!Y114</f>
        <v>0</v>
      </c>
    </row>
    <row r="189" spans="1:26" ht="14.25" x14ac:dyDescent="0.2">
      <c r="A189" s="38"/>
      <c r="B189" s="38"/>
      <c r="C189" s="39"/>
      <c r="D189" s="40" t="s">
        <v>582</v>
      </c>
      <c r="E189" s="41"/>
      <c r="F189" s="42"/>
      <c r="G189" s="43">
        <f>Source!AL114</f>
        <v>6258.8</v>
      </c>
      <c r="H189" s="44" t="str">
        <f>Source!DD114</f>
        <v/>
      </c>
      <c r="I189" s="43">
        <f>ROUND(Source!AC114*Source!I114, 2)</f>
        <v>208.7</v>
      </c>
      <c r="J189" s="44"/>
      <c r="K189" s="44">
        <f>IF(Source!BC114&lt;&gt; 0, Source!BC114, 1)</f>
        <v>14.13</v>
      </c>
      <c r="L189" s="43">
        <f>Source!P114</f>
        <v>2948.93</v>
      </c>
      <c r="M189" s="55"/>
    </row>
    <row r="190" spans="1:26" ht="15" x14ac:dyDescent="0.25">
      <c r="H190" s="96">
        <f>ROUND(Source!AC114*Source!I114, 2)+ROUND(Source!AF114*Source!I114, 2)+ROUND((((Source!ET114)-(Source!EU114))+Source!AE114)*Source!I114, 2)</f>
        <v>208.7</v>
      </c>
      <c r="I190" s="96"/>
      <c r="K190" s="96">
        <f>Source!O114</f>
        <v>2948.93</v>
      </c>
      <c r="L190" s="96"/>
      <c r="M190" s="37">
        <f>Source!U114</f>
        <v>0</v>
      </c>
      <c r="O190" s="36">
        <f>H190</f>
        <v>208.7</v>
      </c>
      <c r="P190" s="36">
        <f>K190</f>
        <v>2948.93</v>
      </c>
      <c r="Q190" s="36">
        <f>M190</f>
        <v>0</v>
      </c>
      <c r="W190">
        <f>IF(Source!BI114&lt;=1,H190, 0)</f>
        <v>208.7</v>
      </c>
      <c r="X190">
        <f>IF(Source!BI114=2,H190, 0)</f>
        <v>0</v>
      </c>
      <c r="Y190">
        <f>IF(Source!BI114=3,H190, 0)</f>
        <v>0</v>
      </c>
      <c r="Z190">
        <f>IF(Source!BI114=4,H190, 0)</f>
        <v>0</v>
      </c>
    </row>
    <row r="191" spans="1:26" ht="42.75" x14ac:dyDescent="0.2">
      <c r="A191" s="28">
        <v>29</v>
      </c>
      <c r="B191" s="28" t="str">
        <f>Source!E115</f>
        <v>27</v>
      </c>
      <c r="C191" s="29" t="str">
        <f>Source!F115</f>
        <v>33-03-004-1</v>
      </c>
      <c r="D191" s="15" t="str">
        <f>Source!G115</f>
        <v>Забивка вертикальных заземлителей механизированная на глубину до 5 м</v>
      </c>
      <c r="E191" s="31" t="str">
        <f>Source!H115</f>
        <v>1 заземлитель</v>
      </c>
      <c r="F191" s="10">
        <f>Source!I115</f>
        <v>3</v>
      </c>
      <c r="G191" s="22">
        <f>IF(Source!AK115&lt;&gt; 0, Source!AK115,Source!AL115 + Source!AM115 + Source!AO115)</f>
        <v>140.05000000000001</v>
      </c>
      <c r="H191" s="16"/>
      <c r="I191" s="22"/>
      <c r="J191" s="16" t="str">
        <f>Source!BO115</f>
        <v>33-03-004-1</v>
      </c>
      <c r="K191" s="16"/>
      <c r="L191" s="22"/>
      <c r="M191" s="32"/>
      <c r="S191">
        <f>ROUND((Source!FX115/100)*((ROUND(Source!AF115*Source!I115, 2)+ROUND(Source!AE115*Source!I115, 2))), 2)</f>
        <v>36.74</v>
      </c>
      <c r="T191">
        <f>Source!X115</f>
        <v>1295.82</v>
      </c>
      <c r="U191">
        <f>ROUND((Source!FY115/100)*((ROUND(Source!AF115*Source!I115, 2)+ROUND(Source!AE115*Source!I115, 2))), 2)</f>
        <v>21.4</v>
      </c>
      <c r="V191">
        <f>Source!Y115</f>
        <v>754.85</v>
      </c>
    </row>
    <row r="192" spans="1:26" ht="14.25" x14ac:dyDescent="0.2">
      <c r="A192" s="28"/>
      <c r="B192" s="28"/>
      <c r="C192" s="29"/>
      <c r="D192" s="15" t="s">
        <v>575</v>
      </c>
      <c r="E192" s="31"/>
      <c r="F192" s="10"/>
      <c r="G192" s="22">
        <f>Source!AO115</f>
        <v>6.4</v>
      </c>
      <c r="H192" s="16" t="str">
        <f>Source!DG115</f>
        <v/>
      </c>
      <c r="I192" s="22">
        <f>ROUND(Source!AF115*Source!I115, 2)</f>
        <v>19.2</v>
      </c>
      <c r="J192" s="16"/>
      <c r="K192" s="16">
        <f>IF(Source!BA115&lt;&gt; 0, Source!BA115, 1)</f>
        <v>35.270000000000003</v>
      </c>
      <c r="L192" s="22">
        <f>Source!S115</f>
        <v>677.18</v>
      </c>
      <c r="M192" s="32"/>
      <c r="R192">
        <f>I192</f>
        <v>19.2</v>
      </c>
    </row>
    <row r="193" spans="1:28" ht="14.25" x14ac:dyDescent="0.2">
      <c r="A193" s="28"/>
      <c r="B193" s="28"/>
      <c r="C193" s="29"/>
      <c r="D193" s="15" t="s">
        <v>59</v>
      </c>
      <c r="E193" s="31"/>
      <c r="F193" s="10"/>
      <c r="G193" s="22">
        <f>Source!AM115</f>
        <v>100.39</v>
      </c>
      <c r="H193" s="16" t="str">
        <f>Source!DE115</f>
        <v/>
      </c>
      <c r="I193" s="22">
        <f>ROUND((((Source!ET115)-(Source!EU115))+Source!AE115)*Source!I115, 2)</f>
        <v>301.17</v>
      </c>
      <c r="J193" s="16"/>
      <c r="K193" s="16">
        <f>IF(Source!BB115&lt;&gt; 0, Source!BB115, 1)</f>
        <v>9.14</v>
      </c>
      <c r="L193" s="22">
        <f>Source!Q115</f>
        <v>2752.69</v>
      </c>
      <c r="M193" s="32"/>
    </row>
    <row r="194" spans="1:28" ht="14.25" x14ac:dyDescent="0.2">
      <c r="A194" s="28"/>
      <c r="B194" s="28"/>
      <c r="C194" s="29"/>
      <c r="D194" s="15" t="s">
        <v>576</v>
      </c>
      <c r="E194" s="31"/>
      <c r="F194" s="10"/>
      <c r="G194" s="22">
        <f>Source!AN115</f>
        <v>5.49</v>
      </c>
      <c r="H194" s="16" t="str">
        <f>Source!DF115</f>
        <v/>
      </c>
      <c r="I194" s="22">
        <f>ROUND(Source!AE115*Source!I115, 2)</f>
        <v>16.47</v>
      </c>
      <c r="J194" s="16"/>
      <c r="K194" s="16">
        <f>IF(Source!BS115&lt;&gt; 0, Source!BS115, 1)</f>
        <v>35.270000000000003</v>
      </c>
      <c r="L194" s="22">
        <f>Source!R115</f>
        <v>580.9</v>
      </c>
      <c r="M194" s="32"/>
      <c r="R194">
        <f>I194</f>
        <v>16.47</v>
      </c>
    </row>
    <row r="195" spans="1:28" ht="14.25" x14ac:dyDescent="0.2">
      <c r="A195" s="28"/>
      <c r="B195" s="28"/>
      <c r="C195" s="29"/>
      <c r="D195" s="15" t="s">
        <v>582</v>
      </c>
      <c r="E195" s="31"/>
      <c r="F195" s="10"/>
      <c r="G195" s="22">
        <f>Source!AL115</f>
        <v>33.26</v>
      </c>
      <c r="H195" s="16" t="str">
        <f>Source!DD115</f>
        <v/>
      </c>
      <c r="I195" s="22">
        <f>ROUND(Source!AC115*Source!I115, 2)</f>
        <v>99.78</v>
      </c>
      <c r="J195" s="16"/>
      <c r="K195" s="16">
        <f>IF(Source!BC115&lt;&gt; 0, Source!BC115, 1)</f>
        <v>10.55</v>
      </c>
      <c r="L195" s="22">
        <f>Source!P115</f>
        <v>1052.68</v>
      </c>
      <c r="M195" s="32"/>
    </row>
    <row r="196" spans="1:28" ht="14.25" x14ac:dyDescent="0.2">
      <c r="A196" s="28"/>
      <c r="B196" s="28"/>
      <c r="C196" s="29"/>
      <c r="D196" s="15" t="s">
        <v>577</v>
      </c>
      <c r="E196" s="31" t="s">
        <v>578</v>
      </c>
      <c r="F196" s="10">
        <f>Source!BZ115</f>
        <v>103</v>
      </c>
      <c r="G196" s="33"/>
      <c r="H196" s="16"/>
      <c r="I196" s="22">
        <f>SUM(S191:S199)</f>
        <v>36.74</v>
      </c>
      <c r="J196" s="34"/>
      <c r="K196" s="15">
        <f>Source!AT115</f>
        <v>103</v>
      </c>
      <c r="L196" s="22">
        <f>SUM(T191:T199)</f>
        <v>1295.82</v>
      </c>
      <c r="M196" s="32"/>
    </row>
    <row r="197" spans="1:28" ht="14.25" x14ac:dyDescent="0.2">
      <c r="A197" s="28"/>
      <c r="B197" s="28"/>
      <c r="C197" s="29"/>
      <c r="D197" s="15" t="s">
        <v>579</v>
      </c>
      <c r="E197" s="31" t="s">
        <v>578</v>
      </c>
      <c r="F197" s="10">
        <f>Source!CA115</f>
        <v>60</v>
      </c>
      <c r="G197" s="33"/>
      <c r="H197" s="16"/>
      <c r="I197" s="22">
        <f>SUM(U191:U199)</f>
        <v>21.4</v>
      </c>
      <c r="J197" s="34"/>
      <c r="K197" s="15">
        <f>Source!AU115</f>
        <v>60</v>
      </c>
      <c r="L197" s="22">
        <f>SUM(V191:V199)</f>
        <v>754.85</v>
      </c>
      <c r="M197" s="32"/>
    </row>
    <row r="198" spans="1:28" ht="14.25" x14ac:dyDescent="0.2">
      <c r="A198" s="28"/>
      <c r="B198" s="28"/>
      <c r="C198" s="29"/>
      <c r="D198" s="15" t="s">
        <v>580</v>
      </c>
      <c r="E198" s="31" t="s">
        <v>581</v>
      </c>
      <c r="F198" s="10">
        <f>Source!AQ115</f>
        <v>0.81</v>
      </c>
      <c r="G198" s="22"/>
      <c r="H198" s="16" t="str">
        <f>Source!DI115</f>
        <v/>
      </c>
      <c r="I198" s="22"/>
      <c r="J198" s="16"/>
      <c r="K198" s="16"/>
      <c r="L198" s="22"/>
      <c r="M198" s="35">
        <f>Source!U115</f>
        <v>2.4300000000000002</v>
      </c>
    </row>
    <row r="199" spans="1:28" ht="42.75" x14ac:dyDescent="0.2">
      <c r="A199" s="50">
        <v>30</v>
      </c>
      <c r="B199" s="50" t="str">
        <f>Source!E116</f>
        <v>27,1</v>
      </c>
      <c r="C199" s="50" t="str">
        <f>Source!F116</f>
        <v>204-0004</v>
      </c>
      <c r="D199" s="50" t="s">
        <v>584</v>
      </c>
      <c r="E199" s="51" t="str">
        <f>Source!H116</f>
        <v>т</v>
      </c>
      <c r="F199" s="52">
        <f>Source!I116</f>
        <v>-1.4999999999999999E-2</v>
      </c>
      <c r="G199" s="53">
        <f>Source!AK116</f>
        <v>6594</v>
      </c>
      <c r="H199" s="54" t="s">
        <v>3</v>
      </c>
      <c r="I199" s="53">
        <f>ROUND(Source!AC116*Source!I116, 2)+ROUND((((Source!ET116)-(Source!EU116))+Source!AE116)*Source!I116, 2)+ROUND(Source!AF116*Source!I116, 2)</f>
        <v>-98.91</v>
      </c>
      <c r="J199" s="51"/>
      <c r="K199" s="51">
        <f>IF(Source!BC116&lt;&gt; 0, Source!BC116, 1)</f>
        <v>10.53</v>
      </c>
      <c r="L199" s="53">
        <f>Source!O116</f>
        <v>-1041.52</v>
      </c>
      <c r="M199" s="53"/>
      <c r="S199">
        <f>ROUND((Source!FX116/100)*((ROUND(Source!AF116*Source!I116, 2)+ROUND(Source!AE116*Source!I116, 2))), 2)</f>
        <v>0</v>
      </c>
      <c r="T199">
        <f>Source!X116</f>
        <v>0</v>
      </c>
      <c r="U199">
        <f>ROUND((Source!FY116/100)*((ROUND(Source!AF116*Source!I116, 2)+ROUND(Source!AE116*Source!I116, 2))), 2)</f>
        <v>0</v>
      </c>
      <c r="V199">
        <f>Source!Y116</f>
        <v>0</v>
      </c>
      <c r="Y199">
        <f>IF(Source!BI116=3,I199, 0)</f>
        <v>0</v>
      </c>
      <c r="AA199">
        <f>ROUND(Source!AC116*Source!I116, 2)+ROUND((((Source!ET116)-(Source!EU116))+Source!AE116)*Source!I116, 2)+ROUND(Source!AF116*Source!I116, 2)</f>
        <v>-98.91</v>
      </c>
      <c r="AB199">
        <f>Source!O116</f>
        <v>-1041.52</v>
      </c>
    </row>
    <row r="200" spans="1:28" ht="15" x14ac:dyDescent="0.25">
      <c r="H200" s="96">
        <f>ROUND(Source!AC115*Source!I115, 2)+ROUND(Source!AF115*Source!I115, 2)+ROUND((((Source!ET115)-(Source!EU115))+Source!AE115)*Source!I115, 2)+SUM(I196:I197)+SUM(AA199:AA199)</f>
        <v>379.38</v>
      </c>
      <c r="I200" s="96"/>
      <c r="K200" s="96">
        <f>Source!O115+SUM(L196:L197)+SUM(AB199:AB199)</f>
        <v>5491.7000000000007</v>
      </c>
      <c r="L200" s="96"/>
      <c r="M200" s="37">
        <f>Source!U115</f>
        <v>2.4300000000000002</v>
      </c>
      <c r="O200" s="36">
        <f>H200</f>
        <v>379.38</v>
      </c>
      <c r="P200" s="36">
        <f>K200</f>
        <v>5491.7000000000007</v>
      </c>
      <c r="Q200" s="36">
        <f>M200</f>
        <v>2.4300000000000002</v>
      </c>
      <c r="W200">
        <f>IF(Source!BI115&lt;=1,H200, 0)</f>
        <v>379.38</v>
      </c>
      <c r="X200">
        <f>IF(Source!BI115=2,H200, 0)</f>
        <v>0</v>
      </c>
      <c r="Y200">
        <f>IF(Source!BI115=3,H200, 0)</f>
        <v>0</v>
      </c>
      <c r="Z200">
        <f>IF(Source!BI115=4,H200, 0)</f>
        <v>0</v>
      </c>
    </row>
    <row r="201" spans="1:28" ht="28.5" x14ac:dyDescent="0.2">
      <c r="A201" s="28">
        <v>31</v>
      </c>
      <c r="B201" s="28" t="str">
        <f>Source!E117</f>
        <v>28</v>
      </c>
      <c r="C201" s="29" t="str">
        <f>Source!F117</f>
        <v>101-1641</v>
      </c>
      <c r="D201" s="15" t="str">
        <f>Source!G117</f>
        <v>Сталь угловая равнополочная, марка стали ВСт3кп2, размером 50x50x5 мм</v>
      </c>
      <c r="E201" s="31" t="str">
        <f>Source!H117</f>
        <v>т</v>
      </c>
      <c r="F201" s="10">
        <f>Source!I117</f>
        <v>3.3345E-2</v>
      </c>
      <c r="G201" s="22">
        <f>IF(Source!AK117&lt;&gt; 0, Source!AK117,Source!AL117 + Source!AM117 + Source!AO117)</f>
        <v>6074</v>
      </c>
      <c r="H201" s="16"/>
      <c r="I201" s="22"/>
      <c r="J201" s="16" t="str">
        <f>Source!BO117</f>
        <v>101-1641</v>
      </c>
      <c r="K201" s="16"/>
      <c r="L201" s="22"/>
      <c r="M201" s="32"/>
      <c r="S201">
        <f>ROUND((Source!FX117/100)*((ROUND(Source!AF117*Source!I117, 2)+ROUND(Source!AE117*Source!I117, 2))), 2)</f>
        <v>0</v>
      </c>
      <c r="T201">
        <f>Source!X117</f>
        <v>0</v>
      </c>
      <c r="U201">
        <f>ROUND((Source!FY117/100)*((ROUND(Source!AF117*Source!I117, 2)+ROUND(Source!AE117*Source!I117, 2))), 2)</f>
        <v>0</v>
      </c>
      <c r="V201">
        <f>Source!Y117</f>
        <v>0</v>
      </c>
    </row>
    <row r="202" spans="1:28" x14ac:dyDescent="0.2">
      <c r="D202" s="46" t="str">
        <f>"Объем: "&amp;Source!I117&amp;"=0,011115*"&amp;"3"</f>
        <v>Объем: 0,033345=0,011115*3</v>
      </c>
    </row>
    <row r="203" spans="1:28" ht="14.25" x14ac:dyDescent="0.2">
      <c r="A203" s="38"/>
      <c r="B203" s="38"/>
      <c r="C203" s="39"/>
      <c r="D203" s="40" t="s">
        <v>582</v>
      </c>
      <c r="E203" s="41"/>
      <c r="F203" s="42"/>
      <c r="G203" s="43">
        <f>Source!AL117</f>
        <v>6074</v>
      </c>
      <c r="H203" s="44" t="str">
        <f>Source!DD117</f>
        <v/>
      </c>
      <c r="I203" s="43">
        <f>ROUND(Source!AC117*Source!I117, 2)</f>
        <v>202.54</v>
      </c>
      <c r="J203" s="44"/>
      <c r="K203" s="44">
        <f>IF(Source!BC117&lt;&gt; 0, Source!BC117, 1)</f>
        <v>13.67</v>
      </c>
      <c r="L203" s="43">
        <f>Source!P117</f>
        <v>2768.69</v>
      </c>
      <c r="M203" s="55"/>
    </row>
    <row r="204" spans="1:28" ht="15" x14ac:dyDescent="0.25">
      <c r="H204" s="96">
        <f>ROUND(Source!AC117*Source!I117, 2)+ROUND(Source!AF117*Source!I117, 2)+ROUND((((Source!ET117)-(Source!EU117))+Source!AE117)*Source!I117, 2)</f>
        <v>202.54</v>
      </c>
      <c r="I204" s="96"/>
      <c r="K204" s="96">
        <f>Source!O117</f>
        <v>2768.69</v>
      </c>
      <c r="L204" s="96"/>
      <c r="M204" s="37">
        <f>Source!U117</f>
        <v>0</v>
      </c>
      <c r="O204" s="36">
        <f>H204</f>
        <v>202.54</v>
      </c>
      <c r="P204" s="36">
        <f>K204</f>
        <v>2768.69</v>
      </c>
      <c r="Q204" s="36">
        <f>M204</f>
        <v>0</v>
      </c>
      <c r="W204">
        <f>IF(Source!BI117&lt;=1,H204, 0)</f>
        <v>202.54</v>
      </c>
      <c r="X204">
        <f>IF(Source!BI117=2,H204, 0)</f>
        <v>0</v>
      </c>
      <c r="Y204">
        <f>IF(Source!BI117=3,H204, 0)</f>
        <v>0</v>
      </c>
      <c r="Z204">
        <f>IF(Source!BI117=4,H204, 0)</f>
        <v>0</v>
      </c>
    </row>
    <row r="205" spans="1:28" ht="42.75" x14ac:dyDescent="0.2">
      <c r="A205" s="28">
        <v>32</v>
      </c>
      <c r="B205" s="28" t="str">
        <f>Source!E118</f>
        <v>29</v>
      </c>
      <c r="C205" s="29" t="str">
        <f>Source!F118</f>
        <v>п01-11-010-1</v>
      </c>
      <c r="D205" s="15" t="str">
        <f>Source!G118</f>
        <v>Измерение сопротивления растеканию тока заземлителя</v>
      </c>
      <c r="E205" s="31" t="str">
        <f>Source!H118</f>
        <v>1 измерение</v>
      </c>
      <c r="F205" s="10">
        <f>Source!I118</f>
        <v>6</v>
      </c>
      <c r="G205" s="22">
        <f>IF(Source!AK118&lt;&gt; 0, Source!AK118,Source!AL118 + Source!AM118 + Source!AO118)</f>
        <v>14.6</v>
      </c>
      <c r="H205" s="16"/>
      <c r="I205" s="22"/>
      <c r="J205" s="16" t="str">
        <f>Source!BO118</f>
        <v/>
      </c>
      <c r="K205" s="16"/>
      <c r="L205" s="22"/>
      <c r="M205" s="32"/>
      <c r="S205">
        <f>ROUND((Source!FX118/100)*((ROUND(Source!AF118*Source!I118, 2)+ROUND(Source!AE118*Source!I118, 2))), 2)</f>
        <v>64.819999999999993</v>
      </c>
      <c r="T205">
        <f>Source!X118</f>
        <v>2286.34</v>
      </c>
      <c r="U205">
        <f>ROUND((Source!FY118/100)*((ROUND(Source!AF118*Source!I118, 2)+ROUND(Source!AE118*Source!I118, 2))), 2)</f>
        <v>31.54</v>
      </c>
      <c r="V205">
        <f>Source!Y118</f>
        <v>1112.27</v>
      </c>
    </row>
    <row r="206" spans="1:28" ht="14.25" x14ac:dyDescent="0.2">
      <c r="A206" s="28"/>
      <c r="B206" s="28"/>
      <c r="C206" s="29"/>
      <c r="D206" s="15" t="s">
        <v>575</v>
      </c>
      <c r="E206" s="31"/>
      <c r="F206" s="10"/>
      <c r="G206" s="22">
        <f>Source!AO118</f>
        <v>14.6</v>
      </c>
      <c r="H206" s="16" t="str">
        <f>Source!DG118</f>
        <v/>
      </c>
      <c r="I206" s="22">
        <f>ROUND(Source!AF118*Source!I118, 2)</f>
        <v>87.6</v>
      </c>
      <c r="J206" s="16"/>
      <c r="K206" s="16">
        <f>IF(Source!BA118&lt;&gt; 0, Source!BA118, 1)</f>
        <v>35.270000000000003</v>
      </c>
      <c r="L206" s="22">
        <f>Source!S118</f>
        <v>3089.65</v>
      </c>
      <c r="M206" s="32"/>
      <c r="R206">
        <f>I206</f>
        <v>87.6</v>
      </c>
    </row>
    <row r="207" spans="1:28" ht="14.25" x14ac:dyDescent="0.2">
      <c r="A207" s="28"/>
      <c r="B207" s="28"/>
      <c r="C207" s="29"/>
      <c r="D207" s="15" t="s">
        <v>577</v>
      </c>
      <c r="E207" s="31" t="s">
        <v>578</v>
      </c>
      <c r="F207" s="10">
        <f>Source!BZ118</f>
        <v>74</v>
      </c>
      <c r="G207" s="33"/>
      <c r="H207" s="16"/>
      <c r="I207" s="22">
        <f>SUM(S205:S209)</f>
        <v>64.819999999999993</v>
      </c>
      <c r="J207" s="34"/>
      <c r="K207" s="15">
        <f>Source!AT118</f>
        <v>74</v>
      </c>
      <c r="L207" s="22">
        <f>SUM(T205:T209)</f>
        <v>2286.34</v>
      </c>
      <c r="M207" s="32"/>
    </row>
    <row r="208" spans="1:28" ht="14.25" x14ac:dyDescent="0.2">
      <c r="A208" s="28"/>
      <c r="B208" s="28"/>
      <c r="C208" s="29"/>
      <c r="D208" s="15" t="s">
        <v>579</v>
      </c>
      <c r="E208" s="31" t="s">
        <v>578</v>
      </c>
      <c r="F208" s="10">
        <f>Source!CA118</f>
        <v>36</v>
      </c>
      <c r="G208" s="33"/>
      <c r="H208" s="16"/>
      <c r="I208" s="22">
        <f>SUM(U205:U209)</f>
        <v>31.54</v>
      </c>
      <c r="J208" s="34"/>
      <c r="K208" s="15">
        <f>Source!AU118</f>
        <v>36</v>
      </c>
      <c r="L208" s="22">
        <f>SUM(V205:V209)</f>
        <v>1112.27</v>
      </c>
      <c r="M208" s="32"/>
    </row>
    <row r="209" spans="1:33" ht="14.25" x14ac:dyDescent="0.2">
      <c r="A209" s="38"/>
      <c r="B209" s="38"/>
      <c r="C209" s="39"/>
      <c r="D209" s="40" t="s">
        <v>580</v>
      </c>
      <c r="E209" s="41" t="s">
        <v>581</v>
      </c>
      <c r="F209" s="42">
        <f>Source!AQ118</f>
        <v>1.22</v>
      </c>
      <c r="G209" s="43"/>
      <c r="H209" s="44" t="str">
        <f>Source!DI118</f>
        <v/>
      </c>
      <c r="I209" s="43"/>
      <c r="J209" s="44"/>
      <c r="K209" s="44"/>
      <c r="L209" s="43"/>
      <c r="M209" s="45">
        <f>Source!U118</f>
        <v>7.32</v>
      </c>
    </row>
    <row r="210" spans="1:33" ht="15" x14ac:dyDescent="0.25">
      <c r="H210" s="96">
        <f>ROUND(Source!AC118*Source!I118, 2)+ROUND(Source!AF118*Source!I118, 2)+ROUND((((Source!ET118)-(Source!EU118))+Source!AE118)*Source!I118, 2)+SUM(I207:I208)</f>
        <v>183.95999999999998</v>
      </c>
      <c r="I210" s="96"/>
      <c r="K210" s="96">
        <f>Source!O118+SUM(L207:L208)</f>
        <v>6488.26</v>
      </c>
      <c r="L210" s="96"/>
      <c r="M210" s="37">
        <f>Source!U118</f>
        <v>7.32</v>
      </c>
      <c r="O210" s="36">
        <f>H210</f>
        <v>183.95999999999998</v>
      </c>
      <c r="P210" s="36">
        <f>K210</f>
        <v>6488.26</v>
      </c>
      <c r="Q210" s="36">
        <f>M210</f>
        <v>7.32</v>
      </c>
      <c r="W210">
        <f>IF(Source!BI118&lt;=1,H210, 0)</f>
        <v>0</v>
      </c>
      <c r="X210">
        <f>IF(Source!BI118=2,H210, 0)</f>
        <v>0</v>
      </c>
      <c r="Y210">
        <f>IF(Source!BI118=3,H210, 0)</f>
        <v>0</v>
      </c>
      <c r="Z210">
        <f>IF(Source!BI118=4,H210, 0)</f>
        <v>183.95999999999998</v>
      </c>
    </row>
    <row r="211" spans="1:33" ht="42.75" x14ac:dyDescent="0.2">
      <c r="A211" s="28">
        <v>33</v>
      </c>
      <c r="B211" s="28" t="str">
        <f>Source!E119</f>
        <v>30</v>
      </c>
      <c r="C211" s="29" t="str">
        <f>Source!F119</f>
        <v>п01-11-011-1</v>
      </c>
      <c r="D211" s="15" t="str">
        <f>Source!G119</f>
        <v>Проверка наличия цепи между заземлителями и заземленными элементами</v>
      </c>
      <c r="E211" s="31" t="str">
        <f>Source!H119</f>
        <v>100 точек</v>
      </c>
      <c r="F211" s="10">
        <f>Source!I119</f>
        <v>0.4</v>
      </c>
      <c r="G211" s="22">
        <f>IF(Source!AK119&lt;&gt; 0, Source!AK119,Source!AL119 + Source!AM119 + Source!AO119)</f>
        <v>155.13</v>
      </c>
      <c r="H211" s="16"/>
      <c r="I211" s="22"/>
      <c r="J211" s="16" t="str">
        <f>Source!BO119</f>
        <v/>
      </c>
      <c r="K211" s="16"/>
      <c r="L211" s="22"/>
      <c r="M211" s="32"/>
      <c r="S211">
        <f>ROUND((Source!FX119/100)*((ROUND(Source!AF119*Source!I119, 2)+ROUND(Source!AE119*Source!I119, 2))), 2)</f>
        <v>45.92</v>
      </c>
      <c r="T211">
        <f>Source!X119</f>
        <v>1619.54</v>
      </c>
      <c r="U211">
        <f>ROUND((Source!FY119/100)*((ROUND(Source!AF119*Source!I119, 2)+ROUND(Source!AE119*Source!I119, 2))), 2)</f>
        <v>22.34</v>
      </c>
      <c r="V211">
        <f>Source!Y119</f>
        <v>787.89</v>
      </c>
    </row>
    <row r="212" spans="1:33" x14ac:dyDescent="0.2">
      <c r="D212" s="46" t="str">
        <f>"Объем: "&amp;Source!I119&amp;"=40/"&amp;"100"</f>
        <v>Объем: 0,4=40/100</v>
      </c>
    </row>
    <row r="213" spans="1:33" ht="14.25" x14ac:dyDescent="0.2">
      <c r="A213" s="28"/>
      <c r="B213" s="28"/>
      <c r="C213" s="29"/>
      <c r="D213" s="15" t="s">
        <v>575</v>
      </c>
      <c r="E213" s="31"/>
      <c r="F213" s="10"/>
      <c r="G213" s="22">
        <f>Source!AO119</f>
        <v>155.13</v>
      </c>
      <c r="H213" s="16" t="str">
        <f>Source!DG119</f>
        <v/>
      </c>
      <c r="I213" s="22">
        <f>ROUND(Source!AF119*Source!I119, 2)</f>
        <v>62.05</v>
      </c>
      <c r="J213" s="16"/>
      <c r="K213" s="16">
        <f>IF(Source!BA119&lt;&gt; 0, Source!BA119, 1)</f>
        <v>35.270000000000003</v>
      </c>
      <c r="L213" s="22">
        <f>Source!S119</f>
        <v>2188.5700000000002</v>
      </c>
      <c r="M213" s="32"/>
      <c r="R213">
        <f>I213</f>
        <v>62.05</v>
      </c>
    </row>
    <row r="214" spans="1:33" ht="14.25" x14ac:dyDescent="0.2">
      <c r="A214" s="28"/>
      <c r="B214" s="28"/>
      <c r="C214" s="29"/>
      <c r="D214" s="15" t="s">
        <v>577</v>
      </c>
      <c r="E214" s="31" t="s">
        <v>578</v>
      </c>
      <c r="F214" s="10">
        <f>Source!BZ119</f>
        <v>74</v>
      </c>
      <c r="G214" s="33"/>
      <c r="H214" s="16"/>
      <c r="I214" s="22">
        <f>SUM(S211:S216)</f>
        <v>45.92</v>
      </c>
      <c r="J214" s="34"/>
      <c r="K214" s="15">
        <f>Source!AT119</f>
        <v>74</v>
      </c>
      <c r="L214" s="22">
        <f>SUM(T211:T216)</f>
        <v>1619.54</v>
      </c>
      <c r="M214" s="32"/>
    </row>
    <row r="215" spans="1:33" ht="14.25" x14ac:dyDescent="0.2">
      <c r="A215" s="28"/>
      <c r="B215" s="28"/>
      <c r="C215" s="29"/>
      <c r="D215" s="15" t="s">
        <v>579</v>
      </c>
      <c r="E215" s="31" t="s">
        <v>578</v>
      </c>
      <c r="F215" s="10">
        <f>Source!CA119</f>
        <v>36</v>
      </c>
      <c r="G215" s="33"/>
      <c r="H215" s="16"/>
      <c r="I215" s="22">
        <f>SUM(U211:U216)</f>
        <v>22.34</v>
      </c>
      <c r="J215" s="34"/>
      <c r="K215" s="15">
        <f>Source!AU119</f>
        <v>36</v>
      </c>
      <c r="L215" s="22">
        <f>SUM(V211:V216)</f>
        <v>787.89</v>
      </c>
      <c r="M215" s="32"/>
    </row>
    <row r="216" spans="1:33" ht="14.25" x14ac:dyDescent="0.2">
      <c r="A216" s="38"/>
      <c r="B216" s="38"/>
      <c r="C216" s="39"/>
      <c r="D216" s="40" t="s">
        <v>580</v>
      </c>
      <c r="E216" s="41" t="s">
        <v>581</v>
      </c>
      <c r="F216" s="42">
        <f>Source!AQ119</f>
        <v>12.96</v>
      </c>
      <c r="G216" s="43"/>
      <c r="H216" s="44" t="str">
        <f>Source!DI119</f>
        <v/>
      </c>
      <c r="I216" s="43"/>
      <c r="J216" s="44"/>
      <c r="K216" s="44"/>
      <c r="L216" s="43"/>
      <c r="M216" s="45">
        <f>Source!U119</f>
        <v>5.1840000000000011</v>
      </c>
    </row>
    <row r="217" spans="1:33" ht="15" x14ac:dyDescent="0.25">
      <c r="H217" s="96">
        <f>ROUND(Source!AC119*Source!I119, 2)+ROUND(Source!AF119*Source!I119, 2)+ROUND((((Source!ET119)-(Source!EU119))+Source!AE119)*Source!I119, 2)+SUM(I214:I215)</f>
        <v>130.31</v>
      </c>
      <c r="I217" s="96"/>
      <c r="K217" s="96">
        <f>Source!O119+SUM(L214:L215)</f>
        <v>4596</v>
      </c>
      <c r="L217" s="96"/>
      <c r="M217" s="37">
        <f>Source!U119</f>
        <v>5.1840000000000011</v>
      </c>
      <c r="O217" s="36">
        <f>H217</f>
        <v>130.31</v>
      </c>
      <c r="P217" s="36">
        <f>K217</f>
        <v>4596</v>
      </c>
      <c r="Q217" s="36">
        <f>M217</f>
        <v>5.1840000000000011</v>
      </c>
      <c r="W217">
        <f>IF(Source!BI119&lt;=1,H217, 0)</f>
        <v>0</v>
      </c>
      <c r="X217">
        <f>IF(Source!BI119=2,H217, 0)</f>
        <v>0</v>
      </c>
      <c r="Y217">
        <f>IF(Source!BI119=3,H217, 0)</f>
        <v>0</v>
      </c>
      <c r="Z217">
        <f>IF(Source!BI119=4,H217, 0)</f>
        <v>130.31</v>
      </c>
    </row>
    <row r="219" spans="1:33" ht="15" x14ac:dyDescent="0.25">
      <c r="A219" s="95" t="str">
        <f>CONCATENATE("Итого по разделу: ", Source!G121)</f>
        <v>Итого по разделу: Монтаж реклоузера</v>
      </c>
      <c r="B219" s="95"/>
      <c r="C219" s="95"/>
      <c r="D219" s="95"/>
      <c r="E219" s="95"/>
      <c r="F219" s="95"/>
      <c r="G219" s="95"/>
      <c r="H219" s="96">
        <f>SUM(O66:O218)</f>
        <v>10486.72</v>
      </c>
      <c r="I219" s="87"/>
      <c r="J219" s="47"/>
      <c r="K219" s="96">
        <f>SUM(P66:P218)</f>
        <v>159978.74000000002</v>
      </c>
      <c r="L219" s="87"/>
      <c r="M219" s="37">
        <f>SUM(Q66:Q218)</f>
        <v>67.758212</v>
      </c>
      <c r="AG219" s="48" t="str">
        <f>CONCATENATE("Итого по разделу: ", Source!G121)</f>
        <v>Итого по разделу: Монтаж реклоузера</v>
      </c>
    </row>
    <row r="221" spans="1:33" ht="14.25" x14ac:dyDescent="0.2">
      <c r="D221" s="15" t="str">
        <f>Source!H150</f>
        <v>ОЗП</v>
      </c>
      <c r="K221" s="88">
        <f>Source!F150</f>
        <v>21883.94</v>
      </c>
      <c r="L221" s="88"/>
    </row>
    <row r="222" spans="1:33" ht="14.25" x14ac:dyDescent="0.2">
      <c r="D222" s="15" t="str">
        <f>Source!H151</f>
        <v>ЭММ, в т.ч. ЗПМ</v>
      </c>
      <c r="K222" s="88">
        <f>Source!F151</f>
        <v>22634.89</v>
      </c>
      <c r="L222" s="88"/>
    </row>
    <row r="223" spans="1:33" ht="14.25" x14ac:dyDescent="0.2">
      <c r="D223" s="15" t="str">
        <f>Source!H152</f>
        <v>ЗПМ (справочно)</v>
      </c>
      <c r="K223" s="88">
        <f>Source!F152</f>
        <v>5368.75</v>
      </c>
      <c r="L223" s="88"/>
    </row>
    <row r="224" spans="1:33" ht="14.25" x14ac:dyDescent="0.2">
      <c r="D224" s="15" t="str">
        <f>Source!H153</f>
        <v>Стоимость материалов</v>
      </c>
      <c r="K224" s="88">
        <f>Source!F153</f>
        <v>74534.429999999993</v>
      </c>
      <c r="L224" s="88"/>
    </row>
    <row r="225" spans="1:39" ht="14.25" x14ac:dyDescent="0.2">
      <c r="D225" s="15" t="str">
        <f>Source!H154</f>
        <v>НР</v>
      </c>
      <c r="K225" s="88">
        <f>Source!F154</f>
        <v>26253.64</v>
      </c>
      <c r="L225" s="88"/>
    </row>
    <row r="226" spans="1:39" ht="14.25" x14ac:dyDescent="0.2">
      <c r="D226" s="15" t="str">
        <f>Source!H155</f>
        <v>СП</v>
      </c>
      <c r="K226" s="88">
        <f>Source!F155</f>
        <v>14671.84</v>
      </c>
      <c r="L226" s="88"/>
    </row>
    <row r="227" spans="1:39" ht="14.25" x14ac:dyDescent="0.2">
      <c r="D227" s="15" t="str">
        <f>Source!H156</f>
        <v>Итого</v>
      </c>
      <c r="E227" s="99" t="str">
        <f>"="&amp;Source!F150&amp;"+"&amp;""&amp;Source!F151&amp;"+"&amp;""&amp;Source!F153&amp;"+"&amp;""&amp;Source!F154&amp;"+"&amp;""&amp;Source!F155&amp;""</f>
        <v>=21883,94+22634,89+74534,43+26253,64+14671,84</v>
      </c>
      <c r="F227" s="93"/>
      <c r="G227" s="93"/>
      <c r="H227" s="93"/>
      <c r="I227" s="93"/>
      <c r="J227" s="93"/>
      <c r="K227" s="88">
        <f>Source!F156</f>
        <v>159978.74</v>
      </c>
      <c r="L227" s="88"/>
      <c r="AM227" s="49" t="str">
        <f>"="&amp;Source!F150&amp;"+"&amp;""&amp;Source!F151&amp;"+"&amp;""&amp;Source!F153&amp;"+"&amp;""&amp;Source!F154&amp;"+"&amp;""&amp;Source!F155&amp;""</f>
        <v>=21883,94+22634,89+74534,43+26253,64+14671,84</v>
      </c>
    </row>
    <row r="228" spans="1:39" ht="14.25" x14ac:dyDescent="0.2">
      <c r="D228" s="15" t="str">
        <f>Source!H157</f>
        <v>НДС 20%</v>
      </c>
      <c r="E228" s="99" t="str">
        <f>"="&amp;Source!F156&amp;"*"&amp;"0,2"</f>
        <v>=159978,74*0,2</v>
      </c>
      <c r="F228" s="93"/>
      <c r="G228" s="93"/>
      <c r="H228" s="93"/>
      <c r="I228" s="93"/>
      <c r="J228" s="93"/>
      <c r="K228" s="88">
        <f>Source!F157</f>
        <v>31995.75</v>
      </c>
      <c r="L228" s="88"/>
      <c r="AM228" s="49" t="str">
        <f>"="&amp;Source!F156&amp;"*"&amp;"0,2"</f>
        <v>=159978,74*0,2</v>
      </c>
    </row>
    <row r="229" spans="1:39" ht="14.25" x14ac:dyDescent="0.2">
      <c r="D229" s="15" t="str">
        <f>Source!H158</f>
        <v>Всего с НДС</v>
      </c>
      <c r="E229" s="99" t="str">
        <f>"="&amp;Source!F156&amp;"+"&amp;""&amp;Source!F157&amp;""</f>
        <v>=159978,74+31995,75</v>
      </c>
      <c r="F229" s="93"/>
      <c r="G229" s="93"/>
      <c r="H229" s="93"/>
      <c r="I229" s="93"/>
      <c r="J229" s="93"/>
      <c r="K229" s="88">
        <f>Source!F158</f>
        <v>191974.49</v>
      </c>
      <c r="L229" s="88"/>
      <c r="AM229" s="49" t="str">
        <f>"="&amp;Source!F156&amp;"+"&amp;""&amp;Source!F157&amp;""</f>
        <v>=159978,74+31995,75</v>
      </c>
    </row>
    <row r="232" spans="1:39" ht="16.5" x14ac:dyDescent="0.25">
      <c r="A232" s="98" t="str">
        <f>CONCATENATE("Раздел: ", Source!G160)</f>
        <v>Раздел: Монтаж разъединителя</v>
      </c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AE232" s="27" t="str">
        <f>CONCATENATE("Раздел: ", Source!G160)</f>
        <v>Раздел: Монтаж разъединителя</v>
      </c>
    </row>
    <row r="233" spans="1:39" ht="28.5" x14ac:dyDescent="0.2">
      <c r="A233" s="28">
        <v>34</v>
      </c>
      <c r="B233" s="28" t="str">
        <f>Source!E164</f>
        <v>31</v>
      </c>
      <c r="C233" s="29" t="str">
        <f>Source!F164</f>
        <v>м08-01-087-3</v>
      </c>
      <c r="D233" s="15" t="str">
        <f>Source!G164</f>
        <v>Металлические конструкции</v>
      </c>
      <c r="E233" s="31" t="str">
        <f>Source!H164</f>
        <v>1 Т</v>
      </c>
      <c r="F233" s="10">
        <f>Source!I164</f>
        <v>2.266E-2</v>
      </c>
      <c r="G233" s="22">
        <f>IF(Source!AK164&lt;&gt; 0, Source!AK164,Source!AL164 + Source!AM164 + Source!AO164)</f>
        <v>13270.76</v>
      </c>
      <c r="H233" s="16"/>
      <c r="I233" s="22"/>
      <c r="J233" s="16" t="str">
        <f>Source!BO164</f>
        <v>м08-01-087-3</v>
      </c>
      <c r="K233" s="16"/>
      <c r="L233" s="22"/>
      <c r="M233" s="32"/>
      <c r="S233">
        <f>ROUND((Source!FX164/100)*((ROUND(Source!AF164*Source!I164, 2)+ROUND(Source!AE164*Source!I164, 2))), 2)</f>
        <v>12.76</v>
      </c>
      <c r="T233">
        <f>Source!X164</f>
        <v>449.82</v>
      </c>
      <c r="U233">
        <f>ROUND((Source!FY164/100)*((ROUND(Source!AF164*Source!I164, 2)+ROUND(Source!AE164*Source!I164, 2))), 2)</f>
        <v>6.71</v>
      </c>
      <c r="V233">
        <f>Source!Y164</f>
        <v>236.5</v>
      </c>
    </row>
    <row r="234" spans="1:39" x14ac:dyDescent="0.2">
      <c r="D234" s="46" t="str">
        <f>"Объем: "&amp;Source!I164&amp;"=22,66/"&amp;"1000"</f>
        <v>Объем: 0,02266=22,66/1000</v>
      </c>
    </row>
    <row r="235" spans="1:39" ht="14.25" x14ac:dyDescent="0.2">
      <c r="A235" s="28"/>
      <c r="B235" s="28"/>
      <c r="C235" s="29"/>
      <c r="D235" s="15" t="s">
        <v>575</v>
      </c>
      <c r="E235" s="31"/>
      <c r="F235" s="10"/>
      <c r="G235" s="22">
        <f>Source!AO164</f>
        <v>559.17999999999995</v>
      </c>
      <c r="H235" s="16" t="str">
        <f>Source!DG164</f>
        <v/>
      </c>
      <c r="I235" s="22">
        <f>ROUND(Source!AF164*Source!I164, 2)</f>
        <v>12.67</v>
      </c>
      <c r="J235" s="16"/>
      <c r="K235" s="16">
        <f>IF(Source!BA164&lt;&gt; 0, Source!BA164, 1)</f>
        <v>35.270000000000003</v>
      </c>
      <c r="L235" s="22">
        <f>Source!S164</f>
        <v>446.91</v>
      </c>
      <c r="M235" s="32"/>
      <c r="R235">
        <f>I235</f>
        <v>12.67</v>
      </c>
    </row>
    <row r="236" spans="1:39" ht="14.25" x14ac:dyDescent="0.2">
      <c r="A236" s="28"/>
      <c r="B236" s="28"/>
      <c r="C236" s="29"/>
      <c r="D236" s="15" t="s">
        <v>59</v>
      </c>
      <c r="E236" s="31"/>
      <c r="F236" s="10"/>
      <c r="G236" s="22">
        <f>Source!AM164</f>
        <v>514.73</v>
      </c>
      <c r="H236" s="16" t="str">
        <f>Source!DE164</f>
        <v/>
      </c>
      <c r="I236" s="22">
        <f>ROUND((((Source!ET164)-(Source!EU164))+Source!AE164)*Source!I164, 2)</f>
        <v>11.66</v>
      </c>
      <c r="J236" s="16"/>
      <c r="K236" s="16">
        <f>IF(Source!BB164&lt;&gt; 0, Source!BB164, 1)</f>
        <v>10.91</v>
      </c>
      <c r="L236" s="22">
        <f>Source!Q164</f>
        <v>127.25</v>
      </c>
      <c r="M236" s="32"/>
    </row>
    <row r="237" spans="1:39" ht="14.25" x14ac:dyDescent="0.2">
      <c r="A237" s="28"/>
      <c r="B237" s="28"/>
      <c r="C237" s="29"/>
      <c r="D237" s="15" t="s">
        <v>576</v>
      </c>
      <c r="E237" s="31"/>
      <c r="F237" s="10"/>
      <c r="G237" s="22">
        <f>Source!AN164</f>
        <v>21.05</v>
      </c>
      <c r="H237" s="16" t="str">
        <f>Source!DF164</f>
        <v/>
      </c>
      <c r="I237" s="22">
        <f>ROUND(Source!AE164*Source!I164, 2)</f>
        <v>0.48</v>
      </c>
      <c r="J237" s="16"/>
      <c r="K237" s="16">
        <f>IF(Source!BS164&lt;&gt; 0, Source!BS164, 1)</f>
        <v>35.270000000000003</v>
      </c>
      <c r="L237" s="22">
        <f>Source!R164</f>
        <v>16.82</v>
      </c>
      <c r="M237" s="32"/>
      <c r="R237">
        <f>I237</f>
        <v>0.48</v>
      </c>
    </row>
    <row r="238" spans="1:39" ht="14.25" x14ac:dyDescent="0.2">
      <c r="A238" s="28"/>
      <c r="B238" s="28"/>
      <c r="C238" s="29"/>
      <c r="D238" s="15" t="s">
        <v>582</v>
      </c>
      <c r="E238" s="31"/>
      <c r="F238" s="10"/>
      <c r="G238" s="22">
        <f>Source!AL164</f>
        <v>12196.85</v>
      </c>
      <c r="H238" s="16" t="str">
        <f>Source!DD164</f>
        <v/>
      </c>
      <c r="I238" s="22">
        <f>ROUND(Source!AC164*Source!I164, 2)</f>
        <v>276.38</v>
      </c>
      <c r="J238" s="16"/>
      <c r="K238" s="16">
        <f>IF(Source!BC164&lt;&gt; 0, Source!BC164, 1)</f>
        <v>11.17</v>
      </c>
      <c r="L238" s="22">
        <f>Source!P164</f>
        <v>3087.17</v>
      </c>
      <c r="M238" s="32"/>
    </row>
    <row r="239" spans="1:39" ht="14.25" x14ac:dyDescent="0.2">
      <c r="A239" s="28"/>
      <c r="B239" s="28"/>
      <c r="C239" s="29"/>
      <c r="D239" s="15" t="s">
        <v>577</v>
      </c>
      <c r="E239" s="31" t="s">
        <v>578</v>
      </c>
      <c r="F239" s="10">
        <f>Source!BZ164</f>
        <v>97</v>
      </c>
      <c r="G239" s="33"/>
      <c r="H239" s="16"/>
      <c r="I239" s="22">
        <f>SUM(S233:S241)</f>
        <v>12.76</v>
      </c>
      <c r="J239" s="34"/>
      <c r="K239" s="15">
        <f>Source!AT164</f>
        <v>97</v>
      </c>
      <c r="L239" s="22">
        <f>SUM(T233:T241)</f>
        <v>449.82</v>
      </c>
      <c r="M239" s="32"/>
    </row>
    <row r="240" spans="1:39" ht="14.25" x14ac:dyDescent="0.2">
      <c r="A240" s="28"/>
      <c r="B240" s="28"/>
      <c r="C240" s="29"/>
      <c r="D240" s="15" t="s">
        <v>579</v>
      </c>
      <c r="E240" s="31" t="s">
        <v>578</v>
      </c>
      <c r="F240" s="10">
        <f>Source!CA164</f>
        <v>51</v>
      </c>
      <c r="G240" s="33"/>
      <c r="H240" s="16"/>
      <c r="I240" s="22">
        <f>SUM(U233:U241)</f>
        <v>6.71</v>
      </c>
      <c r="J240" s="34"/>
      <c r="K240" s="15">
        <f>Source!AU164</f>
        <v>51</v>
      </c>
      <c r="L240" s="22">
        <f>SUM(V233:V241)</f>
        <v>236.5</v>
      </c>
      <c r="M240" s="32"/>
    </row>
    <row r="241" spans="1:26" ht="14.25" x14ac:dyDescent="0.2">
      <c r="A241" s="38"/>
      <c r="B241" s="38"/>
      <c r="C241" s="39"/>
      <c r="D241" s="40" t="s">
        <v>580</v>
      </c>
      <c r="E241" s="41" t="s">
        <v>581</v>
      </c>
      <c r="F241" s="42">
        <f>Source!AQ164</f>
        <v>62.2</v>
      </c>
      <c r="G241" s="43"/>
      <c r="H241" s="44" t="str">
        <f>Source!DI164</f>
        <v/>
      </c>
      <c r="I241" s="43"/>
      <c r="J241" s="44"/>
      <c r="K241" s="44"/>
      <c r="L241" s="43"/>
      <c r="M241" s="45">
        <f>Source!U164</f>
        <v>1.4094520000000001</v>
      </c>
    </row>
    <row r="242" spans="1:26" ht="15" x14ac:dyDescent="0.25">
      <c r="H242" s="96">
        <f>ROUND(Source!AC164*Source!I164, 2)+ROUND(Source!AF164*Source!I164, 2)+ROUND((((Source!ET164)-(Source!EU164))+Source!AE164)*Source!I164, 2)+SUM(I239:I240)</f>
        <v>320.18000000000006</v>
      </c>
      <c r="I242" s="96"/>
      <c r="K242" s="96">
        <f>Source!O164+SUM(L239:L240)</f>
        <v>4347.6499999999996</v>
      </c>
      <c r="L242" s="96"/>
      <c r="M242" s="37">
        <f>Source!U164</f>
        <v>1.4094520000000001</v>
      </c>
      <c r="O242" s="36">
        <f>H242</f>
        <v>320.18000000000006</v>
      </c>
      <c r="P242" s="36">
        <f>K242</f>
        <v>4347.6499999999996</v>
      </c>
      <c r="Q242" s="36">
        <f>M242</f>
        <v>1.4094520000000001</v>
      </c>
      <c r="W242">
        <f>IF(Source!BI164&lt;=1,H242, 0)</f>
        <v>0</v>
      </c>
      <c r="X242">
        <f>IF(Source!BI164=2,H242, 0)</f>
        <v>320.18000000000006</v>
      </c>
      <c r="Y242">
        <f>IF(Source!BI164=3,H242, 0)</f>
        <v>0</v>
      </c>
      <c r="Z242">
        <f>IF(Source!BI164=4,H242, 0)</f>
        <v>0</v>
      </c>
    </row>
    <row r="243" spans="1:26" ht="28.5" x14ac:dyDescent="0.2">
      <c r="A243" s="28">
        <v>35</v>
      </c>
      <c r="B243" s="28" t="str">
        <f>Source!E165</f>
        <v>32</v>
      </c>
      <c r="C243" s="29" t="str">
        <f>Source!F165</f>
        <v>33-04-030-3</v>
      </c>
      <c r="D243" s="15" t="str">
        <f>Source!G165</f>
        <v>Установка разъединителей с помощью механизмов</v>
      </c>
      <c r="E243" s="31" t="str">
        <f>Source!H165</f>
        <v>1 КОМПЛ.</v>
      </c>
      <c r="F243" s="10">
        <f>Source!I165</f>
        <v>1</v>
      </c>
      <c r="G243" s="22">
        <f>IF(Source!AK165&lt;&gt; 0, Source!AK165,Source!AL165 + Source!AM165 + Source!AO165)</f>
        <v>197.83</v>
      </c>
      <c r="H243" s="16"/>
      <c r="I243" s="22"/>
      <c r="J243" s="16" t="str">
        <f>Source!BO165</f>
        <v>33-04-030-3</v>
      </c>
      <c r="K243" s="16"/>
      <c r="L243" s="22"/>
      <c r="M243" s="32"/>
      <c r="S243">
        <f>ROUND((Source!FX165/100)*((ROUND(Source!AF165*Source!I165, 2)+ROUND(Source!AE165*Source!I165, 2))), 2)</f>
        <v>86.56</v>
      </c>
      <c r="T243">
        <f>Source!X165</f>
        <v>3053.01</v>
      </c>
      <c r="U243">
        <f>ROUND((Source!FY165/100)*((ROUND(Source!AF165*Source!I165, 2)+ROUND(Source!AE165*Source!I165, 2))), 2)</f>
        <v>50.42</v>
      </c>
      <c r="V243">
        <f>Source!Y165</f>
        <v>1778.45</v>
      </c>
    </row>
    <row r="244" spans="1:26" ht="14.25" x14ac:dyDescent="0.2">
      <c r="A244" s="28"/>
      <c r="B244" s="28"/>
      <c r="C244" s="29"/>
      <c r="D244" s="15" t="s">
        <v>575</v>
      </c>
      <c r="E244" s="31"/>
      <c r="F244" s="10"/>
      <c r="G244" s="22">
        <f>Source!AO165</f>
        <v>76.05</v>
      </c>
      <c r="H244" s="16" t="str">
        <f>Source!DG165</f>
        <v/>
      </c>
      <c r="I244" s="22">
        <f>ROUND(Source!AF165*Source!I165, 2)</f>
        <v>76.05</v>
      </c>
      <c r="J244" s="16"/>
      <c r="K244" s="16">
        <f>IF(Source!BA165&lt;&gt; 0, Source!BA165, 1)</f>
        <v>35.270000000000003</v>
      </c>
      <c r="L244" s="22">
        <f>Source!S165</f>
        <v>2682.28</v>
      </c>
      <c r="M244" s="32"/>
      <c r="R244">
        <f>I244</f>
        <v>76.05</v>
      </c>
    </row>
    <row r="245" spans="1:26" ht="14.25" x14ac:dyDescent="0.2">
      <c r="A245" s="28"/>
      <c r="B245" s="28"/>
      <c r="C245" s="29"/>
      <c r="D245" s="15" t="s">
        <v>59</v>
      </c>
      <c r="E245" s="31"/>
      <c r="F245" s="10"/>
      <c r="G245" s="22">
        <f>Source!AM165</f>
        <v>119.55</v>
      </c>
      <c r="H245" s="16" t="str">
        <f>Source!DE165</f>
        <v/>
      </c>
      <c r="I245" s="22">
        <f>ROUND((((Source!ET165)-(Source!EU165))+Source!AE165)*Source!I165, 2)</f>
        <v>119.55</v>
      </c>
      <c r="J245" s="16"/>
      <c r="K245" s="16">
        <f>IF(Source!BB165&lt;&gt; 0, Source!BB165, 1)</f>
        <v>12.5</v>
      </c>
      <c r="L245" s="22">
        <f>Source!Q165</f>
        <v>1494.38</v>
      </c>
      <c r="M245" s="32"/>
    </row>
    <row r="246" spans="1:26" ht="14.25" x14ac:dyDescent="0.2">
      <c r="A246" s="28"/>
      <c r="B246" s="28"/>
      <c r="C246" s="29"/>
      <c r="D246" s="15" t="s">
        <v>576</v>
      </c>
      <c r="E246" s="31"/>
      <c r="F246" s="10"/>
      <c r="G246" s="22">
        <f>Source!AN165</f>
        <v>7.99</v>
      </c>
      <c r="H246" s="16" t="str">
        <f>Source!DF165</f>
        <v/>
      </c>
      <c r="I246" s="22">
        <f>ROUND(Source!AE165*Source!I165, 2)</f>
        <v>7.99</v>
      </c>
      <c r="J246" s="16"/>
      <c r="K246" s="16">
        <f>IF(Source!BS165&lt;&gt; 0, Source!BS165, 1)</f>
        <v>35.270000000000003</v>
      </c>
      <c r="L246" s="22">
        <f>Source!R165</f>
        <v>281.81</v>
      </c>
      <c r="M246" s="32"/>
      <c r="R246">
        <f>I246</f>
        <v>7.99</v>
      </c>
    </row>
    <row r="247" spans="1:26" ht="14.25" x14ac:dyDescent="0.2">
      <c r="A247" s="28"/>
      <c r="B247" s="28"/>
      <c r="C247" s="29"/>
      <c r="D247" s="15" t="s">
        <v>582</v>
      </c>
      <c r="E247" s="31"/>
      <c r="F247" s="10"/>
      <c r="G247" s="22">
        <f>Source!AL165</f>
        <v>2.23</v>
      </c>
      <c r="H247" s="16" t="str">
        <f>Source!DD165</f>
        <v/>
      </c>
      <c r="I247" s="22">
        <f>ROUND(Source!AC165*Source!I165, 2)</f>
        <v>2.23</v>
      </c>
      <c r="J247" s="16"/>
      <c r="K247" s="16">
        <f>IF(Source!BC165&lt;&gt; 0, Source!BC165, 1)</f>
        <v>11.4</v>
      </c>
      <c r="L247" s="22">
        <f>Source!P165</f>
        <v>25.42</v>
      </c>
      <c r="M247" s="32"/>
    </row>
    <row r="248" spans="1:26" ht="14.25" x14ac:dyDescent="0.2">
      <c r="A248" s="28"/>
      <c r="B248" s="28"/>
      <c r="C248" s="29"/>
      <c r="D248" s="15" t="s">
        <v>577</v>
      </c>
      <c r="E248" s="31" t="s">
        <v>578</v>
      </c>
      <c r="F248" s="10">
        <f>Source!BZ165</f>
        <v>103</v>
      </c>
      <c r="G248" s="33"/>
      <c r="H248" s="16"/>
      <c r="I248" s="22">
        <f>SUM(S243:S250)</f>
        <v>86.56</v>
      </c>
      <c r="J248" s="34"/>
      <c r="K248" s="15">
        <f>Source!AT165</f>
        <v>103</v>
      </c>
      <c r="L248" s="22">
        <f>SUM(T243:T250)</f>
        <v>3053.01</v>
      </c>
      <c r="M248" s="32"/>
    </row>
    <row r="249" spans="1:26" ht="14.25" x14ac:dyDescent="0.2">
      <c r="A249" s="28"/>
      <c r="B249" s="28"/>
      <c r="C249" s="29"/>
      <c r="D249" s="15" t="s">
        <v>579</v>
      </c>
      <c r="E249" s="31" t="s">
        <v>578</v>
      </c>
      <c r="F249" s="10">
        <f>Source!CA165</f>
        <v>60</v>
      </c>
      <c r="G249" s="33"/>
      <c r="H249" s="16"/>
      <c r="I249" s="22">
        <f>SUM(U243:U250)</f>
        <v>50.42</v>
      </c>
      <c r="J249" s="34"/>
      <c r="K249" s="15">
        <f>Source!AU165</f>
        <v>60</v>
      </c>
      <c r="L249" s="22">
        <f>SUM(V243:V250)</f>
        <v>1778.45</v>
      </c>
      <c r="M249" s="32"/>
    </row>
    <row r="250" spans="1:26" ht="14.25" x14ac:dyDescent="0.2">
      <c r="A250" s="38"/>
      <c r="B250" s="38"/>
      <c r="C250" s="39"/>
      <c r="D250" s="40" t="s">
        <v>580</v>
      </c>
      <c r="E250" s="41" t="s">
        <v>581</v>
      </c>
      <c r="F250" s="42">
        <f>Source!AQ165</f>
        <v>8.09</v>
      </c>
      <c r="G250" s="43"/>
      <c r="H250" s="44" t="str">
        <f>Source!DI165</f>
        <v/>
      </c>
      <c r="I250" s="43"/>
      <c r="J250" s="44"/>
      <c r="K250" s="44"/>
      <c r="L250" s="43"/>
      <c r="M250" s="45">
        <f>Source!U165</f>
        <v>8.09</v>
      </c>
    </row>
    <row r="251" spans="1:26" ht="15" x14ac:dyDescent="0.25">
      <c r="H251" s="96">
        <f>ROUND(Source!AC165*Source!I165, 2)+ROUND(Source!AF165*Source!I165, 2)+ROUND((((Source!ET165)-(Source!EU165))+Source!AE165)*Source!I165, 2)+SUM(I248:I249)</f>
        <v>334.81</v>
      </c>
      <c r="I251" s="96"/>
      <c r="K251" s="96">
        <f>Source!O165+SUM(L248:L249)</f>
        <v>9033.5400000000009</v>
      </c>
      <c r="L251" s="96"/>
      <c r="M251" s="37">
        <f>Source!U165</f>
        <v>8.09</v>
      </c>
      <c r="O251" s="36">
        <f>H251</f>
        <v>334.81</v>
      </c>
      <c r="P251" s="36">
        <f>K251</f>
        <v>9033.5400000000009</v>
      </c>
      <c r="Q251" s="36">
        <f>M251</f>
        <v>8.09</v>
      </c>
      <c r="W251">
        <f>IF(Source!BI165&lt;=1,H251, 0)</f>
        <v>334.81</v>
      </c>
      <c r="X251">
        <f>IF(Source!BI165=2,H251, 0)</f>
        <v>0</v>
      </c>
      <c r="Y251">
        <f>IF(Source!BI165=3,H251, 0)</f>
        <v>0</v>
      </c>
      <c r="Z251">
        <f>IF(Source!BI165=4,H251, 0)</f>
        <v>0</v>
      </c>
    </row>
    <row r="252" spans="1:26" ht="42.75" x14ac:dyDescent="0.2">
      <c r="A252" s="28">
        <v>36</v>
      </c>
      <c r="B252" s="28" t="str">
        <f>Source!E172</f>
        <v>33</v>
      </c>
      <c r="C252" s="29" t="str">
        <f>Source!F172</f>
        <v>201-8113</v>
      </c>
      <c r="D252" s="15" t="str">
        <f>Source!G172</f>
        <v>Траверсы металлические высоковольтные (Траверса ТМ-3 22,66 кг)</v>
      </c>
      <c r="E252" s="31" t="str">
        <f>Source!H172</f>
        <v>т</v>
      </c>
      <c r="F252" s="10">
        <f>Source!I172</f>
        <v>2.266E-2</v>
      </c>
      <c r="G252" s="22">
        <f>IF(Source!AK172&lt;&gt; 0, Source!AK172,Source!AL172 + Source!AM172 + Source!AO172)</f>
        <v>10995.42</v>
      </c>
      <c r="H252" s="16"/>
      <c r="I252" s="22"/>
      <c r="J252" s="16" t="str">
        <f>Source!BO172</f>
        <v>201-8113</v>
      </c>
      <c r="K252" s="16"/>
      <c r="L252" s="22"/>
      <c r="M252" s="32"/>
      <c r="S252">
        <f>ROUND((Source!FX172/100)*((ROUND(Source!AF172*Source!I172, 2)+ROUND(Source!AE172*Source!I172, 2))), 2)</f>
        <v>0</v>
      </c>
      <c r="T252">
        <f>Source!X172</f>
        <v>0</v>
      </c>
      <c r="U252">
        <f>ROUND((Source!FY172/100)*((ROUND(Source!AF172*Source!I172, 2)+ROUND(Source!AE172*Source!I172, 2))), 2)</f>
        <v>0</v>
      </c>
      <c r="V252">
        <f>Source!Y172</f>
        <v>0</v>
      </c>
    </row>
    <row r="253" spans="1:26" ht="14.25" x14ac:dyDescent="0.2">
      <c r="A253" s="38"/>
      <c r="B253" s="38"/>
      <c r="C253" s="39"/>
      <c r="D253" s="40" t="s">
        <v>582</v>
      </c>
      <c r="E253" s="41"/>
      <c r="F253" s="42"/>
      <c r="G253" s="43">
        <f>Source!AL172</f>
        <v>10995.42</v>
      </c>
      <c r="H253" s="44" t="str">
        <f>Source!DD172</f>
        <v/>
      </c>
      <c r="I253" s="43">
        <f>ROUND(Source!AC172*Source!I172, 2)</f>
        <v>249.16</v>
      </c>
      <c r="J253" s="44"/>
      <c r="K253" s="44">
        <f>IF(Source!BC172&lt;&gt; 0, Source!BC172, 1)</f>
        <v>22.9</v>
      </c>
      <c r="L253" s="43">
        <f>Source!P172</f>
        <v>5705.68</v>
      </c>
      <c r="M253" s="55"/>
    </row>
    <row r="254" spans="1:26" ht="15" x14ac:dyDescent="0.25">
      <c r="H254" s="96">
        <f>ROUND(Source!AC172*Source!I172, 2)+ROUND(Source!AF172*Source!I172, 2)+ROUND((((Source!ET172)-(Source!EU172))+Source!AE172)*Source!I172, 2)</f>
        <v>249.16</v>
      </c>
      <c r="I254" s="96"/>
      <c r="K254" s="96">
        <f>Source!O172</f>
        <v>5705.68</v>
      </c>
      <c r="L254" s="96"/>
      <c r="M254" s="37">
        <f>Source!U172</f>
        <v>0</v>
      </c>
      <c r="O254" s="36">
        <f>H254</f>
        <v>249.16</v>
      </c>
      <c r="P254" s="36">
        <f>K254</f>
        <v>5705.68</v>
      </c>
      <c r="Q254" s="36">
        <f>M254</f>
        <v>0</v>
      </c>
      <c r="W254">
        <f>IF(Source!BI172&lt;=1,H254, 0)</f>
        <v>249.16</v>
      </c>
      <c r="X254">
        <f>IF(Source!BI172=2,H254, 0)</f>
        <v>0</v>
      </c>
      <c r="Y254">
        <f>IF(Source!BI172=3,H254, 0)</f>
        <v>0</v>
      </c>
      <c r="Z254">
        <f>IF(Source!BI172=4,H254, 0)</f>
        <v>0</v>
      </c>
    </row>
    <row r="255" spans="1:26" ht="14.25" x14ac:dyDescent="0.2">
      <c r="A255" s="28">
        <v>37</v>
      </c>
      <c r="B255" s="28" t="str">
        <f>Source!E173</f>
        <v>34</v>
      </c>
      <c r="C255" s="29" t="str">
        <f>Source!F173</f>
        <v>201-0856</v>
      </c>
      <c r="D255" s="15" t="str">
        <f>Source!G173</f>
        <v>Хомуты стальные (Хомут Х-12 1,18 кг)</v>
      </c>
      <c r="E255" s="31" t="str">
        <f>Source!H173</f>
        <v>кг</v>
      </c>
      <c r="F255" s="10">
        <f>Source!I173</f>
        <v>1.18</v>
      </c>
      <c r="G255" s="22">
        <f>IF(Source!AK173&lt;&gt; 0, Source!AK173,Source!AL173 + Source!AM173 + Source!AO173)</f>
        <v>9.74</v>
      </c>
      <c r="H255" s="16"/>
      <c r="I255" s="22"/>
      <c r="J255" s="16" t="str">
        <f>Source!BO173</f>
        <v>201-0856</v>
      </c>
      <c r="K255" s="16"/>
      <c r="L255" s="22"/>
      <c r="M255" s="32"/>
      <c r="S255">
        <f>ROUND((Source!FX173/100)*((ROUND(Source!AF173*Source!I173, 2)+ROUND(Source!AE173*Source!I173, 2))), 2)</f>
        <v>0</v>
      </c>
      <c r="T255">
        <f>Source!X173</f>
        <v>0</v>
      </c>
      <c r="U255">
        <f>ROUND((Source!FY173/100)*((ROUND(Source!AF173*Source!I173, 2)+ROUND(Source!AE173*Source!I173, 2))), 2)</f>
        <v>0</v>
      </c>
      <c r="V255">
        <f>Source!Y173</f>
        <v>0</v>
      </c>
    </row>
    <row r="256" spans="1:26" ht="14.25" x14ac:dyDescent="0.2">
      <c r="A256" s="38"/>
      <c r="B256" s="38"/>
      <c r="C256" s="39"/>
      <c r="D256" s="40" t="s">
        <v>582</v>
      </c>
      <c r="E256" s="41"/>
      <c r="F256" s="42"/>
      <c r="G256" s="43">
        <f>Source!AL173</f>
        <v>9.74</v>
      </c>
      <c r="H256" s="44" t="str">
        <f>Source!DD173</f>
        <v/>
      </c>
      <c r="I256" s="43">
        <f>ROUND(Source!AC173*Source!I173, 2)</f>
        <v>11.49</v>
      </c>
      <c r="J256" s="44"/>
      <c r="K256" s="44">
        <f>IF(Source!BC173&lt;&gt; 0, Source!BC173, 1)</f>
        <v>7.38</v>
      </c>
      <c r="L256" s="43">
        <f>Source!P173</f>
        <v>84.82</v>
      </c>
      <c r="M256" s="55"/>
    </row>
    <row r="257" spans="1:26" ht="15" x14ac:dyDescent="0.25">
      <c r="H257" s="96">
        <f>ROUND(Source!AC173*Source!I173, 2)+ROUND(Source!AF173*Source!I173, 2)+ROUND((((Source!ET173)-(Source!EU173))+Source!AE173)*Source!I173, 2)</f>
        <v>11.49</v>
      </c>
      <c r="I257" s="96"/>
      <c r="K257" s="96">
        <f>Source!O173</f>
        <v>84.82</v>
      </c>
      <c r="L257" s="96"/>
      <c r="M257" s="37">
        <f>Source!U173</f>
        <v>0</v>
      </c>
      <c r="O257" s="36">
        <f>H257</f>
        <v>11.49</v>
      </c>
      <c r="P257" s="36">
        <f>K257</f>
        <v>84.82</v>
      </c>
      <c r="Q257" s="36">
        <f>M257</f>
        <v>0</v>
      </c>
      <c r="W257">
        <f>IF(Source!BI173&lt;=1,H257, 0)</f>
        <v>11.49</v>
      </c>
      <c r="X257">
        <f>IF(Source!BI173=2,H257, 0)</f>
        <v>0</v>
      </c>
      <c r="Y257">
        <f>IF(Source!BI173=3,H257, 0)</f>
        <v>0</v>
      </c>
      <c r="Z257">
        <f>IF(Source!BI173=4,H257, 0)</f>
        <v>0</v>
      </c>
    </row>
    <row r="258" spans="1:26" ht="28.5" x14ac:dyDescent="0.2">
      <c r="A258" s="28">
        <v>38</v>
      </c>
      <c r="B258" s="28" t="str">
        <f>Source!E174</f>
        <v>35</v>
      </c>
      <c r="C258" s="29" t="str">
        <f>Source!F174</f>
        <v>204-0003</v>
      </c>
      <c r="D258" s="15" t="str">
        <f>Source!G174</f>
        <v>Горячекатаная арматурная сталь гладкая класса А-I, диаметром 10 мм</v>
      </c>
      <c r="E258" s="31" t="str">
        <f>Source!H174</f>
        <v>т</v>
      </c>
      <c r="F258" s="10">
        <f>Source!I174</f>
        <v>5.169E-3</v>
      </c>
      <c r="G258" s="22">
        <f>IF(Source!AK174&lt;&gt; 0, Source!AK174,Source!AL174 + Source!AM174 + Source!AO174)</f>
        <v>6813</v>
      </c>
      <c r="H258" s="16"/>
      <c r="I258" s="22"/>
      <c r="J258" s="16" t="str">
        <f>Source!BO174</f>
        <v>204-0003</v>
      </c>
      <c r="K258" s="16"/>
      <c r="L258" s="22"/>
      <c r="M258" s="32"/>
      <c r="S258">
        <f>ROUND((Source!FX174/100)*((ROUND(Source!AF174*Source!I174, 2)+ROUND(Source!AE174*Source!I174, 2))), 2)</f>
        <v>0</v>
      </c>
      <c r="T258">
        <f>Source!X174</f>
        <v>0</v>
      </c>
      <c r="U258">
        <f>ROUND((Source!FY174/100)*((ROUND(Source!AF174*Source!I174, 2)+ROUND(Source!AE174*Source!I174, 2))), 2)</f>
        <v>0</v>
      </c>
      <c r="V258">
        <f>Source!Y174</f>
        <v>0</v>
      </c>
    </row>
    <row r="259" spans="1:26" ht="14.25" x14ac:dyDescent="0.2">
      <c r="A259" s="38"/>
      <c r="B259" s="38"/>
      <c r="C259" s="39"/>
      <c r="D259" s="40" t="s">
        <v>582</v>
      </c>
      <c r="E259" s="41"/>
      <c r="F259" s="42"/>
      <c r="G259" s="43">
        <f>Source!AL174</f>
        <v>6813</v>
      </c>
      <c r="H259" s="44" t="str">
        <f>Source!DD174</f>
        <v/>
      </c>
      <c r="I259" s="43">
        <f>ROUND(Source!AC174*Source!I174, 2)</f>
        <v>35.22</v>
      </c>
      <c r="J259" s="44"/>
      <c r="K259" s="44">
        <f>IF(Source!BC174&lt;&gt; 0, Source!BC174, 1)</f>
        <v>10.43</v>
      </c>
      <c r="L259" s="43">
        <f>Source!P174</f>
        <v>367.31</v>
      </c>
      <c r="M259" s="55"/>
    </row>
    <row r="260" spans="1:26" ht="15" x14ac:dyDescent="0.25">
      <c r="H260" s="96">
        <f>ROUND(Source!AC174*Source!I174, 2)+ROUND(Source!AF174*Source!I174, 2)+ROUND((((Source!ET174)-(Source!EU174))+Source!AE174)*Source!I174, 2)</f>
        <v>35.22</v>
      </c>
      <c r="I260" s="96"/>
      <c r="K260" s="96">
        <f>Source!O174</f>
        <v>367.31</v>
      </c>
      <c r="L260" s="96"/>
      <c r="M260" s="37">
        <f>Source!U174</f>
        <v>0</v>
      </c>
      <c r="O260" s="36">
        <f>H260</f>
        <v>35.22</v>
      </c>
      <c r="P260" s="36">
        <f>K260</f>
        <v>367.31</v>
      </c>
      <c r="Q260" s="36">
        <f>M260</f>
        <v>0</v>
      </c>
      <c r="W260">
        <f>IF(Source!BI174&lt;=1,H260, 0)</f>
        <v>35.22</v>
      </c>
      <c r="X260">
        <f>IF(Source!BI174=2,H260, 0)</f>
        <v>0</v>
      </c>
      <c r="Y260">
        <f>IF(Source!BI174=3,H260, 0)</f>
        <v>0</v>
      </c>
      <c r="Z260">
        <f>IF(Source!BI174=4,H260, 0)</f>
        <v>0</v>
      </c>
    </row>
    <row r="261" spans="1:26" ht="42.75" x14ac:dyDescent="0.2">
      <c r="A261" s="28">
        <v>39</v>
      </c>
      <c r="B261" s="28" t="str">
        <f>Source!E175</f>
        <v>36</v>
      </c>
      <c r="C261" s="29" t="str">
        <f>Source!F175</f>
        <v>110-0318</v>
      </c>
      <c r="D261" s="15" t="str">
        <f>Source!G175</f>
        <v>Изоляторы линейные штыревые высоковольтные ШФ 20-Г (прим. Изолятор ШФ-20)</v>
      </c>
      <c r="E261" s="31" t="str">
        <f>Source!H175</f>
        <v>шт.</v>
      </c>
      <c r="F261" s="10">
        <f>Source!I175</f>
        <v>3</v>
      </c>
      <c r="G261" s="22">
        <f>IF(Source!AK175&lt;&gt; 0, Source!AK175,Source!AL175 + Source!AM175 + Source!AO175)</f>
        <v>43.95</v>
      </c>
      <c r="H261" s="16"/>
      <c r="I261" s="22"/>
      <c r="J261" s="16" t="str">
        <f>Source!BO175</f>
        <v>110-0318</v>
      </c>
      <c r="K261" s="16"/>
      <c r="L261" s="22"/>
      <c r="M261" s="32"/>
      <c r="S261">
        <f>ROUND((Source!FX175/100)*((ROUND(Source!AF175*Source!I175, 2)+ROUND(Source!AE175*Source!I175, 2))), 2)</f>
        <v>0</v>
      </c>
      <c r="T261">
        <f>Source!X175</f>
        <v>0</v>
      </c>
      <c r="U261">
        <f>ROUND((Source!FY175/100)*((ROUND(Source!AF175*Source!I175, 2)+ROUND(Source!AE175*Source!I175, 2))), 2)</f>
        <v>0</v>
      </c>
      <c r="V261">
        <f>Source!Y175</f>
        <v>0</v>
      </c>
    </row>
    <row r="262" spans="1:26" ht="14.25" x14ac:dyDescent="0.2">
      <c r="A262" s="38"/>
      <c r="B262" s="38"/>
      <c r="C262" s="39"/>
      <c r="D262" s="40" t="s">
        <v>582</v>
      </c>
      <c r="E262" s="41"/>
      <c r="F262" s="42"/>
      <c r="G262" s="43">
        <f>Source!AL175</f>
        <v>43.95</v>
      </c>
      <c r="H262" s="44" t="str">
        <f>Source!DD175</f>
        <v/>
      </c>
      <c r="I262" s="43">
        <f>ROUND(Source!AC175*Source!I175, 2)</f>
        <v>131.85</v>
      </c>
      <c r="J262" s="44"/>
      <c r="K262" s="44">
        <f>IF(Source!BC175&lt;&gt; 0, Source!BC175, 1)</f>
        <v>6.63</v>
      </c>
      <c r="L262" s="43">
        <f>Source!P175</f>
        <v>874.17</v>
      </c>
      <c r="M262" s="55"/>
    </row>
    <row r="263" spans="1:26" ht="15" x14ac:dyDescent="0.25">
      <c r="H263" s="96">
        <f>ROUND(Source!AC175*Source!I175, 2)+ROUND(Source!AF175*Source!I175, 2)+ROUND((((Source!ET175)-(Source!EU175))+Source!AE175)*Source!I175, 2)</f>
        <v>131.85</v>
      </c>
      <c r="I263" s="96"/>
      <c r="K263" s="96">
        <f>Source!O175</f>
        <v>874.17</v>
      </c>
      <c r="L263" s="96"/>
      <c r="M263" s="37">
        <f>Source!U175</f>
        <v>0</v>
      </c>
      <c r="O263" s="36">
        <f>H263</f>
        <v>131.85</v>
      </c>
      <c r="P263" s="36">
        <f>K263</f>
        <v>874.17</v>
      </c>
      <c r="Q263" s="36">
        <f>M263</f>
        <v>0</v>
      </c>
      <c r="W263">
        <f>IF(Source!BI175&lt;=1,H263, 0)</f>
        <v>131.85</v>
      </c>
      <c r="X263">
        <f>IF(Source!BI175=2,H263, 0)</f>
        <v>0</v>
      </c>
      <c r="Y263">
        <f>IF(Source!BI175=3,H263, 0)</f>
        <v>0</v>
      </c>
      <c r="Z263">
        <f>IF(Source!BI175=4,H263, 0)</f>
        <v>0</v>
      </c>
    </row>
    <row r="264" spans="1:26" ht="41.25" x14ac:dyDescent="0.2">
      <c r="A264" s="28">
        <v>40</v>
      </c>
      <c r="B264" s="28" t="str">
        <f>Source!E176</f>
        <v>37</v>
      </c>
      <c r="C264" s="29" t="str">
        <f>Source!F176</f>
        <v>Прайс-лист</v>
      </c>
      <c r="D264" s="15" t="s">
        <v>585</v>
      </c>
      <c r="E264" s="31" t="str">
        <f>Source!H176</f>
        <v>компл.</v>
      </c>
      <c r="F264" s="10">
        <f>Source!I176</f>
        <v>1</v>
      </c>
      <c r="G264" s="22">
        <f>IF(Source!AK176&lt;&gt; 0, Source!AK176,Source!AL176 + Source!AM176 + Source!AO176)</f>
        <v>10416.67</v>
      </c>
      <c r="H264" s="16"/>
      <c r="I264" s="22"/>
      <c r="J264" s="16" t="str">
        <f>Source!BO176</f>
        <v/>
      </c>
      <c r="K264" s="16"/>
      <c r="L264" s="22"/>
      <c r="M264" s="32"/>
      <c r="S264">
        <f>ROUND((Source!FX176/100)*((ROUND(Source!AF176*Source!I176, 2)+ROUND(Source!AE176*Source!I176, 2))), 2)</f>
        <v>0</v>
      </c>
      <c r="T264">
        <f>Source!X176</f>
        <v>0</v>
      </c>
      <c r="U264">
        <f>ROUND((Source!FY176/100)*((ROUND(Source!AF176*Source!I176, 2)+ROUND(Source!AE176*Source!I176, 2))), 2)</f>
        <v>0</v>
      </c>
      <c r="V264">
        <f>Source!Y176</f>
        <v>0</v>
      </c>
    </row>
    <row r="265" spans="1:26" ht="14.25" x14ac:dyDescent="0.2">
      <c r="A265" s="38"/>
      <c r="B265" s="38"/>
      <c r="C265" s="39"/>
      <c r="D265" s="40" t="s">
        <v>582</v>
      </c>
      <c r="E265" s="41"/>
      <c r="F265" s="42"/>
      <c r="G265" s="43">
        <f>Source!AL176</f>
        <v>10416.67</v>
      </c>
      <c r="H265" s="44" t="str">
        <f>Source!DD176</f>
        <v/>
      </c>
      <c r="I265" s="43">
        <f>ROUND(Source!AC176*Source!I176, 2)</f>
        <v>10416.67</v>
      </c>
      <c r="J265" s="44"/>
      <c r="K265" s="44">
        <f>IF(Source!BC176&lt;&gt; 0, Source!BC176, 1)</f>
        <v>1</v>
      </c>
      <c r="L265" s="43">
        <f>Source!P176</f>
        <v>10416.67</v>
      </c>
      <c r="M265" s="55"/>
    </row>
    <row r="266" spans="1:26" ht="15" x14ac:dyDescent="0.25">
      <c r="H266" s="96">
        <f>ROUND(Source!AC176*Source!I176, 2)+ROUND(Source!AF176*Source!I176, 2)+ROUND((((Source!ET176)-(Source!EU176))+Source!AE176)*Source!I176, 2)</f>
        <v>10416.67</v>
      </c>
      <c r="I266" s="96"/>
      <c r="K266" s="96">
        <f>Source!O176</f>
        <v>10416.67</v>
      </c>
      <c r="L266" s="96"/>
      <c r="M266" s="37">
        <f>Source!U176</f>
        <v>0</v>
      </c>
      <c r="O266" s="36">
        <f>H266</f>
        <v>10416.67</v>
      </c>
      <c r="P266" s="36">
        <f>K266</f>
        <v>10416.67</v>
      </c>
      <c r="Q266" s="36">
        <f>M266</f>
        <v>0</v>
      </c>
      <c r="W266">
        <f>IF(Source!BI176&lt;=1,H266, 0)</f>
        <v>10416.67</v>
      </c>
      <c r="X266">
        <f>IF(Source!BI176=2,H266, 0)</f>
        <v>0</v>
      </c>
      <c r="Y266">
        <f>IF(Source!BI176=3,H266, 0)</f>
        <v>0</v>
      </c>
      <c r="Z266">
        <f>IF(Source!BI176=4,H266, 0)</f>
        <v>0</v>
      </c>
    </row>
    <row r="267" spans="1:26" ht="69.75" x14ac:dyDescent="0.2">
      <c r="A267" s="28">
        <v>41</v>
      </c>
      <c r="B267" s="28" t="str">
        <f>Source!E177</f>
        <v>38</v>
      </c>
      <c r="C267" s="29" t="str">
        <f>Source!F177</f>
        <v>Прайс-лист</v>
      </c>
      <c r="D267" s="15" t="s">
        <v>586</v>
      </c>
      <c r="E267" s="31" t="str">
        <f>Source!H177</f>
        <v>компл.</v>
      </c>
      <c r="F267" s="10">
        <f>Source!I177</f>
        <v>1</v>
      </c>
      <c r="G267" s="22">
        <f>IF(Source!AK177&lt;&gt; 0, Source!AK177,Source!AL177 + Source!AM177 + Source!AO177)</f>
        <v>10000</v>
      </c>
      <c r="H267" s="16"/>
      <c r="I267" s="22"/>
      <c r="J267" s="16" t="str">
        <f>Source!BO177</f>
        <v/>
      </c>
      <c r="K267" s="16"/>
      <c r="L267" s="22"/>
      <c r="M267" s="32"/>
      <c r="S267">
        <f>ROUND((Source!FX177/100)*((ROUND(Source!AF177*Source!I177, 2)+ROUND(Source!AE177*Source!I177, 2))), 2)</f>
        <v>0</v>
      </c>
      <c r="T267">
        <f>Source!X177</f>
        <v>0</v>
      </c>
      <c r="U267">
        <f>ROUND((Source!FY177/100)*((ROUND(Source!AF177*Source!I177, 2)+ROUND(Source!AE177*Source!I177, 2))), 2)</f>
        <v>0</v>
      </c>
      <c r="V267">
        <f>Source!Y177</f>
        <v>0</v>
      </c>
    </row>
    <row r="268" spans="1:26" ht="14.25" x14ac:dyDescent="0.2">
      <c r="A268" s="38"/>
      <c r="B268" s="38"/>
      <c r="C268" s="39"/>
      <c r="D268" s="40" t="s">
        <v>582</v>
      </c>
      <c r="E268" s="41"/>
      <c r="F268" s="42"/>
      <c r="G268" s="43">
        <f>Source!AL177</f>
        <v>10000</v>
      </c>
      <c r="H268" s="44" t="str">
        <f>Source!DD177</f>
        <v/>
      </c>
      <c r="I268" s="43">
        <f>ROUND(Source!AC177*Source!I177, 2)</f>
        <v>10000</v>
      </c>
      <c r="J268" s="44"/>
      <c r="K268" s="44">
        <f>IF(Source!BC177&lt;&gt; 0, Source!BC177, 1)</f>
        <v>1</v>
      </c>
      <c r="L268" s="43">
        <f>Source!P177</f>
        <v>10000</v>
      </c>
      <c r="M268" s="55"/>
    </row>
    <row r="269" spans="1:26" ht="15" x14ac:dyDescent="0.25">
      <c r="H269" s="96">
        <f>ROUND(Source!AC177*Source!I177, 2)+ROUND(Source!AF177*Source!I177, 2)+ROUND((((Source!ET177)-(Source!EU177))+Source!AE177)*Source!I177, 2)</f>
        <v>10000</v>
      </c>
      <c r="I269" s="96"/>
      <c r="K269" s="96">
        <f>Source!O177</f>
        <v>10000</v>
      </c>
      <c r="L269" s="96"/>
      <c r="M269" s="37">
        <f>Source!U177</f>
        <v>0</v>
      </c>
      <c r="O269" s="36">
        <f>H269</f>
        <v>10000</v>
      </c>
      <c r="P269" s="36">
        <f>K269</f>
        <v>10000</v>
      </c>
      <c r="Q269" s="36">
        <f>M269</f>
        <v>0</v>
      </c>
      <c r="W269">
        <f>IF(Source!BI177&lt;=1,H269, 0)</f>
        <v>10000</v>
      </c>
      <c r="X269">
        <f>IF(Source!BI177=2,H269, 0)</f>
        <v>0</v>
      </c>
      <c r="Y269">
        <f>IF(Source!BI177=3,H269, 0)</f>
        <v>0</v>
      </c>
      <c r="Z269">
        <f>IF(Source!BI177=4,H269, 0)</f>
        <v>0</v>
      </c>
    </row>
    <row r="270" spans="1:26" ht="57" x14ac:dyDescent="0.2">
      <c r="A270" s="28">
        <v>42</v>
      </c>
      <c r="B270" s="28" t="str">
        <f>Source!E178</f>
        <v>39</v>
      </c>
      <c r="C270" s="29" t="str">
        <f>Source!F178</f>
        <v>502-0860</v>
      </c>
      <c r="D270" s="15" t="str">
        <f>Source!G178</f>
        <v>Провода самонесущие изолированные для воздушных линий электропередачи с алюминиевыми жилами марки СИП-3 1х70-20</v>
      </c>
      <c r="E270" s="31" t="str">
        <f>Source!H178</f>
        <v>1000 м</v>
      </c>
      <c r="F270" s="10">
        <f>Source!I178</f>
        <v>2.1000000000000001E-2</v>
      </c>
      <c r="G270" s="22">
        <f>IF(Source!AK178&lt;&gt; 0, Source!AK178,Source!AL178 + Source!AM178 + Source!AO178)</f>
        <v>23908.94</v>
      </c>
      <c r="H270" s="16"/>
      <c r="I270" s="22"/>
      <c r="J270" s="16" t="str">
        <f>Source!BO178</f>
        <v>502-0860</v>
      </c>
      <c r="K270" s="16"/>
      <c r="L270" s="22"/>
      <c r="M270" s="32"/>
      <c r="S270">
        <f>ROUND((Source!FX178/100)*((ROUND(Source!AF178*Source!I178, 2)+ROUND(Source!AE178*Source!I178, 2))), 2)</f>
        <v>0</v>
      </c>
      <c r="T270">
        <f>Source!X178</f>
        <v>0</v>
      </c>
      <c r="U270">
        <f>ROUND((Source!FY178/100)*((ROUND(Source!AF178*Source!I178, 2)+ROUND(Source!AE178*Source!I178, 2))), 2)</f>
        <v>0</v>
      </c>
      <c r="V270">
        <f>Source!Y178</f>
        <v>0</v>
      </c>
    </row>
    <row r="271" spans="1:26" x14ac:dyDescent="0.2">
      <c r="D271" s="46" t="str">
        <f>"Объем: "&amp;Source!I178&amp;"=21/"&amp;"1000"</f>
        <v>Объем: 0,021=21/1000</v>
      </c>
    </row>
    <row r="272" spans="1:26" ht="14.25" x14ac:dyDescent="0.2">
      <c r="A272" s="38"/>
      <c r="B272" s="38"/>
      <c r="C272" s="39"/>
      <c r="D272" s="40" t="s">
        <v>582</v>
      </c>
      <c r="E272" s="41"/>
      <c r="F272" s="42"/>
      <c r="G272" s="43">
        <f>Source!AL178</f>
        <v>23908.94</v>
      </c>
      <c r="H272" s="44" t="str">
        <f>Source!DD178</f>
        <v/>
      </c>
      <c r="I272" s="43">
        <f>ROUND(Source!AC178*Source!I178, 2)</f>
        <v>502.09</v>
      </c>
      <c r="J272" s="44"/>
      <c r="K272" s="44">
        <f>IF(Source!BC178&lt;&gt; 0, Source!BC178, 1)</f>
        <v>3.78</v>
      </c>
      <c r="L272" s="43">
        <f>Source!P178</f>
        <v>1897.89</v>
      </c>
      <c r="M272" s="55"/>
    </row>
    <row r="273" spans="1:26" ht="15" x14ac:dyDescent="0.25">
      <c r="H273" s="96">
        <f>ROUND(Source!AC178*Source!I178, 2)+ROUND(Source!AF178*Source!I178, 2)+ROUND((((Source!ET178)-(Source!EU178))+Source!AE178)*Source!I178, 2)</f>
        <v>502.09</v>
      </c>
      <c r="I273" s="96"/>
      <c r="K273" s="96">
        <f>Source!O178</f>
        <v>1897.89</v>
      </c>
      <c r="L273" s="96"/>
      <c r="M273" s="37">
        <f>Source!U178</f>
        <v>0</v>
      </c>
      <c r="O273" s="36">
        <f>H273</f>
        <v>502.09</v>
      </c>
      <c r="P273" s="36">
        <f>K273</f>
        <v>1897.89</v>
      </c>
      <c r="Q273" s="36">
        <f>M273</f>
        <v>0</v>
      </c>
      <c r="W273">
        <f>IF(Source!BI178&lt;=1,H273, 0)</f>
        <v>0</v>
      </c>
      <c r="X273">
        <f>IF(Source!BI178=2,H273, 0)</f>
        <v>502.09</v>
      </c>
      <c r="Y273">
        <f>IF(Source!BI178=3,H273, 0)</f>
        <v>0</v>
      </c>
      <c r="Z273">
        <f>IF(Source!BI178=4,H273, 0)</f>
        <v>0</v>
      </c>
    </row>
    <row r="274" spans="1:26" ht="42.75" x14ac:dyDescent="0.2">
      <c r="A274" s="28">
        <v>43</v>
      </c>
      <c r="B274" s="28" t="str">
        <f>Source!E179</f>
        <v>40</v>
      </c>
      <c r="C274" s="29" t="str">
        <f>Source!F179</f>
        <v>111-3249</v>
      </c>
      <c r="D274" s="15" t="str">
        <f>Source!G179</f>
        <v>Наконечник изолированный алюминиевый с медной клеммой (СИП) CPTAU 70</v>
      </c>
      <c r="E274" s="31" t="str">
        <f>Source!H179</f>
        <v>шт.</v>
      </c>
      <c r="F274" s="10">
        <f>Source!I179</f>
        <v>6</v>
      </c>
      <c r="G274" s="22">
        <f>IF(Source!AK179&lt;&gt; 0, Source!AK179,Source!AL179 + Source!AM179 + Source!AO179)</f>
        <v>57.83</v>
      </c>
      <c r="H274" s="16"/>
      <c r="I274" s="22"/>
      <c r="J274" s="16" t="str">
        <f>Source!BO179</f>
        <v>111-3249</v>
      </c>
      <c r="K274" s="16"/>
      <c r="L274" s="22"/>
      <c r="M274" s="32"/>
      <c r="S274">
        <f>ROUND((Source!FX179/100)*((ROUND(Source!AF179*Source!I179, 2)+ROUND(Source!AE179*Source!I179, 2))), 2)</f>
        <v>0</v>
      </c>
      <c r="T274">
        <f>Source!X179</f>
        <v>0</v>
      </c>
      <c r="U274">
        <f>ROUND((Source!FY179/100)*((ROUND(Source!AF179*Source!I179, 2)+ROUND(Source!AE179*Source!I179, 2))), 2)</f>
        <v>0</v>
      </c>
      <c r="V274">
        <f>Source!Y179</f>
        <v>0</v>
      </c>
    </row>
    <row r="275" spans="1:26" ht="14.25" x14ac:dyDescent="0.2">
      <c r="A275" s="38"/>
      <c r="B275" s="38"/>
      <c r="C275" s="39"/>
      <c r="D275" s="40" t="s">
        <v>582</v>
      </c>
      <c r="E275" s="41"/>
      <c r="F275" s="42"/>
      <c r="G275" s="43">
        <f>Source!AL179</f>
        <v>57.83</v>
      </c>
      <c r="H275" s="44" t="str">
        <f>Source!DD179</f>
        <v/>
      </c>
      <c r="I275" s="43">
        <f>ROUND(Source!AC179*Source!I179, 2)</f>
        <v>346.98</v>
      </c>
      <c r="J275" s="44"/>
      <c r="K275" s="44">
        <f>IF(Source!BC179&lt;&gt; 0, Source!BC179, 1)</f>
        <v>10.95</v>
      </c>
      <c r="L275" s="43">
        <f>Source!P179</f>
        <v>3799.43</v>
      </c>
      <c r="M275" s="55"/>
    </row>
    <row r="276" spans="1:26" ht="15" x14ac:dyDescent="0.25">
      <c r="H276" s="96">
        <f>ROUND(Source!AC179*Source!I179, 2)+ROUND(Source!AF179*Source!I179, 2)+ROUND((((Source!ET179)-(Source!EU179))+Source!AE179)*Source!I179, 2)</f>
        <v>346.98</v>
      </c>
      <c r="I276" s="96"/>
      <c r="K276" s="96">
        <f>Source!O179</f>
        <v>3799.43</v>
      </c>
      <c r="L276" s="96"/>
      <c r="M276" s="37">
        <f>Source!U179</f>
        <v>0</v>
      </c>
      <c r="O276" s="36">
        <f>H276</f>
        <v>346.98</v>
      </c>
      <c r="P276" s="36">
        <f>K276</f>
        <v>3799.43</v>
      </c>
      <c r="Q276" s="36">
        <f>M276</f>
        <v>0</v>
      </c>
      <c r="W276">
        <f>IF(Source!BI179&lt;=1,H276, 0)</f>
        <v>346.98</v>
      </c>
      <c r="X276">
        <f>IF(Source!BI179=2,H276, 0)</f>
        <v>0</v>
      </c>
      <c r="Y276">
        <f>IF(Source!BI179=3,H276, 0)</f>
        <v>0</v>
      </c>
      <c r="Z276">
        <f>IF(Source!BI179=4,H276, 0)</f>
        <v>0</v>
      </c>
    </row>
    <row r="277" spans="1:26" ht="71.25" x14ac:dyDescent="0.2">
      <c r="A277" s="28">
        <v>44</v>
      </c>
      <c r="B277" s="28" t="str">
        <f>Source!E180</f>
        <v>41</v>
      </c>
      <c r="C277" s="29" t="str">
        <f>Source!F180</f>
        <v>103-0015</v>
      </c>
      <c r="D277" s="15" t="str">
        <f>Source!G180</f>
        <v>Трубы стальные сварные водогазопроводные с резьбой черные обыкновенные (неоцинкованные), диаметр условного прохода 25 мм, толщина стенки 3,2 мм</v>
      </c>
      <c r="E277" s="31" t="str">
        <f>Source!H180</f>
        <v>м</v>
      </c>
      <c r="F277" s="10">
        <f>Source!I180</f>
        <v>12</v>
      </c>
      <c r="G277" s="22">
        <f>IF(Source!AK180&lt;&gt; 0, Source!AK180,Source!AL180 + Source!AM180 + Source!AO180)</f>
        <v>20.79</v>
      </c>
      <c r="H277" s="16"/>
      <c r="I277" s="22"/>
      <c r="J277" s="16" t="str">
        <f>Source!BO180</f>
        <v>103-0015</v>
      </c>
      <c r="K277" s="16"/>
      <c r="L277" s="22"/>
      <c r="M277" s="32"/>
      <c r="S277">
        <f>ROUND((Source!FX180/100)*((ROUND(Source!AF180*Source!I180, 2)+ROUND(Source!AE180*Source!I180, 2))), 2)</f>
        <v>0</v>
      </c>
      <c r="T277">
        <f>Source!X180</f>
        <v>0</v>
      </c>
      <c r="U277">
        <f>ROUND((Source!FY180/100)*((ROUND(Source!AF180*Source!I180, 2)+ROUND(Source!AE180*Source!I180, 2))), 2)</f>
        <v>0</v>
      </c>
      <c r="V277">
        <f>Source!Y180</f>
        <v>0</v>
      </c>
    </row>
    <row r="278" spans="1:26" x14ac:dyDescent="0.2">
      <c r="D278" s="46" t="str">
        <f>"Объем: "&amp;Source!I180&amp;"=6*"&amp;"2"</f>
        <v>Объем: 12=6*2</v>
      </c>
    </row>
    <row r="279" spans="1:26" ht="14.25" x14ac:dyDescent="0.2">
      <c r="A279" s="38"/>
      <c r="B279" s="38"/>
      <c r="C279" s="39"/>
      <c r="D279" s="40" t="s">
        <v>582</v>
      </c>
      <c r="E279" s="41"/>
      <c r="F279" s="42"/>
      <c r="G279" s="43">
        <f>Source!AL180</f>
        <v>20.79</v>
      </c>
      <c r="H279" s="44" t="str">
        <f>Source!DD180</f>
        <v/>
      </c>
      <c r="I279" s="43">
        <f>ROUND(Source!AC180*Source!I180, 2)</f>
        <v>249.48</v>
      </c>
      <c r="J279" s="44"/>
      <c r="K279" s="44">
        <f>IF(Source!BC180&lt;&gt; 0, Source!BC180, 1)</f>
        <v>9.93</v>
      </c>
      <c r="L279" s="43">
        <f>Source!P180</f>
        <v>2477.34</v>
      </c>
      <c r="M279" s="55"/>
    </row>
    <row r="280" spans="1:26" ht="15" x14ac:dyDescent="0.25">
      <c r="H280" s="96">
        <f>ROUND(Source!AC180*Source!I180, 2)+ROUND(Source!AF180*Source!I180, 2)+ROUND((((Source!ET180)-(Source!EU180))+Source!AE180)*Source!I180, 2)</f>
        <v>249.48</v>
      </c>
      <c r="I280" s="96"/>
      <c r="K280" s="96">
        <f>Source!O180</f>
        <v>2477.34</v>
      </c>
      <c r="L280" s="96"/>
      <c r="M280" s="37">
        <f>Source!U180</f>
        <v>0</v>
      </c>
      <c r="O280" s="36">
        <f>H280</f>
        <v>249.48</v>
      </c>
      <c r="P280" s="36">
        <f>K280</f>
        <v>2477.34</v>
      </c>
      <c r="Q280" s="36">
        <f>M280</f>
        <v>0</v>
      </c>
      <c r="W280">
        <f>IF(Source!BI180&lt;=1,H280, 0)</f>
        <v>249.48</v>
      </c>
      <c r="X280">
        <f>IF(Source!BI180=2,H280, 0)</f>
        <v>0</v>
      </c>
      <c r="Y280">
        <f>IF(Source!BI180=3,H280, 0)</f>
        <v>0</v>
      </c>
      <c r="Z280">
        <f>IF(Source!BI180=4,H280, 0)</f>
        <v>0</v>
      </c>
    </row>
    <row r="281" spans="1:26" ht="42.75" x14ac:dyDescent="0.2">
      <c r="A281" s="28">
        <v>45</v>
      </c>
      <c r="B281" s="28" t="str">
        <f>Source!E181</f>
        <v>42</v>
      </c>
      <c r="C281" s="29" t="str">
        <f>Source!F181</f>
        <v>33-03-004-1</v>
      </c>
      <c r="D281" s="15" t="str">
        <f>Source!G181</f>
        <v>Забивка вертикальных заземлителей механизированная на глубину до 5 м</v>
      </c>
      <c r="E281" s="31" t="str">
        <f>Source!H181</f>
        <v>1 заземлитель</v>
      </c>
      <c r="F281" s="10">
        <f>Source!I181</f>
        <v>2</v>
      </c>
      <c r="G281" s="22">
        <f>IF(Source!AK181&lt;&gt; 0, Source!AK181,Source!AL181 + Source!AM181 + Source!AO181)</f>
        <v>140.05000000000001</v>
      </c>
      <c r="H281" s="16"/>
      <c r="I281" s="22"/>
      <c r="J281" s="16" t="str">
        <f>Source!BO181</f>
        <v>33-03-004-1</v>
      </c>
      <c r="K281" s="16"/>
      <c r="L281" s="22"/>
      <c r="M281" s="32"/>
      <c r="S281">
        <f>ROUND((Source!FX181/100)*((ROUND(Source!AF181*Source!I181, 2)+ROUND(Source!AE181*Source!I181, 2))), 2)</f>
        <v>24.49</v>
      </c>
      <c r="T281">
        <f>Source!X181</f>
        <v>863.88</v>
      </c>
      <c r="U281">
        <f>ROUND((Source!FY181/100)*((ROUND(Source!AF181*Source!I181, 2)+ROUND(Source!AE181*Source!I181, 2))), 2)</f>
        <v>14.27</v>
      </c>
      <c r="V281">
        <f>Source!Y181</f>
        <v>503.23</v>
      </c>
    </row>
    <row r="282" spans="1:26" ht="14.25" x14ac:dyDescent="0.2">
      <c r="A282" s="28"/>
      <c r="B282" s="28"/>
      <c r="C282" s="29"/>
      <c r="D282" s="15" t="s">
        <v>575</v>
      </c>
      <c r="E282" s="31"/>
      <c r="F282" s="10"/>
      <c r="G282" s="22">
        <f>Source!AO181</f>
        <v>6.4</v>
      </c>
      <c r="H282" s="16" t="str">
        <f>Source!DG181</f>
        <v/>
      </c>
      <c r="I282" s="22">
        <f>ROUND(Source!AF181*Source!I181, 2)</f>
        <v>12.8</v>
      </c>
      <c r="J282" s="16"/>
      <c r="K282" s="16">
        <f>IF(Source!BA181&lt;&gt; 0, Source!BA181, 1)</f>
        <v>35.270000000000003</v>
      </c>
      <c r="L282" s="22">
        <f>Source!S181</f>
        <v>451.46</v>
      </c>
      <c r="M282" s="32"/>
      <c r="R282">
        <f>I282</f>
        <v>12.8</v>
      </c>
    </row>
    <row r="283" spans="1:26" ht="14.25" x14ac:dyDescent="0.2">
      <c r="A283" s="28"/>
      <c r="B283" s="28"/>
      <c r="C283" s="29"/>
      <c r="D283" s="15" t="s">
        <v>59</v>
      </c>
      <c r="E283" s="31"/>
      <c r="F283" s="10"/>
      <c r="G283" s="22">
        <f>Source!AM181</f>
        <v>100.39</v>
      </c>
      <c r="H283" s="16" t="str">
        <f>Source!DE181</f>
        <v/>
      </c>
      <c r="I283" s="22">
        <f>ROUND((((Source!ET181)-(Source!EU181))+Source!AE181)*Source!I181, 2)</f>
        <v>200.78</v>
      </c>
      <c r="J283" s="16"/>
      <c r="K283" s="16">
        <f>IF(Source!BB181&lt;&gt; 0, Source!BB181, 1)</f>
        <v>9.14</v>
      </c>
      <c r="L283" s="22">
        <f>Source!Q181</f>
        <v>1835.13</v>
      </c>
      <c r="M283" s="32"/>
    </row>
    <row r="284" spans="1:26" ht="14.25" x14ac:dyDescent="0.2">
      <c r="A284" s="28"/>
      <c r="B284" s="28"/>
      <c r="C284" s="29"/>
      <c r="D284" s="15" t="s">
        <v>576</v>
      </c>
      <c r="E284" s="31"/>
      <c r="F284" s="10"/>
      <c r="G284" s="22">
        <f>Source!AN181</f>
        <v>5.49</v>
      </c>
      <c r="H284" s="16" t="str">
        <f>Source!DF181</f>
        <v/>
      </c>
      <c r="I284" s="22">
        <f>ROUND(Source!AE181*Source!I181, 2)</f>
        <v>10.98</v>
      </c>
      <c r="J284" s="16"/>
      <c r="K284" s="16">
        <f>IF(Source!BS181&lt;&gt; 0, Source!BS181, 1)</f>
        <v>35.270000000000003</v>
      </c>
      <c r="L284" s="22">
        <f>Source!R181</f>
        <v>387.26</v>
      </c>
      <c r="M284" s="32"/>
      <c r="R284">
        <f>I284</f>
        <v>10.98</v>
      </c>
    </row>
    <row r="285" spans="1:26" ht="14.25" x14ac:dyDescent="0.2">
      <c r="A285" s="28"/>
      <c r="B285" s="28"/>
      <c r="C285" s="29"/>
      <c r="D285" s="15" t="s">
        <v>582</v>
      </c>
      <c r="E285" s="31"/>
      <c r="F285" s="10"/>
      <c r="G285" s="22">
        <f>Source!AL181</f>
        <v>33.26</v>
      </c>
      <c r="H285" s="16" t="str">
        <f>Source!DD181</f>
        <v/>
      </c>
      <c r="I285" s="22">
        <f>ROUND(Source!AC181*Source!I181, 2)</f>
        <v>66.52</v>
      </c>
      <c r="J285" s="16"/>
      <c r="K285" s="16">
        <f>IF(Source!BC181&lt;&gt; 0, Source!BC181, 1)</f>
        <v>10.55</v>
      </c>
      <c r="L285" s="22">
        <f>Source!P181</f>
        <v>701.79</v>
      </c>
      <c r="M285" s="32"/>
    </row>
    <row r="286" spans="1:26" ht="14.25" x14ac:dyDescent="0.2">
      <c r="A286" s="28"/>
      <c r="B286" s="28"/>
      <c r="C286" s="29"/>
      <c r="D286" s="15" t="s">
        <v>577</v>
      </c>
      <c r="E286" s="31" t="s">
        <v>578</v>
      </c>
      <c r="F286" s="10">
        <f>Source!BZ181</f>
        <v>103</v>
      </c>
      <c r="G286" s="33"/>
      <c r="H286" s="16"/>
      <c r="I286" s="22">
        <f>SUM(S281:S289)</f>
        <v>24.49</v>
      </c>
      <c r="J286" s="34"/>
      <c r="K286" s="15">
        <f>Source!AT181</f>
        <v>103</v>
      </c>
      <c r="L286" s="22">
        <f>SUM(T281:T289)</f>
        <v>863.88</v>
      </c>
      <c r="M286" s="32"/>
    </row>
    <row r="287" spans="1:26" ht="14.25" x14ac:dyDescent="0.2">
      <c r="A287" s="28"/>
      <c r="B287" s="28"/>
      <c r="C287" s="29"/>
      <c r="D287" s="15" t="s">
        <v>579</v>
      </c>
      <c r="E287" s="31" t="s">
        <v>578</v>
      </c>
      <c r="F287" s="10">
        <f>Source!CA181</f>
        <v>60</v>
      </c>
      <c r="G287" s="33"/>
      <c r="H287" s="16"/>
      <c r="I287" s="22">
        <f>SUM(U281:U289)</f>
        <v>14.27</v>
      </c>
      <c r="J287" s="34"/>
      <c r="K287" s="15">
        <f>Source!AU181</f>
        <v>60</v>
      </c>
      <c r="L287" s="22">
        <f>SUM(V281:V289)</f>
        <v>503.23</v>
      </c>
      <c r="M287" s="32"/>
    </row>
    <row r="288" spans="1:26" ht="14.25" x14ac:dyDescent="0.2">
      <c r="A288" s="28"/>
      <c r="B288" s="28"/>
      <c r="C288" s="29"/>
      <c r="D288" s="15" t="s">
        <v>580</v>
      </c>
      <c r="E288" s="31" t="s">
        <v>581</v>
      </c>
      <c r="F288" s="10">
        <f>Source!AQ181</f>
        <v>0.81</v>
      </c>
      <c r="G288" s="22"/>
      <c r="H288" s="16" t="str">
        <f>Source!DI181</f>
        <v/>
      </c>
      <c r="I288" s="22"/>
      <c r="J288" s="16"/>
      <c r="K288" s="16"/>
      <c r="L288" s="22"/>
      <c r="M288" s="35">
        <f>Source!U181</f>
        <v>1.62</v>
      </c>
    </row>
    <row r="289" spans="1:33" ht="42.75" x14ac:dyDescent="0.2">
      <c r="A289" s="50">
        <v>46</v>
      </c>
      <c r="B289" s="50" t="str">
        <f>Source!E182</f>
        <v>42,1</v>
      </c>
      <c r="C289" s="50" t="str">
        <f>Source!F182</f>
        <v>204-0004</v>
      </c>
      <c r="D289" s="50" t="s">
        <v>584</v>
      </c>
      <c r="E289" s="51" t="str">
        <f>Source!H182</f>
        <v>т</v>
      </c>
      <c r="F289" s="52">
        <f>Source!I182</f>
        <v>-0.01</v>
      </c>
      <c r="G289" s="53">
        <f>Source!AK182</f>
        <v>6594</v>
      </c>
      <c r="H289" s="54" t="s">
        <v>3</v>
      </c>
      <c r="I289" s="53">
        <f>ROUND(Source!AC182*Source!I182, 2)+ROUND((((Source!ET182)-(Source!EU182))+Source!AE182)*Source!I182, 2)+ROUND(Source!AF182*Source!I182, 2)</f>
        <v>-65.94</v>
      </c>
      <c r="J289" s="51"/>
      <c r="K289" s="51">
        <f>IF(Source!BC182&lt;&gt; 0, Source!BC182, 1)</f>
        <v>10.53</v>
      </c>
      <c r="L289" s="53">
        <f>Source!O182</f>
        <v>-694.35</v>
      </c>
      <c r="M289" s="53"/>
      <c r="S289">
        <f>ROUND((Source!FX182/100)*((ROUND(Source!AF182*Source!I182, 2)+ROUND(Source!AE182*Source!I182, 2))), 2)</f>
        <v>0</v>
      </c>
      <c r="T289">
        <f>Source!X182</f>
        <v>0</v>
      </c>
      <c r="U289">
        <f>ROUND((Source!FY182/100)*((ROUND(Source!AF182*Source!I182, 2)+ROUND(Source!AE182*Source!I182, 2))), 2)</f>
        <v>0</v>
      </c>
      <c r="V289">
        <f>Source!Y182</f>
        <v>0</v>
      </c>
      <c r="Y289">
        <f>IF(Source!BI182=3,I289, 0)</f>
        <v>0</v>
      </c>
      <c r="AA289">
        <f>ROUND(Source!AC182*Source!I182, 2)+ROUND((((Source!ET182)-(Source!EU182))+Source!AE182)*Source!I182, 2)+ROUND(Source!AF182*Source!I182, 2)</f>
        <v>-65.94</v>
      </c>
      <c r="AB289">
        <f>Source!O182</f>
        <v>-694.35</v>
      </c>
    </row>
    <row r="290" spans="1:33" ht="15" x14ac:dyDescent="0.25">
      <c r="H290" s="96">
        <f>ROUND(Source!AC181*Source!I181, 2)+ROUND(Source!AF181*Source!I181, 2)+ROUND((((Source!ET181)-(Source!EU181))+Source!AE181)*Source!I181, 2)+SUM(I286:I287)+SUM(AA289:AA289)</f>
        <v>252.92000000000002</v>
      </c>
      <c r="I290" s="96"/>
      <c r="K290" s="96">
        <f>Source!O181+SUM(L286:L287)+SUM(AB289:AB289)</f>
        <v>3661.14</v>
      </c>
      <c r="L290" s="96"/>
      <c r="M290" s="37">
        <f>Source!U181</f>
        <v>1.62</v>
      </c>
      <c r="O290" s="36">
        <f>H290</f>
        <v>252.92000000000002</v>
      </c>
      <c r="P290" s="36">
        <f>K290</f>
        <v>3661.14</v>
      </c>
      <c r="Q290" s="36">
        <f>M290</f>
        <v>1.62</v>
      </c>
      <c r="W290">
        <f>IF(Source!BI181&lt;=1,H290, 0)</f>
        <v>252.92000000000002</v>
      </c>
      <c r="X290">
        <f>IF(Source!BI181=2,H290, 0)</f>
        <v>0</v>
      </c>
      <c r="Y290">
        <f>IF(Source!BI181=3,H290, 0)</f>
        <v>0</v>
      </c>
      <c r="Z290">
        <f>IF(Source!BI181=4,H290, 0)</f>
        <v>0</v>
      </c>
    </row>
    <row r="291" spans="1:33" ht="28.5" x14ac:dyDescent="0.2">
      <c r="A291" s="28">
        <v>47</v>
      </c>
      <c r="B291" s="28" t="str">
        <f>Source!E183</f>
        <v>43</v>
      </c>
      <c r="C291" s="29" t="str">
        <f>Source!F183</f>
        <v>101-1641</v>
      </c>
      <c r="D291" s="15" t="str">
        <f>Source!G183</f>
        <v>Сталь угловая равнополочная, марка стали ВСт3кп2, размером 50x50x5 мм</v>
      </c>
      <c r="E291" s="31" t="str">
        <f>Source!H183</f>
        <v>т</v>
      </c>
      <c r="F291" s="10">
        <f>Source!I183</f>
        <v>1.1115E-2</v>
      </c>
      <c r="G291" s="22">
        <f>IF(Source!AK183&lt;&gt; 0, Source!AK183,Source!AL183 + Source!AM183 + Source!AO183)</f>
        <v>6074</v>
      </c>
      <c r="H291" s="16"/>
      <c r="I291" s="22"/>
      <c r="J291" s="16" t="str">
        <f>Source!BO183</f>
        <v>101-1641</v>
      </c>
      <c r="K291" s="16"/>
      <c r="L291" s="22"/>
      <c r="M291" s="32"/>
      <c r="S291">
        <f>ROUND((Source!FX183/100)*((ROUND(Source!AF183*Source!I183, 2)+ROUND(Source!AE183*Source!I183, 2))), 2)</f>
        <v>0</v>
      </c>
      <c r="T291">
        <f>Source!X183</f>
        <v>0</v>
      </c>
      <c r="U291">
        <f>ROUND((Source!FY183/100)*((ROUND(Source!AF183*Source!I183, 2)+ROUND(Source!AE183*Source!I183, 2))), 2)</f>
        <v>0</v>
      </c>
      <c r="V291">
        <f>Source!Y183</f>
        <v>0</v>
      </c>
    </row>
    <row r="292" spans="1:33" ht="14.25" x14ac:dyDescent="0.2">
      <c r="A292" s="38"/>
      <c r="B292" s="38"/>
      <c r="C292" s="39"/>
      <c r="D292" s="40" t="s">
        <v>582</v>
      </c>
      <c r="E292" s="41"/>
      <c r="F292" s="42"/>
      <c r="G292" s="43">
        <f>Source!AL183</f>
        <v>6074</v>
      </c>
      <c r="H292" s="44" t="str">
        <f>Source!DD183</f>
        <v/>
      </c>
      <c r="I292" s="43">
        <f>ROUND(Source!AC183*Source!I183, 2)</f>
        <v>67.510000000000005</v>
      </c>
      <c r="J292" s="44"/>
      <c r="K292" s="44">
        <f>IF(Source!BC183&lt;&gt; 0, Source!BC183, 1)</f>
        <v>13.67</v>
      </c>
      <c r="L292" s="43">
        <f>Source!P183</f>
        <v>922.9</v>
      </c>
      <c r="M292" s="55"/>
    </row>
    <row r="293" spans="1:33" ht="15" x14ac:dyDescent="0.25">
      <c r="H293" s="96">
        <f>ROUND(Source!AC183*Source!I183, 2)+ROUND(Source!AF183*Source!I183, 2)+ROUND((((Source!ET183)-(Source!EU183))+Source!AE183)*Source!I183, 2)</f>
        <v>67.510000000000005</v>
      </c>
      <c r="I293" s="96"/>
      <c r="K293" s="96">
        <f>Source!O183</f>
        <v>922.9</v>
      </c>
      <c r="L293" s="96"/>
      <c r="M293" s="37">
        <f>Source!U183</f>
        <v>0</v>
      </c>
      <c r="O293" s="36">
        <f>H293</f>
        <v>67.510000000000005</v>
      </c>
      <c r="P293" s="36">
        <f>K293</f>
        <v>922.9</v>
      </c>
      <c r="Q293" s="36">
        <f>M293</f>
        <v>0</v>
      </c>
      <c r="W293">
        <f>IF(Source!BI183&lt;=1,H293, 0)</f>
        <v>67.510000000000005</v>
      </c>
      <c r="X293">
        <f>IF(Source!BI183=2,H293, 0)</f>
        <v>0</v>
      </c>
      <c r="Y293">
        <f>IF(Source!BI183=3,H293, 0)</f>
        <v>0</v>
      </c>
      <c r="Z293">
        <f>IF(Source!BI183=4,H293, 0)</f>
        <v>0</v>
      </c>
    </row>
    <row r="294" spans="1:33" ht="42.75" x14ac:dyDescent="0.2">
      <c r="A294" s="28">
        <v>48</v>
      </c>
      <c r="B294" s="28" t="str">
        <f>Source!E184</f>
        <v>44</v>
      </c>
      <c r="C294" s="29" t="str">
        <f>Source!F184</f>
        <v>м08-02-144-5</v>
      </c>
      <c r="D294" s="15" t="str">
        <f>Source!G184</f>
        <v>Присоединение к зажимам жил проводов или кабелей сечением до 70 мм2</v>
      </c>
      <c r="E294" s="31" t="str">
        <f>Source!H184</f>
        <v>100 шт.</v>
      </c>
      <c r="F294" s="10">
        <f>Source!I184</f>
        <v>0.03</v>
      </c>
      <c r="G294" s="22">
        <f>IF(Source!AK184&lt;&gt; 0, Source!AK184,Source!AL184 + Source!AM184 + Source!AO184)</f>
        <v>138.65</v>
      </c>
      <c r="H294" s="16"/>
      <c r="I294" s="22"/>
      <c r="J294" s="16" t="str">
        <f>Source!BO184</f>
        <v>м08-02-144-5</v>
      </c>
      <c r="K294" s="16"/>
      <c r="L294" s="22"/>
      <c r="M294" s="32"/>
      <c r="S294">
        <f>ROUND((Source!FX184/100)*((ROUND(Source!AF184*Source!I184, 2)+ROUND(Source!AE184*Source!I184, 2))), 2)</f>
        <v>3.96</v>
      </c>
      <c r="T294">
        <f>Source!X184</f>
        <v>139.52000000000001</v>
      </c>
      <c r="U294">
        <f>ROUND((Source!FY184/100)*((ROUND(Source!AF184*Source!I184, 2)+ROUND(Source!AE184*Source!I184, 2))), 2)</f>
        <v>2.08</v>
      </c>
      <c r="V294">
        <f>Source!Y184</f>
        <v>73.349999999999994</v>
      </c>
    </row>
    <row r="295" spans="1:33" x14ac:dyDescent="0.2">
      <c r="D295" s="46" t="str">
        <f>"Объем: "&amp;Source!I184&amp;"=3/"&amp;"100"</f>
        <v>Объем: 0,03=3/100</v>
      </c>
    </row>
    <row r="296" spans="1:33" ht="14.25" x14ac:dyDescent="0.2">
      <c r="A296" s="28"/>
      <c r="B296" s="28"/>
      <c r="C296" s="29"/>
      <c r="D296" s="15" t="s">
        <v>575</v>
      </c>
      <c r="E296" s="31"/>
      <c r="F296" s="10"/>
      <c r="G296" s="22">
        <f>Source!AO184</f>
        <v>135.93</v>
      </c>
      <c r="H296" s="16" t="str">
        <f>Source!DG184</f>
        <v/>
      </c>
      <c r="I296" s="22">
        <f>ROUND(Source!AF184*Source!I184, 2)</f>
        <v>4.08</v>
      </c>
      <c r="J296" s="16"/>
      <c r="K296" s="16">
        <f>IF(Source!BA184&lt;&gt; 0, Source!BA184, 1)</f>
        <v>35.270000000000003</v>
      </c>
      <c r="L296" s="22">
        <f>Source!S184</f>
        <v>143.83000000000001</v>
      </c>
      <c r="M296" s="32"/>
      <c r="R296">
        <f>I296</f>
        <v>4.08</v>
      </c>
    </row>
    <row r="297" spans="1:33" ht="14.25" x14ac:dyDescent="0.2">
      <c r="A297" s="28"/>
      <c r="B297" s="28"/>
      <c r="C297" s="29"/>
      <c r="D297" s="15" t="s">
        <v>582</v>
      </c>
      <c r="E297" s="31"/>
      <c r="F297" s="10"/>
      <c r="G297" s="22">
        <f>Source!AL184</f>
        <v>2.72</v>
      </c>
      <c r="H297" s="16" t="str">
        <f>Source!DD184</f>
        <v/>
      </c>
      <c r="I297" s="22">
        <f>ROUND(Source!AC184*Source!I184, 2)</f>
        <v>0.08</v>
      </c>
      <c r="J297" s="16"/>
      <c r="K297" s="16">
        <f>IF(Source!BC184&lt;&gt; 0, Source!BC184, 1)</f>
        <v>35.25</v>
      </c>
      <c r="L297" s="22">
        <f>Source!P184</f>
        <v>2.88</v>
      </c>
      <c r="M297" s="32"/>
    </row>
    <row r="298" spans="1:33" ht="14.25" x14ac:dyDescent="0.2">
      <c r="A298" s="28"/>
      <c r="B298" s="28"/>
      <c r="C298" s="29"/>
      <c r="D298" s="15" t="s">
        <v>577</v>
      </c>
      <c r="E298" s="31" t="s">
        <v>578</v>
      </c>
      <c r="F298" s="10">
        <f>Source!BZ184</f>
        <v>97</v>
      </c>
      <c r="G298" s="33"/>
      <c r="H298" s="16"/>
      <c r="I298" s="22">
        <f>SUM(S294:S300)</f>
        <v>3.96</v>
      </c>
      <c r="J298" s="34"/>
      <c r="K298" s="15">
        <f>Source!AT184</f>
        <v>97</v>
      </c>
      <c r="L298" s="22">
        <f>SUM(T294:T300)</f>
        <v>139.52000000000001</v>
      </c>
      <c r="M298" s="32"/>
    </row>
    <row r="299" spans="1:33" ht="14.25" x14ac:dyDescent="0.2">
      <c r="A299" s="28"/>
      <c r="B299" s="28"/>
      <c r="C299" s="29"/>
      <c r="D299" s="15" t="s">
        <v>579</v>
      </c>
      <c r="E299" s="31" t="s">
        <v>578</v>
      </c>
      <c r="F299" s="10">
        <f>Source!CA184</f>
        <v>51</v>
      </c>
      <c r="G299" s="33"/>
      <c r="H299" s="16"/>
      <c r="I299" s="22">
        <f>SUM(U294:U300)</f>
        <v>2.08</v>
      </c>
      <c r="J299" s="34"/>
      <c r="K299" s="15">
        <f>Source!AU184</f>
        <v>51</v>
      </c>
      <c r="L299" s="22">
        <f>SUM(V294:V300)</f>
        <v>73.349999999999994</v>
      </c>
      <c r="M299" s="32"/>
    </row>
    <row r="300" spans="1:33" ht="14.25" x14ac:dyDescent="0.2">
      <c r="A300" s="38"/>
      <c r="B300" s="38"/>
      <c r="C300" s="39"/>
      <c r="D300" s="40" t="s">
        <v>580</v>
      </c>
      <c r="E300" s="41" t="s">
        <v>581</v>
      </c>
      <c r="F300" s="42">
        <f>Source!AQ184</f>
        <v>15.12</v>
      </c>
      <c r="G300" s="43"/>
      <c r="H300" s="44" t="str">
        <f>Source!DI184</f>
        <v/>
      </c>
      <c r="I300" s="43"/>
      <c r="J300" s="44"/>
      <c r="K300" s="44"/>
      <c r="L300" s="43"/>
      <c r="M300" s="45">
        <f>Source!U184</f>
        <v>0.45359999999999995</v>
      </c>
    </row>
    <row r="301" spans="1:33" ht="15" x14ac:dyDescent="0.25">
      <c r="H301" s="96">
        <f>ROUND(Source!AC184*Source!I184, 2)+ROUND(Source!AF184*Source!I184, 2)+ROUND((((Source!ET184)-(Source!EU184))+Source!AE184)*Source!I184, 2)+SUM(I298:I299)</f>
        <v>10.199999999999999</v>
      </c>
      <c r="I301" s="96"/>
      <c r="K301" s="96">
        <f>Source!O184+SUM(L298:L299)</f>
        <v>359.58000000000004</v>
      </c>
      <c r="L301" s="96"/>
      <c r="M301" s="37">
        <f>Source!U184</f>
        <v>0.45359999999999995</v>
      </c>
      <c r="O301" s="36">
        <f>H301</f>
        <v>10.199999999999999</v>
      </c>
      <c r="P301" s="36">
        <f>K301</f>
        <v>359.58000000000004</v>
      </c>
      <c r="Q301" s="36">
        <f>M301</f>
        <v>0.45359999999999995</v>
      </c>
      <c r="W301">
        <f>IF(Source!BI184&lt;=1,H301, 0)</f>
        <v>0</v>
      </c>
      <c r="X301">
        <f>IF(Source!BI184=2,H301, 0)</f>
        <v>10.199999999999999</v>
      </c>
      <c r="Y301">
        <f>IF(Source!BI184=3,H301, 0)</f>
        <v>0</v>
      </c>
      <c r="Z301">
        <f>IF(Source!BI184=4,H301, 0)</f>
        <v>0</v>
      </c>
    </row>
    <row r="303" spans="1:33" ht="15" x14ac:dyDescent="0.25">
      <c r="A303" s="95" t="str">
        <f>CONCATENATE("Итого по разделу: ", Source!G186)</f>
        <v>Итого по разделу: Монтаж разъединителя</v>
      </c>
      <c r="B303" s="95"/>
      <c r="C303" s="95"/>
      <c r="D303" s="95"/>
      <c r="E303" s="95"/>
      <c r="F303" s="95"/>
      <c r="G303" s="95"/>
      <c r="H303" s="96">
        <f>SUM(O232:O302)</f>
        <v>22928.559999999998</v>
      </c>
      <c r="I303" s="87"/>
      <c r="J303" s="47"/>
      <c r="K303" s="96">
        <f>SUM(P232:P302)</f>
        <v>53948.12</v>
      </c>
      <c r="L303" s="87"/>
      <c r="M303" s="37">
        <f>SUM(Q232:Q302)</f>
        <v>11.573051999999999</v>
      </c>
      <c r="AG303" s="48" t="str">
        <f>CONCATENATE("Итого по разделу: ", Source!G186)</f>
        <v>Итого по разделу: Монтаж разъединителя</v>
      </c>
    </row>
    <row r="305" spans="1:39" ht="14.25" x14ac:dyDescent="0.2">
      <c r="D305" s="15" t="str">
        <f>Source!H215</f>
        <v>ОЗП</v>
      </c>
      <c r="K305" s="88">
        <f>Source!F215</f>
        <v>3724.48</v>
      </c>
      <c r="L305" s="88"/>
    </row>
    <row r="306" spans="1:39" ht="14.25" x14ac:dyDescent="0.2">
      <c r="D306" s="15" t="str">
        <f>Source!H216</f>
        <v>ЭММ, в т.ч. ЗПМ</v>
      </c>
      <c r="K306" s="88">
        <f>Source!F216</f>
        <v>3456.76</v>
      </c>
      <c r="L306" s="88"/>
    </row>
    <row r="307" spans="1:39" ht="14.25" x14ac:dyDescent="0.2">
      <c r="D307" s="15" t="str">
        <f>Source!H217</f>
        <v>ЗПМ (справочно)</v>
      </c>
      <c r="K307" s="88">
        <f>Source!F217</f>
        <v>685.89</v>
      </c>
      <c r="L307" s="88"/>
    </row>
    <row r="308" spans="1:39" ht="14.25" x14ac:dyDescent="0.2">
      <c r="D308" s="15" t="str">
        <f>Source!H218</f>
        <v>Стоимость материалов</v>
      </c>
      <c r="K308" s="88">
        <f>Source!F218</f>
        <v>39669.120000000003</v>
      </c>
      <c r="L308" s="88"/>
    </row>
    <row r="309" spans="1:39" ht="14.25" x14ac:dyDescent="0.2">
      <c r="D309" s="15" t="str">
        <f>Source!H219</f>
        <v>НР</v>
      </c>
      <c r="K309" s="88">
        <f>Source!F219</f>
        <v>4506.2299999999996</v>
      </c>
      <c r="L309" s="88"/>
    </row>
    <row r="310" spans="1:39" ht="14.25" x14ac:dyDescent="0.2">
      <c r="D310" s="15" t="str">
        <f>Source!H220</f>
        <v>СП</v>
      </c>
      <c r="K310" s="88">
        <f>Source!F220</f>
        <v>2591.5300000000002</v>
      </c>
      <c r="L310" s="88"/>
    </row>
    <row r="311" spans="1:39" ht="14.25" x14ac:dyDescent="0.2">
      <c r="D311" s="15" t="str">
        <f>Source!H221</f>
        <v>Итого</v>
      </c>
      <c r="E311" s="99" t="str">
        <f>"="&amp;Source!F215&amp;"+"&amp;""&amp;Source!F216&amp;"+"&amp;""&amp;Source!F218&amp;"+"&amp;""&amp;Source!F219&amp;"+"&amp;""&amp;Source!F220&amp;""</f>
        <v>=3724,48+3456,76+39669,12+4506,23+2591,53</v>
      </c>
      <c r="F311" s="93"/>
      <c r="G311" s="93"/>
      <c r="H311" s="93"/>
      <c r="I311" s="93"/>
      <c r="J311" s="93"/>
      <c r="K311" s="88">
        <f>Source!F221</f>
        <v>53948.12</v>
      </c>
      <c r="L311" s="88"/>
      <c r="AM311" s="49" t="str">
        <f>"="&amp;Source!F215&amp;"+"&amp;""&amp;Source!F216&amp;"+"&amp;""&amp;Source!F218&amp;"+"&amp;""&amp;Source!F219&amp;"+"&amp;""&amp;Source!F220&amp;""</f>
        <v>=3724,48+3456,76+39669,12+4506,23+2591,53</v>
      </c>
    </row>
    <row r="312" spans="1:39" ht="14.25" x14ac:dyDescent="0.2">
      <c r="D312" s="15" t="str">
        <f>Source!H222</f>
        <v>НДС 20%</v>
      </c>
      <c r="E312" s="99" t="str">
        <f>"="&amp;Source!F221&amp;"*"&amp;"0,2"</f>
        <v>=53948,12*0,2</v>
      </c>
      <c r="F312" s="93"/>
      <c r="G312" s="93"/>
      <c r="H312" s="93"/>
      <c r="I312" s="93"/>
      <c r="J312" s="93"/>
      <c r="K312" s="88">
        <f>Source!F222</f>
        <v>10789.62</v>
      </c>
      <c r="L312" s="88"/>
      <c r="AM312" s="49" t="str">
        <f>"="&amp;Source!F221&amp;"*"&amp;"0,2"</f>
        <v>=53948,12*0,2</v>
      </c>
    </row>
    <row r="313" spans="1:39" ht="14.25" x14ac:dyDescent="0.2">
      <c r="D313" s="15" t="str">
        <f>Source!H223</f>
        <v>Всего с НДС</v>
      </c>
      <c r="E313" s="99" t="str">
        <f>"="&amp;Source!F221&amp;"+"&amp;""&amp;Source!F222&amp;""</f>
        <v>=53948,12+10789,62</v>
      </c>
      <c r="F313" s="93"/>
      <c r="G313" s="93"/>
      <c r="H313" s="93"/>
      <c r="I313" s="93"/>
      <c r="J313" s="93"/>
      <c r="K313" s="88">
        <f>Source!F223</f>
        <v>64737.74</v>
      </c>
      <c r="L313" s="88"/>
      <c r="AM313" s="49" t="str">
        <f>"="&amp;Source!F221&amp;"+"&amp;""&amp;Source!F222&amp;""</f>
        <v>=53948,12+10789,62</v>
      </c>
    </row>
    <row r="316" spans="1:39" ht="16.5" x14ac:dyDescent="0.25">
      <c r="A316" s="98" t="str">
        <f>CONCATENATE("Раздел: ", Source!G225)</f>
        <v>Раздел: Подвеска провода</v>
      </c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AE316" s="27" t="str">
        <f>CONCATENATE("Раздел: ", Source!G225)</f>
        <v>Раздел: Подвеска провода</v>
      </c>
    </row>
    <row r="317" spans="1:39" ht="71.25" x14ac:dyDescent="0.2">
      <c r="A317" s="28">
        <v>49</v>
      </c>
      <c r="B317" s="28" t="str">
        <f>Source!E229</f>
        <v>45</v>
      </c>
      <c r="C317" s="29" t="str">
        <f>Source!F229</f>
        <v>33-04-009-2</v>
      </c>
      <c r="D317" s="15" t="str">
        <f>Source!G229</f>
        <v>Подвеска проводов ВЛ 6-10 кВ в ненаселенной местности сечением свыше 35 мм2 с помощью механизмов</v>
      </c>
      <c r="E317" s="31" t="str">
        <f>Source!H229</f>
        <v>1 км линии (3 провода) при 10 опорах</v>
      </c>
      <c r="F317" s="10">
        <f>Source!I229</f>
        <v>4.2999999999999997E-2</v>
      </c>
      <c r="G317" s="22">
        <f>IF(Source!AK229&lt;&gt; 0, Source!AK229,Source!AL229 + Source!AM229 + Source!AO229)</f>
        <v>2096.8200000000002</v>
      </c>
      <c r="H317" s="16"/>
      <c r="I317" s="22"/>
      <c r="J317" s="16" t="str">
        <f>Source!BO229</f>
        <v>33-04-009-2</v>
      </c>
      <c r="K317" s="16"/>
      <c r="L317" s="22"/>
      <c r="M317" s="32"/>
      <c r="S317">
        <f>ROUND((Source!FX229/100)*((ROUND(Source!AF229*Source!I229, 2)+ROUND(Source!AE229*Source!I229, 2))), 2)</f>
        <v>25.51</v>
      </c>
      <c r="T317">
        <f>Source!X229</f>
        <v>899.65</v>
      </c>
      <c r="U317">
        <f>ROUND((Source!FY229/100)*((ROUND(Source!AF229*Source!I229, 2)+ROUND(Source!AE229*Source!I229, 2))), 2)</f>
        <v>14.86</v>
      </c>
      <c r="V317">
        <f>Source!Y229</f>
        <v>524.07000000000005</v>
      </c>
    </row>
    <row r="318" spans="1:39" x14ac:dyDescent="0.2">
      <c r="D318" s="46" t="str">
        <f>"Объем: "&amp;Source!I229&amp;"=43/"&amp;"1000"</f>
        <v>Объем: 0,043=43/1000</v>
      </c>
    </row>
    <row r="319" spans="1:39" ht="14.25" x14ac:dyDescent="0.2">
      <c r="A319" s="28"/>
      <c r="B319" s="28"/>
      <c r="C319" s="29"/>
      <c r="D319" s="15" t="s">
        <v>575</v>
      </c>
      <c r="E319" s="31"/>
      <c r="F319" s="10"/>
      <c r="G319" s="22">
        <f>Source!AO229</f>
        <v>424.8</v>
      </c>
      <c r="H319" s="16" t="str">
        <f>Source!DG229</f>
        <v/>
      </c>
      <c r="I319" s="22">
        <f>ROUND(Source!AF229*Source!I229, 2)</f>
        <v>18.27</v>
      </c>
      <c r="J319" s="16"/>
      <c r="K319" s="16">
        <f>IF(Source!BA229&lt;&gt; 0, Source!BA229, 1)</f>
        <v>35.270000000000003</v>
      </c>
      <c r="L319" s="22">
        <f>Source!S229</f>
        <v>644.26</v>
      </c>
      <c r="M319" s="32"/>
      <c r="R319">
        <f>I319</f>
        <v>18.27</v>
      </c>
    </row>
    <row r="320" spans="1:39" ht="14.25" x14ac:dyDescent="0.2">
      <c r="A320" s="28"/>
      <c r="B320" s="28"/>
      <c r="C320" s="29"/>
      <c r="D320" s="15" t="s">
        <v>59</v>
      </c>
      <c r="E320" s="31"/>
      <c r="F320" s="10"/>
      <c r="G320" s="22">
        <f>Source!AM229</f>
        <v>1338.74</v>
      </c>
      <c r="H320" s="16" t="str">
        <f>Source!DE229</f>
        <v/>
      </c>
      <c r="I320" s="22">
        <f>ROUND((((Source!ET229)-(Source!EU229))+Source!AE229)*Source!I229, 2)</f>
        <v>57.57</v>
      </c>
      <c r="J320" s="16"/>
      <c r="K320" s="16">
        <f>IF(Source!BB229&lt;&gt; 0, Source!BB229, 1)</f>
        <v>12.57</v>
      </c>
      <c r="L320" s="22">
        <f>Source!Q229</f>
        <v>723.6</v>
      </c>
      <c r="M320" s="32"/>
    </row>
    <row r="321" spans="1:33" ht="14.25" x14ac:dyDescent="0.2">
      <c r="A321" s="28"/>
      <c r="B321" s="28"/>
      <c r="C321" s="29"/>
      <c r="D321" s="15" t="s">
        <v>576</v>
      </c>
      <c r="E321" s="31"/>
      <c r="F321" s="10"/>
      <c r="G321" s="22">
        <f>Source!AN229</f>
        <v>151.12</v>
      </c>
      <c r="H321" s="16" t="str">
        <f>Source!DF229</f>
        <v/>
      </c>
      <c r="I321" s="22">
        <f>ROUND(Source!AE229*Source!I229, 2)</f>
        <v>6.5</v>
      </c>
      <c r="J321" s="16"/>
      <c r="K321" s="16">
        <f>IF(Source!BS229&lt;&gt; 0, Source!BS229, 1)</f>
        <v>35.270000000000003</v>
      </c>
      <c r="L321" s="22">
        <f>Source!R229</f>
        <v>229.19</v>
      </c>
      <c r="M321" s="32"/>
      <c r="R321">
        <f>I321</f>
        <v>6.5</v>
      </c>
    </row>
    <row r="322" spans="1:33" ht="14.25" x14ac:dyDescent="0.2">
      <c r="A322" s="28"/>
      <c r="B322" s="28"/>
      <c r="C322" s="29"/>
      <c r="D322" s="15" t="s">
        <v>582</v>
      </c>
      <c r="E322" s="31"/>
      <c r="F322" s="10"/>
      <c r="G322" s="22">
        <f>Source!AL229</f>
        <v>333.28</v>
      </c>
      <c r="H322" s="16" t="str">
        <f>Source!DD229</f>
        <v/>
      </c>
      <c r="I322" s="22">
        <f>ROUND(Source!AC229*Source!I229, 2)</f>
        <v>14.33</v>
      </c>
      <c r="J322" s="16"/>
      <c r="K322" s="16">
        <f>IF(Source!BC229&lt;&gt; 0, Source!BC229, 1)</f>
        <v>10.39</v>
      </c>
      <c r="L322" s="22">
        <f>Source!P229</f>
        <v>148.9</v>
      </c>
      <c r="M322" s="32"/>
    </row>
    <row r="323" spans="1:33" ht="14.25" x14ac:dyDescent="0.2">
      <c r="A323" s="28"/>
      <c r="B323" s="28"/>
      <c r="C323" s="29"/>
      <c r="D323" s="15" t="s">
        <v>577</v>
      </c>
      <c r="E323" s="31" t="s">
        <v>578</v>
      </c>
      <c r="F323" s="10">
        <f>Source!BZ229</f>
        <v>103</v>
      </c>
      <c r="G323" s="33"/>
      <c r="H323" s="16"/>
      <c r="I323" s="22">
        <f>SUM(S317:S325)</f>
        <v>25.51</v>
      </c>
      <c r="J323" s="34"/>
      <c r="K323" s="15">
        <f>Source!AT229</f>
        <v>103</v>
      </c>
      <c r="L323" s="22">
        <f>SUM(T317:T325)</f>
        <v>899.65</v>
      </c>
      <c r="M323" s="32"/>
    </row>
    <row r="324" spans="1:33" ht="14.25" x14ac:dyDescent="0.2">
      <c r="A324" s="28"/>
      <c r="B324" s="28"/>
      <c r="C324" s="29"/>
      <c r="D324" s="15" t="s">
        <v>579</v>
      </c>
      <c r="E324" s="31" t="s">
        <v>578</v>
      </c>
      <c r="F324" s="10">
        <f>Source!CA229</f>
        <v>60</v>
      </c>
      <c r="G324" s="33"/>
      <c r="H324" s="16"/>
      <c r="I324" s="22">
        <f>SUM(U317:U325)</f>
        <v>14.86</v>
      </c>
      <c r="J324" s="34"/>
      <c r="K324" s="15">
        <f>Source!AU229</f>
        <v>60</v>
      </c>
      <c r="L324" s="22">
        <f>SUM(V317:V325)</f>
        <v>524.07000000000005</v>
      </c>
      <c r="M324" s="32"/>
    </row>
    <row r="325" spans="1:33" ht="14.25" x14ac:dyDescent="0.2">
      <c r="A325" s="38"/>
      <c r="B325" s="38"/>
      <c r="C325" s="39"/>
      <c r="D325" s="40" t="s">
        <v>580</v>
      </c>
      <c r="E325" s="41" t="s">
        <v>581</v>
      </c>
      <c r="F325" s="42">
        <f>Source!AQ229</f>
        <v>48.94</v>
      </c>
      <c r="G325" s="43"/>
      <c r="H325" s="44" t="str">
        <f>Source!DI229</f>
        <v/>
      </c>
      <c r="I325" s="43"/>
      <c r="J325" s="44"/>
      <c r="K325" s="44"/>
      <c r="L325" s="43"/>
      <c r="M325" s="45">
        <f>Source!U229</f>
        <v>2.1044199999999997</v>
      </c>
    </row>
    <row r="326" spans="1:33" ht="15" x14ac:dyDescent="0.25">
      <c r="H326" s="96">
        <f>ROUND(Source!AC229*Source!I229, 2)+ROUND(Source!AF229*Source!I229, 2)+ROUND((((Source!ET229)-(Source!EU229))+Source!AE229)*Source!I229, 2)+SUM(I323:I324)</f>
        <v>130.54000000000002</v>
      </c>
      <c r="I326" s="96"/>
      <c r="K326" s="96">
        <f>Source!O229+SUM(L323:L324)</f>
        <v>2940.48</v>
      </c>
      <c r="L326" s="96"/>
      <c r="M326" s="37">
        <f>Source!U229</f>
        <v>2.1044199999999997</v>
      </c>
      <c r="O326" s="36">
        <f>H326</f>
        <v>130.54000000000002</v>
      </c>
      <c r="P326" s="36">
        <f>K326</f>
        <v>2940.48</v>
      </c>
      <c r="Q326" s="36">
        <f>M326</f>
        <v>2.1044199999999997</v>
      </c>
      <c r="W326">
        <f>IF(Source!BI229&lt;=1,H326, 0)</f>
        <v>130.54000000000002</v>
      </c>
      <c r="X326">
        <f>IF(Source!BI229=2,H326, 0)</f>
        <v>0</v>
      </c>
      <c r="Y326">
        <f>IF(Source!BI229=3,H326, 0)</f>
        <v>0</v>
      </c>
      <c r="Z326">
        <f>IF(Source!BI229=4,H326, 0)</f>
        <v>0</v>
      </c>
    </row>
    <row r="327" spans="1:33" ht="28.5" x14ac:dyDescent="0.2">
      <c r="A327" s="28">
        <v>50</v>
      </c>
      <c r="B327" s="28" t="str">
        <f>Source!E233</f>
        <v>46</v>
      </c>
      <c r="C327" s="29" t="str">
        <f>Source!F233</f>
        <v>509-5892</v>
      </c>
      <c r="D327" s="15" t="str">
        <f>Source!G233</f>
        <v>Зажим плашечный соединительный ПА 2-2</v>
      </c>
      <c r="E327" s="31" t="str">
        <f>Source!H233</f>
        <v>шт.</v>
      </c>
      <c r="F327" s="10">
        <f>Source!I233</f>
        <v>3</v>
      </c>
      <c r="G327" s="22">
        <f>IF(Source!AK233&lt;&gt; 0, Source!AK233,Source!AL233 + Source!AM233 + Source!AO233)</f>
        <v>6.89</v>
      </c>
      <c r="H327" s="16"/>
      <c r="I327" s="22"/>
      <c r="J327" s="16" t="str">
        <f>Source!BO233</f>
        <v>509-5892</v>
      </c>
      <c r="K327" s="16"/>
      <c r="L327" s="22"/>
      <c r="M327" s="32"/>
      <c r="S327">
        <f>ROUND((Source!FX233/100)*((ROUND(Source!AF233*Source!I233, 2)+ROUND(Source!AE233*Source!I233, 2))), 2)</f>
        <v>0</v>
      </c>
      <c r="T327">
        <f>Source!X233</f>
        <v>0</v>
      </c>
      <c r="U327">
        <f>ROUND((Source!FY233/100)*((ROUND(Source!AF233*Source!I233, 2)+ROUND(Source!AE233*Source!I233, 2))), 2)</f>
        <v>0</v>
      </c>
      <c r="V327">
        <f>Source!Y233</f>
        <v>0</v>
      </c>
    </row>
    <row r="328" spans="1:33" ht="14.25" x14ac:dyDescent="0.2">
      <c r="A328" s="38"/>
      <c r="B328" s="38"/>
      <c r="C328" s="39"/>
      <c r="D328" s="40" t="s">
        <v>582</v>
      </c>
      <c r="E328" s="41"/>
      <c r="F328" s="42"/>
      <c r="G328" s="43">
        <f>Source!AL233</f>
        <v>6.89</v>
      </c>
      <c r="H328" s="44" t="str">
        <f>Source!DD233</f>
        <v/>
      </c>
      <c r="I328" s="43">
        <f>ROUND(Source!AC233*Source!I233, 2)</f>
        <v>20.67</v>
      </c>
      <c r="J328" s="44"/>
      <c r="K328" s="44">
        <f>IF(Source!BC233&lt;&gt; 0, Source!BC233, 1)</f>
        <v>10.73</v>
      </c>
      <c r="L328" s="43">
        <f>Source!P233</f>
        <v>221.79</v>
      </c>
      <c r="M328" s="55"/>
    </row>
    <row r="329" spans="1:33" ht="15" x14ac:dyDescent="0.25">
      <c r="H329" s="96">
        <f>ROUND(Source!AC233*Source!I233, 2)+ROUND(Source!AF233*Source!I233, 2)+ROUND((((Source!ET233)-(Source!EU233))+Source!AE233)*Source!I233, 2)</f>
        <v>20.67</v>
      </c>
      <c r="I329" s="96"/>
      <c r="K329" s="96">
        <f>Source!O233</f>
        <v>221.79</v>
      </c>
      <c r="L329" s="96"/>
      <c r="M329" s="37">
        <f>Source!U233</f>
        <v>0</v>
      </c>
      <c r="O329" s="36">
        <f>H329</f>
        <v>20.67</v>
      </c>
      <c r="P329" s="36">
        <f>K329</f>
        <v>221.79</v>
      </c>
      <c r="Q329" s="36">
        <f>M329</f>
        <v>0</v>
      </c>
      <c r="W329">
        <f>IF(Source!BI233&lt;=1,H329, 0)</f>
        <v>0</v>
      </c>
      <c r="X329">
        <f>IF(Source!BI233=2,H329, 0)</f>
        <v>20.67</v>
      </c>
      <c r="Y329">
        <f>IF(Source!BI233=3,H329, 0)</f>
        <v>0</v>
      </c>
      <c r="Z329">
        <f>IF(Source!BI233=4,H329, 0)</f>
        <v>0</v>
      </c>
    </row>
    <row r="331" spans="1:33" ht="15" x14ac:dyDescent="0.25">
      <c r="A331" s="95" t="str">
        <f>CONCATENATE("Итого по разделу: ", Source!G235)</f>
        <v>Итого по разделу: Подвеска провода</v>
      </c>
      <c r="B331" s="95"/>
      <c r="C331" s="95"/>
      <c r="D331" s="95"/>
      <c r="E331" s="95"/>
      <c r="F331" s="95"/>
      <c r="G331" s="95"/>
      <c r="H331" s="96">
        <f>SUM(O316:O330)</f>
        <v>151.21000000000004</v>
      </c>
      <c r="I331" s="87"/>
      <c r="J331" s="47"/>
      <c r="K331" s="96">
        <f>SUM(P316:P330)</f>
        <v>3162.27</v>
      </c>
      <c r="L331" s="87"/>
      <c r="M331" s="37">
        <f>SUM(Q316:Q330)</f>
        <v>2.1044199999999997</v>
      </c>
      <c r="AG331" s="48" t="str">
        <f>CONCATENATE("Итого по разделу: ", Source!G235)</f>
        <v>Итого по разделу: Подвеска провода</v>
      </c>
    </row>
    <row r="333" spans="1:33" ht="14.25" x14ac:dyDescent="0.2">
      <c r="D333" s="15" t="str">
        <f>Source!H264</f>
        <v>ОЗП</v>
      </c>
      <c r="K333" s="88">
        <f>Source!F264</f>
        <v>644.26</v>
      </c>
      <c r="L333" s="88"/>
    </row>
    <row r="334" spans="1:33" ht="14.25" x14ac:dyDescent="0.2">
      <c r="D334" s="15" t="str">
        <f>Source!H265</f>
        <v>ЭММ, в т.ч. ЗПМ</v>
      </c>
      <c r="K334" s="88">
        <f>Source!F265</f>
        <v>723.6</v>
      </c>
      <c r="L334" s="88"/>
    </row>
    <row r="335" spans="1:33" ht="14.25" x14ac:dyDescent="0.2">
      <c r="D335" s="15" t="str">
        <f>Source!H266</f>
        <v>ЗПМ (справочно)</v>
      </c>
      <c r="K335" s="88">
        <f>Source!F266</f>
        <v>229.19</v>
      </c>
      <c r="L335" s="88"/>
    </row>
    <row r="336" spans="1:33" ht="14.25" x14ac:dyDescent="0.2">
      <c r="D336" s="15" t="str">
        <f>Source!H267</f>
        <v>Стоимость материалов</v>
      </c>
      <c r="K336" s="88">
        <f>Source!F267</f>
        <v>370.69</v>
      </c>
      <c r="L336" s="88"/>
    </row>
    <row r="337" spans="1:39" ht="14.25" x14ac:dyDescent="0.2">
      <c r="D337" s="15" t="str">
        <f>Source!H268</f>
        <v>НР</v>
      </c>
      <c r="K337" s="88">
        <f>Source!F268</f>
        <v>899.65</v>
      </c>
      <c r="L337" s="88"/>
    </row>
    <row r="338" spans="1:39" ht="14.25" x14ac:dyDescent="0.2">
      <c r="D338" s="15" t="str">
        <f>Source!H269</f>
        <v>СП</v>
      </c>
      <c r="K338" s="88">
        <f>Source!F269</f>
        <v>524.07000000000005</v>
      </c>
      <c r="L338" s="88"/>
    </row>
    <row r="339" spans="1:39" ht="14.25" x14ac:dyDescent="0.2">
      <c r="D339" s="15" t="str">
        <f>Source!H270</f>
        <v>Итого</v>
      </c>
      <c r="E339" s="99" t="str">
        <f>"="&amp;Source!F264&amp;"+"&amp;""&amp;Source!F265&amp;"+"&amp;""&amp;Source!F267&amp;"+"&amp;""&amp;Source!F268&amp;"+"&amp;""&amp;Source!F269&amp;""</f>
        <v>=644,26+723,6+370,69+899,65+524,07</v>
      </c>
      <c r="F339" s="93"/>
      <c r="G339" s="93"/>
      <c r="H339" s="93"/>
      <c r="I339" s="93"/>
      <c r="J339" s="93"/>
      <c r="K339" s="88">
        <f>Source!F270</f>
        <v>3162.27</v>
      </c>
      <c r="L339" s="88"/>
      <c r="AM339" s="49" t="str">
        <f>"="&amp;Source!F264&amp;"+"&amp;""&amp;Source!F265&amp;"+"&amp;""&amp;Source!F267&amp;"+"&amp;""&amp;Source!F268&amp;"+"&amp;""&amp;Source!F269&amp;""</f>
        <v>=644,26+723,6+370,69+899,65+524,07</v>
      </c>
    </row>
    <row r="340" spans="1:39" ht="14.25" x14ac:dyDescent="0.2">
      <c r="D340" s="15" t="str">
        <f>Source!H271</f>
        <v>НДС 20%</v>
      </c>
      <c r="E340" s="99" t="str">
        <f>"="&amp;Source!F270&amp;"*"&amp;"0,2"</f>
        <v>=3162,27*0,2</v>
      </c>
      <c r="F340" s="93"/>
      <c r="G340" s="93"/>
      <c r="H340" s="93"/>
      <c r="I340" s="93"/>
      <c r="J340" s="93"/>
      <c r="K340" s="88">
        <f>Source!F271</f>
        <v>632.45000000000005</v>
      </c>
      <c r="L340" s="88"/>
      <c r="AM340" s="49" t="str">
        <f>"="&amp;Source!F270&amp;"*"&amp;"0,2"</f>
        <v>=3162,27*0,2</v>
      </c>
    </row>
    <row r="341" spans="1:39" ht="14.25" x14ac:dyDescent="0.2">
      <c r="D341" s="15" t="str">
        <f>Source!H272</f>
        <v>Всего с НДС</v>
      </c>
      <c r="E341" s="99" t="str">
        <f>"="&amp;Source!F270&amp;"+"&amp;""&amp;Source!F271&amp;""</f>
        <v>=3162,27+632,45</v>
      </c>
      <c r="F341" s="93"/>
      <c r="G341" s="93"/>
      <c r="H341" s="93"/>
      <c r="I341" s="93"/>
      <c r="J341" s="93"/>
      <c r="K341" s="88">
        <f>Source!F272</f>
        <v>3794.72</v>
      </c>
      <c r="L341" s="88"/>
      <c r="AM341" s="49" t="str">
        <f>"="&amp;Source!F270&amp;"+"&amp;""&amp;Source!F271&amp;""</f>
        <v>=3162,27+632,45</v>
      </c>
    </row>
    <row r="344" spans="1:39" ht="15" x14ac:dyDescent="0.25">
      <c r="A344" s="95" t="str">
        <f>CONCATENATE("Итого по локальной смете: ", Source!G274)</f>
        <v xml:space="preserve">Итого по локальной смете: </v>
      </c>
      <c r="B344" s="95"/>
      <c r="C344" s="95"/>
      <c r="D344" s="95"/>
      <c r="E344" s="95"/>
      <c r="F344" s="95"/>
      <c r="G344" s="95"/>
      <c r="H344" s="96">
        <f>SUM(O35:O343)</f>
        <v>33669.440000000002</v>
      </c>
      <c r="I344" s="87"/>
      <c r="J344" s="47"/>
      <c r="K344" s="96">
        <f>SUM(P35:P343)</f>
        <v>219571.68000000005</v>
      </c>
      <c r="L344" s="87"/>
      <c r="M344" s="37">
        <f>SUM(Q35:Q343)</f>
        <v>83.73784400000001</v>
      </c>
      <c r="AG344" s="48" t="str">
        <f>CONCATENATE("Итого по локальной смете: ", Source!G274)</f>
        <v xml:space="preserve">Итого по локальной смете: </v>
      </c>
    </row>
    <row r="346" spans="1:39" ht="14.25" x14ac:dyDescent="0.2">
      <c r="D346" s="15" t="str">
        <f>Source!H303</f>
        <v>ОЗП</v>
      </c>
      <c r="K346" s="88">
        <f>Source!F303</f>
        <v>26909.65</v>
      </c>
      <c r="L346" s="88"/>
    </row>
    <row r="347" spans="1:39" ht="14.25" x14ac:dyDescent="0.2">
      <c r="D347" s="15" t="str">
        <f>Source!H304</f>
        <v>ЭММ, в т.ч. ЗПМ</v>
      </c>
      <c r="K347" s="88">
        <f>Source!F304</f>
        <v>27350.080000000002</v>
      </c>
      <c r="L347" s="88"/>
    </row>
    <row r="348" spans="1:39" ht="14.25" x14ac:dyDescent="0.2">
      <c r="D348" s="15" t="str">
        <f>Source!H305</f>
        <v>ЗПМ (справочно)</v>
      </c>
      <c r="K348" s="88">
        <f>Source!F305</f>
        <v>6426.67</v>
      </c>
      <c r="L348" s="88"/>
    </row>
    <row r="349" spans="1:39" ht="14.25" x14ac:dyDescent="0.2">
      <c r="D349" s="15" t="str">
        <f>Source!H306</f>
        <v>Стоимость материалов</v>
      </c>
      <c r="K349" s="88">
        <f>Source!F306</f>
        <v>114574.24</v>
      </c>
      <c r="L349" s="88"/>
    </row>
    <row r="350" spans="1:39" ht="14.25" x14ac:dyDescent="0.2">
      <c r="D350" s="15" t="str">
        <f>Source!H307</f>
        <v>НР</v>
      </c>
      <c r="K350" s="88">
        <f>Source!F307</f>
        <v>32478.15</v>
      </c>
      <c r="L350" s="88"/>
    </row>
    <row r="351" spans="1:39" ht="14.25" x14ac:dyDescent="0.2">
      <c r="D351" s="15" t="str">
        <f>Source!H308</f>
        <v>СП</v>
      </c>
      <c r="K351" s="88">
        <f>Source!F308</f>
        <v>18259.560000000001</v>
      </c>
      <c r="L351" s="88"/>
    </row>
    <row r="352" spans="1:39" ht="14.25" x14ac:dyDescent="0.2">
      <c r="D352" s="15" t="str">
        <f>Source!H309</f>
        <v>Итого</v>
      </c>
      <c r="E352" s="99" t="str">
        <f>"="&amp;Source!F303&amp;"+"&amp;""&amp;Source!F304&amp;"+"&amp;""&amp;Source!F306&amp;"+"&amp;""&amp;Source!F307&amp;"+"&amp;""&amp;Source!F308&amp;""</f>
        <v>=26909,65+27350,08+114574,24+32478,15+18259,56</v>
      </c>
      <c r="F352" s="93"/>
      <c r="G352" s="93"/>
      <c r="H352" s="93"/>
      <c r="I352" s="93"/>
      <c r="J352" s="93"/>
      <c r="K352" s="88">
        <f>Source!F309</f>
        <v>219571.68</v>
      </c>
      <c r="L352" s="88"/>
      <c r="AM352" s="49" t="str">
        <f>"="&amp;Source!F303&amp;"+"&amp;""&amp;Source!F304&amp;"+"&amp;""&amp;Source!F306&amp;"+"&amp;""&amp;Source!F307&amp;"+"&amp;""&amp;Source!F308&amp;""</f>
        <v>=26909,65+27350,08+114574,24+32478,15+18259,56</v>
      </c>
    </row>
    <row r="353" spans="1:39" ht="14.25" x14ac:dyDescent="0.2">
      <c r="D353" s="15" t="str">
        <f>Source!H310</f>
        <v>НДС 20%</v>
      </c>
      <c r="E353" s="99" t="str">
        <f>"="&amp;Source!F309&amp;"*"&amp;"0,2"</f>
        <v>=219571,68*0,2</v>
      </c>
      <c r="F353" s="93"/>
      <c r="G353" s="93"/>
      <c r="H353" s="93"/>
      <c r="I353" s="93"/>
      <c r="J353" s="93"/>
      <c r="K353" s="88">
        <f>Source!F310</f>
        <v>43914.34</v>
      </c>
      <c r="L353" s="88"/>
      <c r="AM353" s="49" t="str">
        <f>"="&amp;Source!F309&amp;"*"&amp;"0,2"</f>
        <v>=219571,68*0,2</v>
      </c>
    </row>
    <row r="354" spans="1:39" ht="14.25" x14ac:dyDescent="0.2">
      <c r="D354" s="15" t="str">
        <f>Source!H311</f>
        <v>Всего с НДС</v>
      </c>
      <c r="E354" s="99" t="str">
        <f>"="&amp;Source!F309&amp;"+"&amp;""&amp;Source!F310&amp;""</f>
        <v>=219571,68+43914,34</v>
      </c>
      <c r="F354" s="93"/>
      <c r="G354" s="93"/>
      <c r="H354" s="93"/>
      <c r="I354" s="93"/>
      <c r="J354" s="93"/>
      <c r="K354" s="88">
        <f>Source!F311</f>
        <v>263486.02</v>
      </c>
      <c r="L354" s="88"/>
      <c r="AM354" s="49" t="str">
        <f>"="&amp;Source!F309&amp;"+"&amp;""&amp;Source!F310&amp;""</f>
        <v>=219571,68+43914,34</v>
      </c>
    </row>
    <row r="357" spans="1:39" ht="30" x14ac:dyDescent="0.25">
      <c r="A357" s="95" t="str">
        <f>CONCATENATE("Итого по смете: ", Source!G313)</f>
        <v>Итого по смете: Установка реклоузеров на ВЛ-6 кВ на линии №11 в п. Сосновка, Заволжье</v>
      </c>
      <c r="B357" s="95"/>
      <c r="C357" s="95"/>
      <c r="D357" s="95"/>
      <c r="E357" s="95"/>
      <c r="F357" s="95"/>
      <c r="G357" s="95"/>
      <c r="H357" s="96">
        <f>SUM(O1:O356)</f>
        <v>33669.440000000002</v>
      </c>
      <c r="I357" s="87"/>
      <c r="J357" s="47"/>
      <c r="K357" s="96">
        <f>SUM(P1:P356)</f>
        <v>219571.68000000005</v>
      </c>
      <c r="L357" s="87"/>
      <c r="M357" s="37">
        <f>SUM(Q1:Q356)</f>
        <v>83.73784400000001</v>
      </c>
      <c r="AG357" s="48" t="str">
        <f>CONCATENATE("Итого по смете: ", Source!G313)</f>
        <v>Итого по смете: Установка реклоузеров на ВЛ-6 кВ на линии №11 в п. Сосновка, Заволжье</v>
      </c>
    </row>
    <row r="359" spans="1:39" ht="14.25" x14ac:dyDescent="0.2">
      <c r="D359" s="15" t="str">
        <f>Source!H342</f>
        <v>ОЗП</v>
      </c>
      <c r="K359" s="88">
        <f>Source!F342</f>
        <v>26909.65</v>
      </c>
      <c r="L359" s="88"/>
    </row>
    <row r="360" spans="1:39" ht="14.25" x14ac:dyDescent="0.2">
      <c r="D360" s="15" t="str">
        <f>Source!H343</f>
        <v>ЭММ, в т.ч. ЗПМ</v>
      </c>
      <c r="K360" s="88">
        <f>Source!F343</f>
        <v>27350.080000000002</v>
      </c>
      <c r="L360" s="88"/>
    </row>
    <row r="361" spans="1:39" ht="14.25" x14ac:dyDescent="0.2">
      <c r="D361" s="15" t="str">
        <f>Source!H344</f>
        <v>ЗПМ (справочно)</v>
      </c>
      <c r="K361" s="88">
        <f>Source!F344</f>
        <v>6426.67</v>
      </c>
      <c r="L361" s="88"/>
    </row>
    <row r="362" spans="1:39" ht="14.25" x14ac:dyDescent="0.2">
      <c r="D362" s="15" t="str">
        <f>Source!H345</f>
        <v>Стоимость материалов</v>
      </c>
      <c r="K362" s="88">
        <f>Source!F345</f>
        <v>114574.24</v>
      </c>
      <c r="L362" s="88"/>
    </row>
    <row r="363" spans="1:39" ht="14.25" x14ac:dyDescent="0.2">
      <c r="D363" s="15" t="str">
        <f>Source!H346</f>
        <v>НР</v>
      </c>
      <c r="K363" s="88">
        <f>Source!F346</f>
        <v>32478.15</v>
      </c>
      <c r="L363" s="88"/>
    </row>
    <row r="364" spans="1:39" ht="14.25" x14ac:dyDescent="0.2">
      <c r="D364" s="15" t="str">
        <f>Source!H347</f>
        <v>СП</v>
      </c>
      <c r="K364" s="88">
        <f>Source!F347</f>
        <v>18259.560000000001</v>
      </c>
      <c r="L364" s="88"/>
    </row>
    <row r="365" spans="1:39" ht="14.25" x14ac:dyDescent="0.2">
      <c r="D365" s="15" t="str">
        <f>Source!H348</f>
        <v>Итого</v>
      </c>
      <c r="E365" s="99" t="str">
        <f>"="&amp;Source!F342&amp;"+"&amp;""&amp;Source!F343&amp;"+"&amp;""&amp;Source!F345&amp;"+"&amp;""&amp;Source!F346&amp;"+"&amp;""&amp;Source!F347&amp;""</f>
        <v>=26909,65+27350,08+114574,24+32478,15+18259,56</v>
      </c>
      <c r="F365" s="93"/>
      <c r="G365" s="93"/>
      <c r="H365" s="93"/>
      <c r="I365" s="93"/>
      <c r="J365" s="93"/>
      <c r="K365" s="88">
        <f>Source!F348</f>
        <v>219571.68</v>
      </c>
      <c r="L365" s="88"/>
      <c r="AM365" s="49" t="str">
        <f>"="&amp;Source!F342&amp;"+"&amp;""&amp;Source!F343&amp;"+"&amp;""&amp;Source!F345&amp;"+"&amp;""&amp;Source!F346&amp;"+"&amp;""&amp;Source!F347&amp;""</f>
        <v>=26909,65+27350,08+114574,24+32478,15+18259,56</v>
      </c>
    </row>
    <row r="366" spans="1:39" ht="14.25" x14ac:dyDescent="0.2">
      <c r="D366" s="15" t="str">
        <f>Source!H349</f>
        <v>НДС 20%</v>
      </c>
      <c r="E366" s="99" t="str">
        <f>"="&amp;Source!F348&amp;"*"&amp;"0,2"</f>
        <v>=219571,68*0,2</v>
      </c>
      <c r="F366" s="93"/>
      <c r="G366" s="93"/>
      <c r="H366" s="93"/>
      <c r="I366" s="93"/>
      <c r="J366" s="93"/>
      <c r="K366" s="88">
        <f>Source!F349</f>
        <v>43914.34</v>
      </c>
      <c r="L366" s="88"/>
      <c r="AM366" s="49" t="str">
        <f>"="&amp;Source!F348&amp;"*"&amp;"0,2"</f>
        <v>=219571,68*0,2</v>
      </c>
    </row>
    <row r="367" spans="1:39" ht="14.25" x14ac:dyDescent="0.2">
      <c r="D367" s="15" t="str">
        <f>Source!H350</f>
        <v>Всего с НДС</v>
      </c>
      <c r="E367" s="99" t="str">
        <f>"="&amp;Source!F348&amp;"+"&amp;""&amp;Source!F349&amp;""</f>
        <v>=219571,68+43914,34</v>
      </c>
      <c r="F367" s="93"/>
      <c r="G367" s="93"/>
      <c r="H367" s="93"/>
      <c r="I367" s="93"/>
      <c r="J367" s="93"/>
      <c r="K367" s="88">
        <f>Source!F350</f>
        <v>263486.02</v>
      </c>
      <c r="L367" s="88"/>
      <c r="AM367" s="49" t="str">
        <f>"="&amp;Source!F348&amp;"+"&amp;""&amp;Source!F349&amp;""</f>
        <v>=219571,68+43914,34</v>
      </c>
    </row>
    <row r="371" spans="1:13" ht="15" x14ac:dyDescent="0.2">
      <c r="A371" s="11"/>
      <c r="B371" s="103" t="s">
        <v>677</v>
      </c>
      <c r="C371" s="103"/>
      <c r="D371" s="23" t="str">
        <f>IF(Source!AM12&lt;&gt;"", Source!AM12," ")</f>
        <v xml:space="preserve"> </v>
      </c>
      <c r="E371" s="69"/>
      <c r="F371" s="23"/>
      <c r="G371" s="70"/>
      <c r="H371" s="69"/>
      <c r="I371" s="23" t="str">
        <f>IF(Source!AL12&lt;&gt;"", Source!AL12," ")</f>
        <v xml:space="preserve"> </v>
      </c>
      <c r="J371" s="70"/>
      <c r="K371" s="70"/>
      <c r="L371" s="70"/>
      <c r="M371" s="11"/>
    </row>
    <row r="372" spans="1:13" ht="14.25" x14ac:dyDescent="0.2">
      <c r="A372" s="11"/>
      <c r="B372" s="9"/>
      <c r="C372" s="9"/>
      <c r="D372" s="57" t="s">
        <v>588</v>
      </c>
      <c r="E372" s="9"/>
      <c r="F372" s="101" t="s">
        <v>589</v>
      </c>
      <c r="G372" s="101"/>
      <c r="H372" s="9"/>
      <c r="I372" s="101" t="s">
        <v>590</v>
      </c>
      <c r="J372" s="101"/>
      <c r="K372" s="101"/>
      <c r="L372" s="101"/>
      <c r="M372" s="11"/>
    </row>
    <row r="373" spans="1:13" ht="15" x14ac:dyDescent="0.2">
      <c r="A373" s="11"/>
      <c r="B373" s="69"/>
      <c r="C373" s="71"/>
      <c r="D373" s="69"/>
      <c r="E373" s="10"/>
      <c r="F373" s="11" t="s">
        <v>591</v>
      </c>
      <c r="G373" s="69"/>
      <c r="H373" s="69"/>
      <c r="I373" s="69"/>
      <c r="J373" s="69"/>
      <c r="K373" s="69"/>
      <c r="L373" s="69"/>
      <c r="M373" s="11"/>
    </row>
    <row r="374" spans="1:13" ht="14.25" x14ac:dyDescent="0.2">
      <c r="A374" s="11"/>
      <c r="M374" s="11"/>
    </row>
    <row r="375" spans="1:13" ht="15" x14ac:dyDescent="0.2">
      <c r="A375" s="11"/>
      <c r="B375" s="103" t="s">
        <v>678</v>
      </c>
      <c r="C375" s="103"/>
      <c r="D375" s="23" t="str">
        <f>IF(Source!AI12&lt;&gt;"", Source!AI12," ")</f>
        <v xml:space="preserve"> </v>
      </c>
      <c r="E375" s="69"/>
      <c r="F375" s="23"/>
      <c r="G375" s="70"/>
      <c r="H375" s="69"/>
      <c r="I375" s="23" t="str">
        <f>IF(Source!AH12&lt;&gt;"", Source!AH12," ")</f>
        <v xml:space="preserve"> </v>
      </c>
      <c r="J375" s="70"/>
      <c r="K375" s="70"/>
      <c r="L375" s="70"/>
      <c r="M375" s="11"/>
    </row>
    <row r="376" spans="1:13" ht="14.25" x14ac:dyDescent="0.2">
      <c r="A376" s="11"/>
      <c r="B376" s="9"/>
      <c r="C376" s="9"/>
      <c r="D376" s="57" t="s">
        <v>588</v>
      </c>
      <c r="E376" s="9"/>
      <c r="F376" s="101" t="s">
        <v>589</v>
      </c>
      <c r="G376" s="101"/>
      <c r="H376" s="9"/>
      <c r="I376" s="101" t="s">
        <v>590</v>
      </c>
      <c r="J376" s="101"/>
      <c r="K376" s="101"/>
      <c r="L376" s="101"/>
      <c r="M376" s="11"/>
    </row>
    <row r="377" spans="1:13" ht="15" x14ac:dyDescent="0.2">
      <c r="A377" s="11"/>
      <c r="B377" s="69"/>
      <c r="C377" s="71"/>
      <c r="D377" s="69"/>
      <c r="E377" s="71"/>
      <c r="F377" s="11" t="s">
        <v>591</v>
      </c>
      <c r="G377" s="69"/>
      <c r="H377" s="69"/>
      <c r="I377" s="69"/>
      <c r="J377" s="69"/>
      <c r="K377" s="69"/>
      <c r="L377" s="69"/>
      <c r="M377" s="11"/>
    </row>
  </sheetData>
  <mergeCells count="242">
    <mergeCell ref="F376:G376"/>
    <mergeCell ref="I376:L376"/>
    <mergeCell ref="E367:J367"/>
    <mergeCell ref="K367:L367"/>
    <mergeCell ref="B371:C371"/>
    <mergeCell ref="F372:G372"/>
    <mergeCell ref="I372:L372"/>
    <mergeCell ref="B375:C375"/>
    <mergeCell ref="K362:L362"/>
    <mergeCell ref="K363:L363"/>
    <mergeCell ref="K364:L364"/>
    <mergeCell ref="E365:J365"/>
    <mergeCell ref="K365:L365"/>
    <mergeCell ref="E366:J366"/>
    <mergeCell ref="K366:L366"/>
    <mergeCell ref="A357:G357"/>
    <mergeCell ref="K357:L357"/>
    <mergeCell ref="H357:I357"/>
    <mergeCell ref="K359:L359"/>
    <mergeCell ref="K360:L360"/>
    <mergeCell ref="K361:L361"/>
    <mergeCell ref="E352:J352"/>
    <mergeCell ref="K352:L352"/>
    <mergeCell ref="E353:J353"/>
    <mergeCell ref="K353:L353"/>
    <mergeCell ref="E354:J354"/>
    <mergeCell ref="K354:L354"/>
    <mergeCell ref="K346:L346"/>
    <mergeCell ref="K347:L347"/>
    <mergeCell ref="K348:L348"/>
    <mergeCell ref="K349:L349"/>
    <mergeCell ref="K350:L350"/>
    <mergeCell ref="K351:L351"/>
    <mergeCell ref="E340:J340"/>
    <mergeCell ref="K340:L340"/>
    <mergeCell ref="E341:J341"/>
    <mergeCell ref="K341:L341"/>
    <mergeCell ref="A344:G344"/>
    <mergeCell ref="K344:L344"/>
    <mergeCell ref="H344:I344"/>
    <mergeCell ref="K334:L334"/>
    <mergeCell ref="K335:L335"/>
    <mergeCell ref="K336:L336"/>
    <mergeCell ref="K337:L337"/>
    <mergeCell ref="K338:L338"/>
    <mergeCell ref="E339:J339"/>
    <mergeCell ref="K339:L339"/>
    <mergeCell ref="H329:I329"/>
    <mergeCell ref="K329:L329"/>
    <mergeCell ref="A331:G331"/>
    <mergeCell ref="K331:L331"/>
    <mergeCell ref="H331:I331"/>
    <mergeCell ref="K333:L333"/>
    <mergeCell ref="E312:J312"/>
    <mergeCell ref="K312:L312"/>
    <mergeCell ref="E313:J313"/>
    <mergeCell ref="K313:L313"/>
    <mergeCell ref="A316:M316"/>
    <mergeCell ref="H326:I326"/>
    <mergeCell ref="K326:L326"/>
    <mergeCell ref="K306:L306"/>
    <mergeCell ref="K307:L307"/>
    <mergeCell ref="K308:L308"/>
    <mergeCell ref="K309:L309"/>
    <mergeCell ref="K310:L310"/>
    <mergeCell ref="E311:J311"/>
    <mergeCell ref="K311:L311"/>
    <mergeCell ref="H301:I301"/>
    <mergeCell ref="K301:L301"/>
    <mergeCell ref="A303:G303"/>
    <mergeCell ref="K303:L303"/>
    <mergeCell ref="H303:I303"/>
    <mergeCell ref="K305:L305"/>
    <mergeCell ref="H280:I280"/>
    <mergeCell ref="K280:L280"/>
    <mergeCell ref="H290:I290"/>
    <mergeCell ref="K290:L290"/>
    <mergeCell ref="H293:I293"/>
    <mergeCell ref="K293:L293"/>
    <mergeCell ref="H269:I269"/>
    <mergeCell ref="K269:L269"/>
    <mergeCell ref="H273:I273"/>
    <mergeCell ref="K273:L273"/>
    <mergeCell ref="H276:I276"/>
    <mergeCell ref="K276:L276"/>
    <mergeCell ref="H260:I260"/>
    <mergeCell ref="K260:L260"/>
    <mergeCell ref="H263:I263"/>
    <mergeCell ref="K263:L263"/>
    <mergeCell ref="H266:I266"/>
    <mergeCell ref="K266:L266"/>
    <mergeCell ref="H251:I251"/>
    <mergeCell ref="K251:L251"/>
    <mergeCell ref="H254:I254"/>
    <mergeCell ref="K254:L254"/>
    <mergeCell ref="H257:I257"/>
    <mergeCell ref="K257:L257"/>
    <mergeCell ref="E228:J228"/>
    <mergeCell ref="K228:L228"/>
    <mergeCell ref="E229:J229"/>
    <mergeCell ref="K229:L229"/>
    <mergeCell ref="A232:M232"/>
    <mergeCell ref="H242:I242"/>
    <mergeCell ref="K242:L242"/>
    <mergeCell ref="K222:L222"/>
    <mergeCell ref="K223:L223"/>
    <mergeCell ref="K224:L224"/>
    <mergeCell ref="K225:L225"/>
    <mergeCell ref="K226:L226"/>
    <mergeCell ref="E227:J227"/>
    <mergeCell ref="K227:L227"/>
    <mergeCell ref="H217:I217"/>
    <mergeCell ref="K217:L217"/>
    <mergeCell ref="A219:G219"/>
    <mergeCell ref="K219:L219"/>
    <mergeCell ref="H219:I219"/>
    <mergeCell ref="K221:L221"/>
    <mergeCell ref="H200:I200"/>
    <mergeCell ref="K200:L200"/>
    <mergeCell ref="H204:I204"/>
    <mergeCell ref="K204:L204"/>
    <mergeCell ref="H210:I210"/>
    <mergeCell ref="K210:L210"/>
    <mergeCell ref="H177:I177"/>
    <mergeCell ref="K177:L177"/>
    <mergeCell ref="H187:I187"/>
    <mergeCell ref="K187:L187"/>
    <mergeCell ref="H190:I190"/>
    <mergeCell ref="K190:L190"/>
    <mergeCell ref="H160:I160"/>
    <mergeCell ref="K160:L160"/>
    <mergeCell ref="H162:I162"/>
    <mergeCell ref="K162:L162"/>
    <mergeCell ref="D163:M163"/>
    <mergeCell ref="H170:I170"/>
    <mergeCell ref="K170:L170"/>
    <mergeCell ref="H138:I138"/>
    <mergeCell ref="K138:L138"/>
    <mergeCell ref="H148:I148"/>
    <mergeCell ref="K148:L148"/>
    <mergeCell ref="H152:I152"/>
    <mergeCell ref="K152:L152"/>
    <mergeCell ref="H123:I123"/>
    <mergeCell ref="K123:L123"/>
    <mergeCell ref="H126:I126"/>
    <mergeCell ref="K126:L126"/>
    <mergeCell ref="H135:I135"/>
    <mergeCell ref="K135:L135"/>
    <mergeCell ref="H114:I114"/>
    <mergeCell ref="K114:L114"/>
    <mergeCell ref="H117:I117"/>
    <mergeCell ref="K117:L117"/>
    <mergeCell ref="H120:I120"/>
    <mergeCell ref="K120:L120"/>
    <mergeCell ref="H105:I105"/>
    <mergeCell ref="K105:L105"/>
    <mergeCell ref="H108:I108"/>
    <mergeCell ref="K108:L108"/>
    <mergeCell ref="H111:I111"/>
    <mergeCell ref="K111:L111"/>
    <mergeCell ref="H96:I96"/>
    <mergeCell ref="K96:L96"/>
    <mergeCell ref="H99:I99"/>
    <mergeCell ref="K99:L99"/>
    <mergeCell ref="H102:I102"/>
    <mergeCell ref="K102:L102"/>
    <mergeCell ref="A66:M66"/>
    <mergeCell ref="H74:I74"/>
    <mergeCell ref="K74:L74"/>
    <mergeCell ref="H83:I83"/>
    <mergeCell ref="K83:L83"/>
    <mergeCell ref="H93:I93"/>
    <mergeCell ref="K93:L93"/>
    <mergeCell ref="E61:J61"/>
    <mergeCell ref="K61:L61"/>
    <mergeCell ref="E62:J62"/>
    <mergeCell ref="K62:L62"/>
    <mergeCell ref="E63:J63"/>
    <mergeCell ref="K63:L63"/>
    <mergeCell ref="K55:L55"/>
    <mergeCell ref="K56:L56"/>
    <mergeCell ref="K57:L57"/>
    <mergeCell ref="K58:L58"/>
    <mergeCell ref="K59:L59"/>
    <mergeCell ref="K60:L60"/>
    <mergeCell ref="H44:I44"/>
    <mergeCell ref="K44:L44"/>
    <mergeCell ref="H51:I51"/>
    <mergeCell ref="K51:L51"/>
    <mergeCell ref="A53:G53"/>
    <mergeCell ref="K53:L53"/>
    <mergeCell ref="H53:I53"/>
    <mergeCell ref="I32:I33"/>
    <mergeCell ref="J32:J33"/>
    <mergeCell ref="K32:K33"/>
    <mergeCell ref="L32:L33"/>
    <mergeCell ref="M32:M33"/>
    <mergeCell ref="A36:M36"/>
    <mergeCell ref="B28:M28"/>
    <mergeCell ref="B29:M29"/>
    <mergeCell ref="A31:M31"/>
    <mergeCell ref="A32:B32"/>
    <mergeCell ref="C32:C33"/>
    <mergeCell ref="D32:D33"/>
    <mergeCell ref="E32:E33"/>
    <mergeCell ref="F32:F33"/>
    <mergeCell ref="G32:G33"/>
    <mergeCell ref="H32:H33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</mergeCells>
  <pageMargins left="0.4" right="0.2" top="0.2" bottom="0.4" header="0.2" footer="0.2"/>
  <pageSetup paperSize="9" scale="55" orientation="portrait" verticalDpi="0" r:id="rId1"/>
  <headerFooter>
    <oddHeader>&amp;L&amp;8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7CAA-3A97-4AA1-9366-DD6EC25084DD}">
  <sheetPr>
    <pageSetUpPr fitToPage="1"/>
  </sheetPr>
  <dimension ref="A1:L52"/>
  <sheetViews>
    <sheetView zoomScaleNormal="100" workbookViewId="0">
      <selection sqref="A1:D1"/>
    </sheetView>
  </sheetViews>
  <sheetFormatPr defaultRowHeight="12.75" x14ac:dyDescent="0.2"/>
  <cols>
    <col min="1" max="1" width="5.7109375" customWidth="1"/>
    <col min="2" max="2" width="22.7109375" customWidth="1"/>
    <col min="10" max="11" width="11.140625" customWidth="1"/>
  </cols>
  <sheetData>
    <row r="1" spans="1:12" ht="14.25" x14ac:dyDescent="0.2">
      <c r="A1" s="135" t="str">
        <f>Source!B1</f>
        <v>Smeta.RU  (495) 974-1589</v>
      </c>
      <c r="B1" s="135"/>
      <c r="C1" s="135"/>
      <c r="D1" s="135"/>
      <c r="E1" s="11"/>
      <c r="F1" s="11"/>
      <c r="G1" s="11"/>
      <c r="H1" s="136" t="s">
        <v>679</v>
      </c>
      <c r="I1" s="136"/>
      <c r="J1" s="136"/>
      <c r="K1" s="136"/>
      <c r="L1" s="136"/>
    </row>
    <row r="2" spans="1:12" ht="14.25" x14ac:dyDescent="0.2">
      <c r="A2" s="11"/>
      <c r="B2" s="11"/>
      <c r="C2" s="11"/>
      <c r="D2" s="11"/>
      <c r="E2" s="11"/>
      <c r="F2" s="11"/>
      <c r="G2" s="11"/>
      <c r="H2" s="136" t="s">
        <v>648</v>
      </c>
      <c r="I2" s="136"/>
      <c r="J2" s="136"/>
      <c r="K2" s="136"/>
      <c r="L2" s="136"/>
    </row>
    <row r="3" spans="1:12" ht="14.25" x14ac:dyDescent="0.2">
      <c r="A3" s="11"/>
      <c r="B3" s="11"/>
      <c r="C3" s="11"/>
      <c r="D3" s="11"/>
      <c r="E3" s="11"/>
      <c r="F3" s="11"/>
      <c r="G3" s="11"/>
      <c r="H3" s="136" t="s">
        <v>649</v>
      </c>
      <c r="I3" s="136"/>
      <c r="J3" s="136"/>
      <c r="K3" s="136"/>
      <c r="L3" s="136"/>
    </row>
    <row r="4" spans="1:12" ht="14.2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33" t="s">
        <v>680</v>
      </c>
      <c r="L4" s="134"/>
    </row>
    <row r="5" spans="1:12" ht="14.25" x14ac:dyDescent="0.2">
      <c r="A5" s="11"/>
      <c r="B5" s="11"/>
      <c r="C5" s="11"/>
      <c r="D5" s="11"/>
      <c r="E5" s="11"/>
      <c r="F5" s="11"/>
      <c r="G5" s="11"/>
      <c r="H5" s="11"/>
      <c r="I5" s="90" t="s">
        <v>651</v>
      </c>
      <c r="J5" s="90"/>
      <c r="K5" s="133">
        <v>322001</v>
      </c>
      <c r="L5" s="134"/>
    </row>
    <row r="6" spans="1:12" ht="14.25" x14ac:dyDescent="0.2">
      <c r="A6" s="90" t="s">
        <v>681</v>
      </c>
      <c r="B6" s="90"/>
      <c r="C6" s="137"/>
      <c r="D6" s="137"/>
      <c r="E6" s="137"/>
      <c r="F6" s="137"/>
      <c r="G6" s="137"/>
      <c r="H6" s="137"/>
      <c r="I6" s="137"/>
      <c r="J6" s="10" t="s">
        <v>654</v>
      </c>
      <c r="K6" s="133"/>
      <c r="L6" s="134"/>
    </row>
    <row r="7" spans="1:12" ht="14.25" x14ac:dyDescent="0.2">
      <c r="A7" s="11"/>
      <c r="B7" s="11"/>
      <c r="C7" s="140" t="s">
        <v>655</v>
      </c>
      <c r="D7" s="140"/>
      <c r="E7" s="140"/>
      <c r="F7" s="140"/>
      <c r="G7" s="140"/>
      <c r="H7" s="140"/>
      <c r="I7" s="140"/>
      <c r="J7" s="11"/>
      <c r="K7" s="66"/>
      <c r="L7" s="72"/>
    </row>
    <row r="8" spans="1:12" ht="14.25" x14ac:dyDescent="0.2">
      <c r="A8" s="90" t="s">
        <v>682</v>
      </c>
      <c r="B8" s="90"/>
      <c r="C8" s="137"/>
      <c r="D8" s="137"/>
      <c r="E8" s="137"/>
      <c r="F8" s="137"/>
      <c r="G8" s="137"/>
      <c r="H8" s="137"/>
      <c r="I8" s="56"/>
      <c r="J8" s="10" t="s">
        <v>654</v>
      </c>
      <c r="K8" s="138"/>
      <c r="L8" s="139"/>
    </row>
    <row r="9" spans="1:12" ht="14.25" x14ac:dyDescent="0.2">
      <c r="A9" s="11"/>
      <c r="B9" s="11"/>
      <c r="C9" s="140" t="s">
        <v>655</v>
      </c>
      <c r="D9" s="140"/>
      <c r="E9" s="140"/>
      <c r="F9" s="140"/>
      <c r="G9" s="140"/>
      <c r="H9" s="140"/>
      <c r="I9" s="140"/>
      <c r="J9" s="11"/>
      <c r="K9" s="66"/>
      <c r="L9" s="72"/>
    </row>
    <row r="10" spans="1:12" ht="14.25" x14ac:dyDescent="0.2">
      <c r="A10" s="90" t="s">
        <v>683</v>
      </c>
      <c r="B10" s="90"/>
      <c r="C10" s="137"/>
      <c r="D10" s="137"/>
      <c r="E10" s="137"/>
      <c r="F10" s="137"/>
      <c r="G10" s="137"/>
      <c r="H10" s="137"/>
      <c r="I10" s="137"/>
      <c r="J10" s="10" t="s">
        <v>654</v>
      </c>
      <c r="K10" s="138"/>
      <c r="L10" s="139"/>
    </row>
    <row r="11" spans="1:12" ht="14.25" x14ac:dyDescent="0.2">
      <c r="A11" s="11"/>
      <c r="B11" s="11"/>
      <c r="C11" s="140" t="s">
        <v>655</v>
      </c>
      <c r="D11" s="140"/>
      <c r="E11" s="140"/>
      <c r="F11" s="140"/>
      <c r="G11" s="140"/>
      <c r="H11" s="140"/>
      <c r="I11" s="140"/>
      <c r="J11" s="11"/>
      <c r="K11" s="66"/>
      <c r="L11" s="72"/>
    </row>
    <row r="12" spans="1:12" ht="14.25" x14ac:dyDescent="0.2">
      <c r="A12" s="90" t="s">
        <v>684</v>
      </c>
      <c r="B12" s="90"/>
      <c r="C12" s="137"/>
      <c r="D12" s="137"/>
      <c r="E12" s="137"/>
      <c r="F12" s="137"/>
      <c r="G12" s="137"/>
      <c r="H12" s="137"/>
      <c r="I12" s="137"/>
      <c r="J12" s="10" t="s">
        <v>654</v>
      </c>
      <c r="K12" s="138"/>
      <c r="L12" s="139"/>
    </row>
    <row r="13" spans="1:12" ht="14.25" x14ac:dyDescent="0.2">
      <c r="A13" s="11"/>
      <c r="B13" s="11"/>
      <c r="C13" s="140" t="s">
        <v>659</v>
      </c>
      <c r="D13" s="140"/>
      <c r="E13" s="140"/>
      <c r="F13" s="140"/>
      <c r="G13" s="140"/>
      <c r="H13" s="90" t="s">
        <v>685</v>
      </c>
      <c r="I13" s="90"/>
      <c r="J13" s="123"/>
      <c r="K13" s="133"/>
      <c r="L13" s="134"/>
    </row>
    <row r="14" spans="1:12" ht="14.25" x14ac:dyDescent="0.2">
      <c r="A14" s="11"/>
      <c r="B14" s="11"/>
      <c r="C14" s="11"/>
      <c r="D14" s="11"/>
      <c r="E14" s="90" t="s">
        <v>686</v>
      </c>
      <c r="F14" s="90"/>
      <c r="G14" s="90"/>
      <c r="H14" s="90"/>
      <c r="I14" s="141" t="s">
        <v>664</v>
      </c>
      <c r="J14" s="142"/>
      <c r="K14" s="133"/>
      <c r="L14" s="134"/>
    </row>
    <row r="15" spans="1:12" ht="14.25" x14ac:dyDescent="0.2">
      <c r="A15" s="11"/>
      <c r="B15" s="11"/>
      <c r="C15" s="11"/>
      <c r="D15" s="11"/>
      <c r="E15" s="11"/>
      <c r="F15" s="11"/>
      <c r="G15" s="11"/>
      <c r="H15" s="11"/>
      <c r="I15" s="143" t="s">
        <v>665</v>
      </c>
      <c r="J15" s="144"/>
      <c r="K15" s="145"/>
      <c r="L15" s="146"/>
    </row>
    <row r="16" spans="1:12" ht="14.25" x14ac:dyDescent="0.2">
      <c r="A16" s="11"/>
      <c r="B16" s="11"/>
      <c r="C16" s="11"/>
      <c r="D16" s="11"/>
      <c r="E16" s="11"/>
      <c r="F16" s="11"/>
      <c r="G16" s="11"/>
      <c r="H16" s="11"/>
      <c r="I16" s="142" t="s">
        <v>687</v>
      </c>
      <c r="J16" s="142"/>
      <c r="K16" s="147"/>
      <c r="L16" s="148"/>
    </row>
    <row r="17" spans="1:12" ht="14.25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4.25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14.25" x14ac:dyDescent="0.2">
      <c r="A19" s="11"/>
      <c r="B19" s="11"/>
      <c r="C19" s="113" t="s">
        <v>667</v>
      </c>
      <c r="D19" s="149"/>
      <c r="E19" s="113" t="s">
        <v>668</v>
      </c>
      <c r="F19" s="114"/>
      <c r="G19" s="11"/>
      <c r="H19" s="11"/>
      <c r="I19" s="113" t="s">
        <v>669</v>
      </c>
      <c r="J19" s="149"/>
      <c r="K19" s="149"/>
      <c r="L19" s="114"/>
    </row>
    <row r="20" spans="1:12" ht="14.25" x14ac:dyDescent="0.2">
      <c r="A20" s="11"/>
      <c r="B20" s="11"/>
      <c r="C20" s="150"/>
      <c r="D20" s="103"/>
      <c r="E20" s="150"/>
      <c r="F20" s="151"/>
      <c r="G20" s="11"/>
      <c r="H20" s="11"/>
      <c r="I20" s="152" t="s">
        <v>670</v>
      </c>
      <c r="J20" s="153"/>
      <c r="K20" s="152" t="s">
        <v>671</v>
      </c>
      <c r="L20" s="154"/>
    </row>
    <row r="21" spans="1:12" ht="14.25" x14ac:dyDescent="0.2">
      <c r="A21" s="11"/>
      <c r="B21" s="11"/>
      <c r="C21" s="155"/>
      <c r="D21" s="156"/>
      <c r="E21" s="157"/>
      <c r="F21" s="158"/>
      <c r="G21" s="73"/>
      <c r="H21" s="73"/>
      <c r="I21" s="157"/>
      <c r="J21" s="159"/>
      <c r="K21" s="157"/>
      <c r="L21" s="158"/>
    </row>
    <row r="22" spans="1:12" ht="14.2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14.2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8" x14ac:dyDescent="0.25">
      <c r="A24" s="130" t="s">
        <v>688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25" spans="1:12" ht="18" x14ac:dyDescent="0.25">
      <c r="A25" s="130" t="s">
        <v>689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</row>
    <row r="26" spans="1:12" ht="14.2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4.2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4.25" x14ac:dyDescent="0.2">
      <c r="A28" s="160" t="s">
        <v>562</v>
      </c>
      <c r="B28" s="160" t="s">
        <v>690</v>
      </c>
      <c r="C28" s="162"/>
      <c r="D28" s="162"/>
      <c r="E28" s="162"/>
      <c r="F28" s="160" t="s">
        <v>650</v>
      </c>
      <c r="G28" s="160" t="s">
        <v>691</v>
      </c>
      <c r="H28" s="162"/>
      <c r="I28" s="162"/>
      <c r="J28" s="162"/>
      <c r="K28" s="162"/>
      <c r="L28" s="164"/>
    </row>
    <row r="29" spans="1:12" x14ac:dyDescent="0.2">
      <c r="A29" s="161"/>
      <c r="B29" s="161"/>
      <c r="C29" s="163"/>
      <c r="D29" s="163"/>
      <c r="E29" s="163"/>
      <c r="F29" s="161"/>
      <c r="G29" s="160" t="s">
        <v>692</v>
      </c>
      <c r="H29" s="162"/>
      <c r="I29" s="160" t="s">
        <v>693</v>
      </c>
      <c r="J29" s="162"/>
      <c r="K29" s="160" t="s">
        <v>694</v>
      </c>
      <c r="L29" s="164"/>
    </row>
    <row r="30" spans="1:12" x14ac:dyDescent="0.2">
      <c r="A30" s="161"/>
      <c r="B30" s="161"/>
      <c r="C30" s="163"/>
      <c r="D30" s="163"/>
      <c r="E30" s="163"/>
      <c r="F30" s="161"/>
      <c r="G30" s="161"/>
      <c r="H30" s="163"/>
      <c r="I30" s="161"/>
      <c r="J30" s="163"/>
      <c r="K30" s="161"/>
      <c r="L30" s="165"/>
    </row>
    <row r="31" spans="1:12" x14ac:dyDescent="0.2">
      <c r="A31" s="161"/>
      <c r="B31" s="161"/>
      <c r="C31" s="163"/>
      <c r="D31" s="163"/>
      <c r="E31" s="163"/>
      <c r="F31" s="161"/>
      <c r="G31" s="161"/>
      <c r="H31" s="163"/>
      <c r="I31" s="161"/>
      <c r="J31" s="163"/>
      <c r="K31" s="161"/>
      <c r="L31" s="165"/>
    </row>
    <row r="32" spans="1:12" x14ac:dyDescent="0.2">
      <c r="A32" s="161"/>
      <c r="B32" s="161"/>
      <c r="C32" s="163"/>
      <c r="D32" s="163"/>
      <c r="E32" s="163"/>
      <c r="F32" s="161"/>
      <c r="G32" s="161"/>
      <c r="H32" s="163"/>
      <c r="I32" s="161"/>
      <c r="J32" s="163"/>
      <c r="K32" s="161"/>
      <c r="L32" s="165"/>
    </row>
    <row r="33" spans="1:12" ht="14.25" x14ac:dyDescent="0.2">
      <c r="A33" s="66">
        <v>1</v>
      </c>
      <c r="B33" s="133">
        <v>2</v>
      </c>
      <c r="C33" s="169"/>
      <c r="D33" s="169"/>
      <c r="E33" s="169"/>
      <c r="F33" s="66">
        <v>3</v>
      </c>
      <c r="G33" s="133">
        <v>4</v>
      </c>
      <c r="H33" s="169"/>
      <c r="I33" s="133">
        <v>5</v>
      </c>
      <c r="J33" s="169"/>
      <c r="K33" s="133">
        <v>6</v>
      </c>
      <c r="L33" s="134"/>
    </row>
    <row r="34" spans="1:12" ht="14.25" x14ac:dyDescent="0.2">
      <c r="A34" s="74"/>
      <c r="B34" s="170" t="s">
        <v>695</v>
      </c>
      <c r="C34" s="171"/>
      <c r="D34" s="171"/>
      <c r="E34" s="171"/>
      <c r="F34" s="75"/>
      <c r="G34" s="172"/>
      <c r="H34" s="173"/>
      <c r="I34" s="172"/>
      <c r="J34" s="173"/>
      <c r="K34" s="172"/>
      <c r="L34" s="174"/>
    </row>
    <row r="35" spans="1:12" ht="14.25" x14ac:dyDescent="0.2">
      <c r="A35" s="76"/>
      <c r="B35" s="175" t="s">
        <v>696</v>
      </c>
      <c r="C35" s="176"/>
      <c r="D35" s="176"/>
      <c r="E35" s="176"/>
      <c r="F35" s="176"/>
      <c r="G35" s="176"/>
      <c r="H35" s="176"/>
      <c r="I35" s="176"/>
      <c r="J35" s="176"/>
      <c r="K35" s="171"/>
      <c r="L35" s="177"/>
    </row>
    <row r="36" spans="1:12" ht="14.25" x14ac:dyDescent="0.2">
      <c r="A36" s="142" t="s">
        <v>103</v>
      </c>
      <c r="B36" s="142"/>
      <c r="C36" s="142"/>
      <c r="D36" s="142"/>
      <c r="E36" s="142"/>
      <c r="F36" s="142"/>
      <c r="G36" s="142"/>
      <c r="H36" s="142"/>
      <c r="I36" s="142"/>
      <c r="J36" s="178"/>
      <c r="K36" s="179"/>
      <c r="L36" s="178"/>
    </row>
    <row r="37" spans="1:12" ht="14.25" x14ac:dyDescent="0.2">
      <c r="A37" s="166" t="s">
        <v>697</v>
      </c>
      <c r="B37" s="166"/>
      <c r="C37" s="166"/>
      <c r="D37" s="166"/>
      <c r="E37" s="166"/>
      <c r="F37" s="166"/>
      <c r="G37" s="166"/>
      <c r="H37" s="166"/>
      <c r="I37" s="166"/>
      <c r="J37" s="166"/>
      <c r="K37" s="180"/>
      <c r="L37" s="181"/>
    </row>
    <row r="38" spans="1:12" ht="14.25" x14ac:dyDescent="0.2">
      <c r="A38" s="166" t="s">
        <v>698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7"/>
      <c r="L38" s="168"/>
    </row>
    <row r="39" spans="1:12" ht="14.2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2" spans="1:12" ht="14.25" x14ac:dyDescent="0.2">
      <c r="A42" s="182" t="s">
        <v>682</v>
      </c>
      <c r="B42" s="182"/>
      <c r="C42" s="183"/>
      <c r="D42" s="183"/>
      <c r="E42" s="183"/>
      <c r="F42" s="11"/>
      <c r="G42" s="183"/>
      <c r="H42" s="183"/>
      <c r="I42" s="11"/>
      <c r="J42" s="183"/>
      <c r="K42" s="183"/>
      <c r="L42" s="183"/>
    </row>
    <row r="43" spans="1:12" ht="14.25" x14ac:dyDescent="0.2">
      <c r="A43" s="11"/>
      <c r="B43" s="11"/>
      <c r="C43" s="184" t="s">
        <v>699</v>
      </c>
      <c r="D43" s="184"/>
      <c r="E43" s="184"/>
      <c r="F43" s="11"/>
      <c r="G43" s="184" t="s">
        <v>700</v>
      </c>
      <c r="H43" s="184"/>
      <c r="I43" s="11"/>
      <c r="J43" s="184" t="s">
        <v>701</v>
      </c>
      <c r="K43" s="184"/>
      <c r="L43" s="184"/>
    </row>
    <row r="44" spans="1:12" ht="14.2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14.25" x14ac:dyDescent="0.2">
      <c r="A45" s="10" t="s">
        <v>702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ht="14.2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ht="14.2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ht="14.2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1:12" ht="14.25" x14ac:dyDescent="0.2">
      <c r="A49" s="182" t="s">
        <v>683</v>
      </c>
      <c r="B49" s="182"/>
      <c r="C49" s="183"/>
      <c r="D49" s="183"/>
      <c r="E49" s="183"/>
      <c r="F49" s="11"/>
      <c r="G49" s="183"/>
      <c r="H49" s="183"/>
      <c r="I49" s="11"/>
      <c r="J49" s="183"/>
      <c r="K49" s="183"/>
      <c r="L49" s="183"/>
    </row>
    <row r="50" spans="1:12" ht="14.25" x14ac:dyDescent="0.2">
      <c r="A50" s="11"/>
      <c r="B50" s="11"/>
      <c r="C50" s="184" t="s">
        <v>699</v>
      </c>
      <c r="D50" s="184"/>
      <c r="E50" s="184"/>
      <c r="F50" s="11"/>
      <c r="G50" s="184" t="s">
        <v>700</v>
      </c>
      <c r="H50" s="184"/>
      <c r="I50" s="11"/>
      <c r="J50" s="184" t="s">
        <v>701</v>
      </c>
      <c r="K50" s="184"/>
      <c r="L50" s="184"/>
    </row>
    <row r="51" spans="1:12" ht="14.2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14.25" x14ac:dyDescent="0.2">
      <c r="A52" s="10" t="s">
        <v>702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</sheetData>
  <mergeCells count="79">
    <mergeCell ref="A49:B49"/>
    <mergeCell ref="C49:E49"/>
    <mergeCell ref="G49:H49"/>
    <mergeCell ref="J49:L49"/>
    <mergeCell ref="C50:E50"/>
    <mergeCell ref="G50:H50"/>
    <mergeCell ref="J50:L50"/>
    <mergeCell ref="A42:B42"/>
    <mergeCell ref="C42:E42"/>
    <mergeCell ref="G42:H42"/>
    <mergeCell ref="J42:L42"/>
    <mergeCell ref="C43:E43"/>
    <mergeCell ref="G43:H43"/>
    <mergeCell ref="J43:L43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28:A32"/>
    <mergeCell ref="B28:E32"/>
    <mergeCell ref="F28:F32"/>
    <mergeCell ref="G28:L28"/>
    <mergeCell ref="G29:H32"/>
    <mergeCell ref="I29:J32"/>
    <mergeCell ref="K29:L32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C13:G13"/>
    <mergeCell ref="H13:J13"/>
    <mergeCell ref="K13:L13"/>
    <mergeCell ref="E14:H14"/>
    <mergeCell ref="I14:J14"/>
    <mergeCell ref="K14:L1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I5:J5"/>
    <mergeCell ref="K5:L5"/>
    <mergeCell ref="A1:D1"/>
    <mergeCell ref="H1:L1"/>
    <mergeCell ref="H2:L2"/>
    <mergeCell ref="H3:L3"/>
    <mergeCell ref="K4:L4"/>
  </mergeCells>
  <pageMargins left="0.4" right="0.2" top="0.2" bottom="0.4" header="0.2" footer="0.2"/>
  <pageSetup paperSize="9" scale="80" fitToHeight="0" orientation="portrait" verticalDpi="0" r:id="rId1"/>
  <headerFooter>
    <oddHeader>&amp;L&amp;8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C754-D440-40A5-9550-3A93EEE5ADCC}">
  <dimension ref="A1:IK385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380</v>
      </c>
      <c r="C12" s="1">
        <v>0</v>
      </c>
      <c r="D12" s="1">
        <f>ROW(A313)</f>
        <v>313</v>
      </c>
      <c r="E12" s="1">
        <v>0</v>
      </c>
      <c r="F12" s="1" t="s">
        <v>4</v>
      </c>
      <c r="G12" s="1" t="s">
        <v>703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B313</f>
        <v>380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ТЕР</v>
      </c>
      <c r="G18" s="2" t="str">
        <f t="shared" si="0"/>
        <v>Установка реклоузеров на ВЛ-6 кВ на линии №11 в п. Сосновка, Заволжье</v>
      </c>
      <c r="H18" s="2"/>
      <c r="I18" s="2"/>
      <c r="J18" s="2"/>
      <c r="K18" s="2"/>
      <c r="L18" s="2"/>
      <c r="M18" s="2"/>
      <c r="N18" s="2"/>
      <c r="O18" s="2">
        <f t="shared" ref="O18:AT18" si="1">O313</f>
        <v>168833.97</v>
      </c>
      <c r="P18" s="2">
        <f t="shared" si="1"/>
        <v>114574.24</v>
      </c>
      <c r="Q18" s="2">
        <f t="shared" si="1"/>
        <v>27350.080000000002</v>
      </c>
      <c r="R18" s="2">
        <f t="shared" si="1"/>
        <v>6426.67</v>
      </c>
      <c r="S18" s="2">
        <f t="shared" si="1"/>
        <v>26909.65</v>
      </c>
      <c r="T18" s="2">
        <f t="shared" si="1"/>
        <v>0</v>
      </c>
      <c r="U18" s="2">
        <f t="shared" si="1"/>
        <v>83.73784400000001</v>
      </c>
      <c r="V18" s="2">
        <f t="shared" si="1"/>
        <v>18.338918799999998</v>
      </c>
      <c r="W18" s="2">
        <f t="shared" si="1"/>
        <v>0</v>
      </c>
      <c r="X18" s="2">
        <f t="shared" si="1"/>
        <v>32478.15</v>
      </c>
      <c r="Y18" s="2">
        <f t="shared" si="1"/>
        <v>18259.560000000001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219571.68</v>
      </c>
      <c r="AS18" s="2">
        <f t="shared" si="1"/>
        <v>191041.84</v>
      </c>
      <c r="AT18" s="2">
        <f t="shared" si="1"/>
        <v>17445.580000000002</v>
      </c>
      <c r="AU18" s="2">
        <f t="shared" ref="AU18:BZ18" si="2">AU313</f>
        <v>11084.26</v>
      </c>
      <c r="AV18" s="2">
        <f t="shared" si="2"/>
        <v>114574.24</v>
      </c>
      <c r="AW18" s="2">
        <f t="shared" si="2"/>
        <v>114574.24</v>
      </c>
      <c r="AX18" s="2">
        <f t="shared" si="2"/>
        <v>0</v>
      </c>
      <c r="AY18" s="2">
        <f t="shared" si="2"/>
        <v>114574.24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CA313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DG313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EM313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FS313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ROW(A274)</f>
        <v>274</v>
      </c>
      <c r="E20" s="1"/>
      <c r="F20" s="1" t="s">
        <v>3</v>
      </c>
      <c r="G20" s="1" t="s">
        <v>3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B274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/>
      </c>
      <c r="H22" s="2"/>
      <c r="I22" s="2"/>
      <c r="J22" s="2"/>
      <c r="K22" s="2"/>
      <c r="L22" s="2"/>
      <c r="M22" s="2"/>
      <c r="N22" s="2"/>
      <c r="O22" s="2">
        <f t="shared" ref="O22:AT22" si="8">O274</f>
        <v>168833.97</v>
      </c>
      <c r="P22" s="2">
        <f t="shared" si="8"/>
        <v>114574.24</v>
      </c>
      <c r="Q22" s="2">
        <f t="shared" si="8"/>
        <v>27350.080000000002</v>
      </c>
      <c r="R22" s="2">
        <f t="shared" si="8"/>
        <v>6426.67</v>
      </c>
      <c r="S22" s="2">
        <f t="shared" si="8"/>
        <v>26909.65</v>
      </c>
      <c r="T22" s="2">
        <f t="shared" si="8"/>
        <v>0</v>
      </c>
      <c r="U22" s="2">
        <f t="shared" si="8"/>
        <v>83.73784400000001</v>
      </c>
      <c r="V22" s="2">
        <f t="shared" si="8"/>
        <v>18.338918799999998</v>
      </c>
      <c r="W22" s="2">
        <f t="shared" si="8"/>
        <v>0</v>
      </c>
      <c r="X22" s="2">
        <f t="shared" si="8"/>
        <v>32478.15</v>
      </c>
      <c r="Y22" s="2">
        <f t="shared" si="8"/>
        <v>18259.560000000001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219571.68</v>
      </c>
      <c r="AS22" s="2">
        <f t="shared" si="8"/>
        <v>191041.84</v>
      </c>
      <c r="AT22" s="2">
        <f t="shared" si="8"/>
        <v>17445.580000000002</v>
      </c>
      <c r="AU22" s="2">
        <f t="shared" ref="AU22:BZ22" si="9">AU274</f>
        <v>11084.26</v>
      </c>
      <c r="AV22" s="2">
        <f t="shared" si="9"/>
        <v>114574.24</v>
      </c>
      <c r="AW22" s="2">
        <f t="shared" si="9"/>
        <v>114574.24</v>
      </c>
      <c r="AX22" s="2">
        <f t="shared" si="9"/>
        <v>0</v>
      </c>
      <c r="AY22" s="2">
        <f t="shared" si="9"/>
        <v>114574.24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CA274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DG274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EM274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FS274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ROW(A31)</f>
        <v>31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B31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O31</f>
        <v>1191.8</v>
      </c>
      <c r="P26" s="2">
        <f t="shared" si="15"/>
        <v>0</v>
      </c>
      <c r="Q26" s="2">
        <f t="shared" si="15"/>
        <v>534.83000000000004</v>
      </c>
      <c r="R26" s="2">
        <f t="shared" si="15"/>
        <v>142.84</v>
      </c>
      <c r="S26" s="2">
        <f t="shared" si="15"/>
        <v>656.97</v>
      </c>
      <c r="T26" s="2">
        <f t="shared" si="15"/>
        <v>0</v>
      </c>
      <c r="U26" s="2">
        <f t="shared" si="15"/>
        <v>2.3021599999999998</v>
      </c>
      <c r="V26" s="2">
        <f t="shared" si="15"/>
        <v>0.45</v>
      </c>
      <c r="W26" s="2">
        <f t="shared" si="15"/>
        <v>0</v>
      </c>
      <c r="X26" s="2">
        <f t="shared" si="15"/>
        <v>818.63</v>
      </c>
      <c r="Y26" s="2">
        <f t="shared" si="15"/>
        <v>472.12</v>
      </c>
      <c r="Z26" s="2">
        <f t="shared" si="15"/>
        <v>0</v>
      </c>
      <c r="AA26" s="2">
        <f t="shared" si="15"/>
        <v>0</v>
      </c>
      <c r="AB26" s="2">
        <f t="shared" si="15"/>
        <v>1191.8</v>
      </c>
      <c r="AC26" s="2">
        <f t="shared" si="15"/>
        <v>0</v>
      </c>
      <c r="AD26" s="2">
        <f t="shared" si="15"/>
        <v>534.83000000000004</v>
      </c>
      <c r="AE26" s="2">
        <f t="shared" si="15"/>
        <v>142.84</v>
      </c>
      <c r="AF26" s="2">
        <f t="shared" si="15"/>
        <v>656.97</v>
      </c>
      <c r="AG26" s="2">
        <f t="shared" si="15"/>
        <v>0</v>
      </c>
      <c r="AH26" s="2">
        <f t="shared" si="15"/>
        <v>2.3021599999999998</v>
      </c>
      <c r="AI26" s="2">
        <f t="shared" si="15"/>
        <v>0.45</v>
      </c>
      <c r="AJ26" s="2">
        <f t="shared" si="15"/>
        <v>0</v>
      </c>
      <c r="AK26" s="2">
        <f t="shared" si="15"/>
        <v>818.63</v>
      </c>
      <c r="AL26" s="2">
        <f t="shared" si="15"/>
        <v>472.12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2482.5500000000002</v>
      </c>
      <c r="AS26" s="2">
        <f t="shared" si="15"/>
        <v>2268.5300000000002</v>
      </c>
      <c r="AT26" s="2">
        <f t="shared" si="15"/>
        <v>214.02</v>
      </c>
      <c r="AU26" s="2">
        <f t="shared" ref="AU26:BZ26" si="16">AU31</f>
        <v>0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CA31</f>
        <v>2482.5500000000002</v>
      </c>
      <c r="CB26" s="2">
        <f t="shared" si="17"/>
        <v>2268.5300000000002</v>
      </c>
      <c r="CC26" s="2">
        <f t="shared" si="17"/>
        <v>214.02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DG31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EM31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FS31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ROW(SmtRes!A4)</f>
        <v>4</v>
      </c>
      <c r="D28">
        <f>ROW(EtalonRes!A4)</f>
        <v>4</v>
      </c>
      <c r="E28" t="s">
        <v>14</v>
      </c>
      <c r="F28" t="s">
        <v>15</v>
      </c>
      <c r="G28" t="s">
        <v>16</v>
      </c>
      <c r="H28" t="s">
        <v>17</v>
      </c>
      <c r="I28">
        <v>1</v>
      </c>
      <c r="J28">
        <v>0</v>
      </c>
      <c r="K28">
        <v>1</v>
      </c>
      <c r="O28">
        <f>ROUND(CP28,2)</f>
        <v>1105.5</v>
      </c>
      <c r="P28">
        <f>ROUND(CQ28*I28,2)</f>
        <v>0</v>
      </c>
      <c r="Q28">
        <f>ROUND(CR28*I28,2)</f>
        <v>534.83000000000004</v>
      </c>
      <c r="R28">
        <f>ROUND(CS28*I28,2)</f>
        <v>142.84</v>
      </c>
      <c r="S28">
        <f>ROUND(CT28*I28,2)</f>
        <v>570.66999999999996</v>
      </c>
      <c r="T28">
        <f>ROUND(CU28*I28,2)</f>
        <v>0</v>
      </c>
      <c r="U28">
        <f>CV28*I28</f>
        <v>2.0299999999999998</v>
      </c>
      <c r="V28">
        <f>CW28*I28</f>
        <v>0.45</v>
      </c>
      <c r="W28">
        <f>ROUND(CX28*I28,2)</f>
        <v>0</v>
      </c>
      <c r="X28">
        <f>ROUND(CY28,2)</f>
        <v>734.92</v>
      </c>
      <c r="Y28">
        <f>ROUND(CZ28,2)</f>
        <v>428.11</v>
      </c>
      <c r="AA28">
        <v>84185495</v>
      </c>
      <c r="AB28">
        <f>ROUND((AC28+AD28+AF28),2)</f>
        <v>63.89</v>
      </c>
      <c r="AC28">
        <f>ROUND((ES28),2)</f>
        <v>0</v>
      </c>
      <c r="AD28">
        <f>ROUND((((ET28)-(EU28))+AE28),2)</f>
        <v>47.71</v>
      </c>
      <c r="AE28">
        <f>ROUND((EU28),2)</f>
        <v>4.05</v>
      </c>
      <c r="AF28">
        <f>ROUND((EV28),2)</f>
        <v>16.18</v>
      </c>
      <c r="AG28">
        <f>ROUND((AP28),2)</f>
        <v>0</v>
      </c>
      <c r="AH28">
        <f>(EW28)</f>
        <v>2.0299999999999998</v>
      </c>
      <c r="AI28">
        <f>(EX28)</f>
        <v>0.45</v>
      </c>
      <c r="AJ28">
        <f>(AS28)</f>
        <v>0</v>
      </c>
      <c r="AK28">
        <v>63.89</v>
      </c>
      <c r="AL28">
        <v>0</v>
      </c>
      <c r="AM28">
        <v>47.71</v>
      </c>
      <c r="AN28">
        <v>4.05</v>
      </c>
      <c r="AO28">
        <v>16.18</v>
      </c>
      <c r="AP28">
        <v>0</v>
      </c>
      <c r="AQ28">
        <v>2.0299999999999998</v>
      </c>
      <c r="AR28">
        <v>0.45</v>
      </c>
      <c r="AS28">
        <v>0</v>
      </c>
      <c r="AT28">
        <v>103</v>
      </c>
      <c r="AU28">
        <v>60</v>
      </c>
      <c r="AV28">
        <v>1</v>
      </c>
      <c r="AW28">
        <v>1</v>
      </c>
      <c r="AZ28">
        <v>1</v>
      </c>
      <c r="BA28">
        <v>35.270000000000003</v>
      </c>
      <c r="BB28">
        <v>11.21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33002</v>
      </c>
      <c r="BN28">
        <v>0</v>
      </c>
      <c r="BO28" t="s">
        <v>15</v>
      </c>
      <c r="BP28">
        <v>1</v>
      </c>
      <c r="BQ28">
        <v>2</v>
      </c>
      <c r="BR28">
        <v>0</v>
      </c>
      <c r="BS28">
        <v>35.270000000000003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103</v>
      </c>
      <c r="CA28">
        <v>60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1105.5</v>
      </c>
      <c r="CQ28">
        <f>AC28*BC28</f>
        <v>0</v>
      </c>
      <c r="CR28">
        <f>(((ET28)*BB28-(EU28)*BS28)+AE28*BS28)</f>
        <v>534.82910000000004</v>
      </c>
      <c r="CS28">
        <f>AE28*BS28</f>
        <v>142.84350000000001</v>
      </c>
      <c r="CT28">
        <f>AF28*BA28</f>
        <v>570.66860000000008</v>
      </c>
      <c r="CU28">
        <f t="shared" ref="CU28:CX29" si="21">AG28</f>
        <v>0</v>
      </c>
      <c r="CV28">
        <f t="shared" si="21"/>
        <v>2.0299999999999998</v>
      </c>
      <c r="CW28">
        <f t="shared" si="21"/>
        <v>0.45</v>
      </c>
      <c r="CX28">
        <f t="shared" si="21"/>
        <v>0</v>
      </c>
      <c r="CY28">
        <f>(((S28+R28)*AT28)/100)</f>
        <v>734.9153</v>
      </c>
      <c r="CZ28">
        <f>(((S28+R28)*AU28)/100)</f>
        <v>428.10599999999999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17</v>
      </c>
      <c r="DW28" t="s">
        <v>17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79402285</v>
      </c>
      <c r="EF28">
        <v>2</v>
      </c>
      <c r="EG28" t="s">
        <v>19</v>
      </c>
      <c r="EH28">
        <v>27</v>
      </c>
      <c r="EI28" t="s">
        <v>20</v>
      </c>
      <c r="EJ28">
        <v>1</v>
      </c>
      <c r="EK28">
        <v>33002</v>
      </c>
      <c r="EL28" t="s">
        <v>20</v>
      </c>
      <c r="EM28" t="s">
        <v>21</v>
      </c>
      <c r="EO28" t="s">
        <v>3</v>
      </c>
      <c r="EQ28">
        <v>0</v>
      </c>
      <c r="ER28">
        <v>63.89</v>
      </c>
      <c r="ES28">
        <v>0</v>
      </c>
      <c r="ET28">
        <v>47.71</v>
      </c>
      <c r="EU28">
        <v>4.05</v>
      </c>
      <c r="EV28">
        <v>16.18</v>
      </c>
      <c r="EW28">
        <v>2.0299999999999998</v>
      </c>
      <c r="EX28">
        <v>0.45</v>
      </c>
      <c r="EY28">
        <v>0</v>
      </c>
      <c r="FQ28">
        <v>0</v>
      </c>
      <c r="FR28">
        <f>ROUND(IF(BI28=3,GM28,0),2)</f>
        <v>0</v>
      </c>
      <c r="FS28">
        <v>0</v>
      </c>
      <c r="FX28">
        <v>103</v>
      </c>
      <c r="FY28">
        <v>60</v>
      </c>
      <c r="GA28" t="s">
        <v>3</v>
      </c>
      <c r="GD28">
        <v>1</v>
      </c>
      <c r="GF28">
        <v>-843217128</v>
      </c>
      <c r="GG28">
        <v>2</v>
      </c>
      <c r="GH28">
        <v>1</v>
      </c>
      <c r="GI28">
        <v>2</v>
      </c>
      <c r="GJ28">
        <v>0</v>
      </c>
      <c r="GK28">
        <v>0</v>
      </c>
      <c r="GL28">
        <f>ROUND(IF(AND(BH28=3,BI28=3,FS28&lt;&gt;0),P28,0),2)</f>
        <v>0</v>
      </c>
      <c r="GM28">
        <f>ROUND(O28+X28+Y28,2)+GX28</f>
        <v>2268.5300000000002</v>
      </c>
      <c r="GN28">
        <f>IF(OR(BI28=0,BI28=1),GM28,0)</f>
        <v>2268.5300000000002</v>
      </c>
      <c r="GO28">
        <f>IF(BI28=2,GM28,0)</f>
        <v>0</v>
      </c>
      <c r="GP28">
        <f>IF(BI28=4,GM28+GX28,0)</f>
        <v>0</v>
      </c>
      <c r="GR28">
        <v>0</v>
      </c>
      <c r="GS28">
        <v>3</v>
      </c>
      <c r="GT28">
        <v>0</v>
      </c>
      <c r="GU28" t="s">
        <v>3</v>
      </c>
      <c r="GV28">
        <f>ROUND((GT28),2)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22</v>
      </c>
      <c r="HO28" t="s">
        <v>23</v>
      </c>
      <c r="HP28" t="s">
        <v>20</v>
      </c>
      <c r="HQ28" t="s">
        <v>20</v>
      </c>
      <c r="IK28">
        <v>0</v>
      </c>
    </row>
    <row r="29" spans="1:245" x14ac:dyDescent="0.2">
      <c r="A29">
        <v>17</v>
      </c>
      <c r="B29">
        <v>1</v>
      </c>
      <c r="C29">
        <f>ROW(SmtRes!A6)</f>
        <v>6</v>
      </c>
      <c r="D29">
        <f>ROW(EtalonRes!A6)</f>
        <v>6</v>
      </c>
      <c r="E29" t="s">
        <v>24</v>
      </c>
      <c r="F29" t="s">
        <v>25</v>
      </c>
      <c r="G29" t="s">
        <v>26</v>
      </c>
      <c r="H29" t="s">
        <v>27</v>
      </c>
      <c r="I29">
        <f>ROUND(3/100,9)</f>
        <v>0.03</v>
      </c>
      <c r="J29">
        <v>0</v>
      </c>
      <c r="K29">
        <f>ROUND(3/100,9)</f>
        <v>0.03</v>
      </c>
      <c r="O29">
        <f>ROUND(CP29,2)</f>
        <v>86.3</v>
      </c>
      <c r="P29">
        <f>ROUND(CQ29*I29,2)</f>
        <v>0</v>
      </c>
      <c r="Q29">
        <f>ROUND(CR29*I29,2)</f>
        <v>0</v>
      </c>
      <c r="R29">
        <f>ROUND(CS29*I29,2)</f>
        <v>0</v>
      </c>
      <c r="S29">
        <f>ROUND(CT29*I29,2)</f>
        <v>86.3</v>
      </c>
      <c r="T29">
        <f>ROUND(CU29*I29,2)</f>
        <v>0</v>
      </c>
      <c r="U29">
        <f>CV29*I29</f>
        <v>0.27215999999999996</v>
      </c>
      <c r="V29">
        <f>CW29*I29</f>
        <v>0</v>
      </c>
      <c r="W29">
        <f>ROUND(CX29*I29,2)</f>
        <v>0</v>
      </c>
      <c r="X29">
        <f>ROUND(CY29,2)</f>
        <v>83.71</v>
      </c>
      <c r="Y29">
        <f>ROUND(CZ29,2)</f>
        <v>44.01</v>
      </c>
      <c r="AA29">
        <v>84185495</v>
      </c>
      <c r="AB29">
        <f>ROUND((AC29+AD29+AF29),2)</f>
        <v>81.56</v>
      </c>
      <c r="AC29">
        <f>ROUND(((ES29*0)),2)</f>
        <v>0</v>
      </c>
      <c r="AD29">
        <f>ROUND(((((ET29*0.6))-((EU29*0.6)))+AE29),2)</f>
        <v>0</v>
      </c>
      <c r="AE29">
        <f>ROUND(((EU29*0.6)),2)</f>
        <v>0</v>
      </c>
      <c r="AF29">
        <f>ROUND(((EV29*0.6)),2)</f>
        <v>81.56</v>
      </c>
      <c r="AG29">
        <f>ROUND((AP29),2)</f>
        <v>0</v>
      </c>
      <c r="AH29">
        <f>((EW29*0.6))</f>
        <v>9.0719999999999992</v>
      </c>
      <c r="AI29">
        <f>((EX29*0.6))</f>
        <v>0</v>
      </c>
      <c r="AJ29">
        <f>(AS29)</f>
        <v>0</v>
      </c>
      <c r="AK29">
        <v>138.65</v>
      </c>
      <c r="AL29">
        <v>2.72</v>
      </c>
      <c r="AM29">
        <v>0</v>
      </c>
      <c r="AN29">
        <v>0</v>
      </c>
      <c r="AO29">
        <v>135.93</v>
      </c>
      <c r="AP29">
        <v>0</v>
      </c>
      <c r="AQ29">
        <v>15.12</v>
      </c>
      <c r="AR29">
        <v>0</v>
      </c>
      <c r="AS29">
        <v>0</v>
      </c>
      <c r="AT29">
        <v>97</v>
      </c>
      <c r="AU29">
        <v>51</v>
      </c>
      <c r="AV29">
        <v>1</v>
      </c>
      <c r="AW29">
        <v>1</v>
      </c>
      <c r="AZ29">
        <v>1</v>
      </c>
      <c r="BA29">
        <v>35.270000000000003</v>
      </c>
      <c r="BB29">
        <v>1</v>
      </c>
      <c r="BC29">
        <v>35.25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28</v>
      </c>
      <c r="BM29">
        <v>108001</v>
      </c>
      <c r="BN29">
        <v>0</v>
      </c>
      <c r="BO29" t="s">
        <v>25</v>
      </c>
      <c r="BP29">
        <v>1</v>
      </c>
      <c r="BQ29">
        <v>3</v>
      </c>
      <c r="BR29">
        <v>0</v>
      </c>
      <c r="BS29">
        <v>35.270000000000003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97</v>
      </c>
      <c r="CA29">
        <v>51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29</v>
      </c>
      <c r="CO29">
        <v>0</v>
      </c>
      <c r="CP29">
        <f>(P29+Q29+S29)</f>
        <v>86.3</v>
      </c>
      <c r="CQ29">
        <f>AC29*BC29</f>
        <v>0</v>
      </c>
      <c r="CR29">
        <f>((((ET29*0.6))*BB29-((EU29*0.6))*BS29)+AE29*BS29)</f>
        <v>0</v>
      </c>
      <c r="CS29">
        <f>AE29*BS29</f>
        <v>0</v>
      </c>
      <c r="CT29">
        <f>AF29*BA29</f>
        <v>2876.6212000000005</v>
      </c>
      <c r="CU29">
        <f t="shared" si="21"/>
        <v>0</v>
      </c>
      <c r="CV29">
        <f t="shared" si="21"/>
        <v>9.0719999999999992</v>
      </c>
      <c r="CW29">
        <f t="shared" si="21"/>
        <v>0</v>
      </c>
      <c r="CX29">
        <f t="shared" si="21"/>
        <v>0</v>
      </c>
      <c r="CY29">
        <f>(((S29+R29)*AT29)/100)</f>
        <v>83.710999999999999</v>
      </c>
      <c r="CZ29">
        <f>(((S29+R29)*AU29)/100)</f>
        <v>44.013000000000005</v>
      </c>
      <c r="DC29" t="s">
        <v>3</v>
      </c>
      <c r="DD29" t="s">
        <v>30</v>
      </c>
      <c r="DE29" t="s">
        <v>31</v>
      </c>
      <c r="DF29" t="s">
        <v>31</v>
      </c>
      <c r="DG29" t="s">
        <v>31</v>
      </c>
      <c r="DH29" t="s">
        <v>3</v>
      </c>
      <c r="DI29" t="s">
        <v>31</v>
      </c>
      <c r="DJ29" t="s">
        <v>31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1010</v>
      </c>
      <c r="DV29" t="s">
        <v>27</v>
      </c>
      <c r="DW29" t="s">
        <v>27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79401673</v>
      </c>
      <c r="EF29">
        <v>3</v>
      </c>
      <c r="EG29" t="s">
        <v>32</v>
      </c>
      <c r="EH29">
        <v>0</v>
      </c>
      <c r="EI29" t="s">
        <v>3</v>
      </c>
      <c r="EJ29">
        <v>2</v>
      </c>
      <c r="EK29">
        <v>108001</v>
      </c>
      <c r="EL29" t="s">
        <v>33</v>
      </c>
      <c r="EM29" t="s">
        <v>34</v>
      </c>
      <c r="EO29" t="s">
        <v>35</v>
      </c>
      <c r="EQ29">
        <v>0</v>
      </c>
      <c r="ER29">
        <v>138.65</v>
      </c>
      <c r="ES29">
        <v>2.72</v>
      </c>
      <c r="ET29">
        <v>0</v>
      </c>
      <c r="EU29">
        <v>0</v>
      </c>
      <c r="EV29">
        <v>135.93</v>
      </c>
      <c r="EW29">
        <v>15.12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97</v>
      </c>
      <c r="FY29">
        <v>51</v>
      </c>
      <c r="GA29" t="s">
        <v>3</v>
      </c>
      <c r="GD29">
        <v>1</v>
      </c>
      <c r="GF29">
        <v>-795953744</v>
      </c>
      <c r="GG29">
        <v>2</v>
      </c>
      <c r="GH29">
        <v>1</v>
      </c>
      <c r="GI29">
        <v>2</v>
      </c>
      <c r="GJ29">
        <v>0</v>
      </c>
      <c r="GK29">
        <v>0</v>
      </c>
      <c r="GL29">
        <f>ROUND(IF(AND(BH29=3,BI29=3,FS29&lt;&gt;0),P29,0),2)</f>
        <v>0</v>
      </c>
      <c r="GM29">
        <f>ROUND(O29+X29+Y29,2)+GX29</f>
        <v>214.02</v>
      </c>
      <c r="GN29">
        <f>IF(OR(BI29=0,BI29=1),GM29,0)</f>
        <v>0</v>
      </c>
      <c r="GO29">
        <f>IF(BI29=2,GM29,0)</f>
        <v>214.02</v>
      </c>
      <c r="GP29">
        <f>IF(BI29=4,GM29+GX29,0)</f>
        <v>0</v>
      </c>
      <c r="GR29">
        <v>0</v>
      </c>
      <c r="GS29">
        <v>3</v>
      </c>
      <c r="GT29">
        <v>0</v>
      </c>
      <c r="GU29" t="s">
        <v>3</v>
      </c>
      <c r="GV29">
        <f>ROUND((GT29),2)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36</v>
      </c>
      <c r="HO29" t="s">
        <v>37</v>
      </c>
      <c r="HP29" t="s">
        <v>33</v>
      </c>
      <c r="HQ29" t="s">
        <v>33</v>
      </c>
      <c r="IK29">
        <v>0</v>
      </c>
    </row>
    <row r="31" spans="1:245" x14ac:dyDescent="0.2">
      <c r="A31" s="2">
        <v>51</v>
      </c>
      <c r="B31" s="2">
        <f>B24</f>
        <v>1</v>
      </c>
      <c r="C31" s="2">
        <f>A24</f>
        <v>4</v>
      </c>
      <c r="D31" s="2">
        <f>ROW(A24)</f>
        <v>24</v>
      </c>
      <c r="E31" s="2"/>
      <c r="F31" s="2" t="str">
        <f>IF(F24&lt;&gt;"",F24,"")</f>
        <v>Новый раздел</v>
      </c>
      <c r="G31" s="2" t="str">
        <f>IF(G24&lt;&gt;"",G24,"")</f>
        <v>Демонтажные работы</v>
      </c>
      <c r="H31" s="2">
        <v>0</v>
      </c>
      <c r="I31" s="2"/>
      <c r="J31" s="2"/>
      <c r="K31" s="2"/>
      <c r="L31" s="2"/>
      <c r="M31" s="2"/>
      <c r="N31" s="2"/>
      <c r="O31" s="2">
        <f t="shared" ref="O31:T31" si="22">ROUND(AB31,2)</f>
        <v>1191.8</v>
      </c>
      <c r="P31" s="2">
        <f t="shared" si="22"/>
        <v>0</v>
      </c>
      <c r="Q31" s="2">
        <f t="shared" si="22"/>
        <v>534.83000000000004</v>
      </c>
      <c r="R31" s="2">
        <f t="shared" si="22"/>
        <v>142.84</v>
      </c>
      <c r="S31" s="2">
        <f t="shared" si="22"/>
        <v>656.97</v>
      </c>
      <c r="T31" s="2">
        <f t="shared" si="22"/>
        <v>0</v>
      </c>
      <c r="U31" s="2">
        <f>AH31</f>
        <v>2.3021599999999998</v>
      </c>
      <c r="V31" s="2">
        <f>AI31</f>
        <v>0.45</v>
      </c>
      <c r="W31" s="2">
        <f>ROUND(AJ31,2)</f>
        <v>0</v>
      </c>
      <c r="X31" s="2">
        <f>ROUND(AK31,2)</f>
        <v>818.63</v>
      </c>
      <c r="Y31" s="2">
        <f>ROUND(AL31,2)</f>
        <v>472.12</v>
      </c>
      <c r="Z31" s="2"/>
      <c r="AA31" s="2"/>
      <c r="AB31" s="2">
        <f>ROUND(SUMIF(AA28:AA29,"=84185495",O28:O29),2)</f>
        <v>1191.8</v>
      </c>
      <c r="AC31" s="2">
        <f>ROUND(SUMIF(AA28:AA29,"=84185495",P28:P29),2)</f>
        <v>0</v>
      </c>
      <c r="AD31" s="2">
        <f>ROUND(SUMIF(AA28:AA29,"=84185495",Q28:Q29),2)</f>
        <v>534.83000000000004</v>
      </c>
      <c r="AE31" s="2">
        <f>ROUND(SUMIF(AA28:AA29,"=84185495",R28:R29),2)</f>
        <v>142.84</v>
      </c>
      <c r="AF31" s="2">
        <f>ROUND(SUMIF(AA28:AA29,"=84185495",S28:S29),2)</f>
        <v>656.97</v>
      </c>
      <c r="AG31" s="2">
        <f>ROUND(SUMIF(AA28:AA29,"=84185495",T28:T29),2)</f>
        <v>0</v>
      </c>
      <c r="AH31" s="2">
        <f>SUMIF(AA28:AA29,"=84185495",U28:U29)</f>
        <v>2.3021599999999998</v>
      </c>
      <c r="AI31" s="2">
        <f>SUMIF(AA28:AA29,"=84185495",V28:V29)</f>
        <v>0.45</v>
      </c>
      <c r="AJ31" s="2">
        <f>ROUND(SUMIF(AA28:AA29,"=84185495",W28:W29),2)</f>
        <v>0</v>
      </c>
      <c r="AK31" s="2">
        <f>ROUND(SUMIF(AA28:AA29,"=84185495",X28:X29),2)</f>
        <v>818.63</v>
      </c>
      <c r="AL31" s="2">
        <f>ROUND(SUMIF(AA28:AA29,"=84185495",Y28:Y29),2)</f>
        <v>472.12</v>
      </c>
      <c r="AM31" s="2"/>
      <c r="AN31" s="2"/>
      <c r="AO31" s="2">
        <f t="shared" ref="AO31:BD31" si="23">ROUND(BX31,2)</f>
        <v>0</v>
      </c>
      <c r="AP31" s="2">
        <f t="shared" si="23"/>
        <v>0</v>
      </c>
      <c r="AQ31" s="2">
        <f t="shared" si="23"/>
        <v>0</v>
      </c>
      <c r="AR31" s="2">
        <f t="shared" si="23"/>
        <v>2482.5500000000002</v>
      </c>
      <c r="AS31" s="2">
        <f t="shared" si="23"/>
        <v>2268.5300000000002</v>
      </c>
      <c r="AT31" s="2">
        <f t="shared" si="23"/>
        <v>214.02</v>
      </c>
      <c r="AU31" s="2">
        <f t="shared" si="23"/>
        <v>0</v>
      </c>
      <c r="AV31" s="2">
        <f t="shared" si="23"/>
        <v>0</v>
      </c>
      <c r="AW31" s="2">
        <f t="shared" si="23"/>
        <v>0</v>
      </c>
      <c r="AX31" s="2">
        <f t="shared" si="23"/>
        <v>0</v>
      </c>
      <c r="AY31" s="2">
        <f t="shared" si="23"/>
        <v>0</v>
      </c>
      <c r="AZ31" s="2">
        <f t="shared" si="23"/>
        <v>0</v>
      </c>
      <c r="BA31" s="2">
        <f t="shared" si="23"/>
        <v>0</v>
      </c>
      <c r="BB31" s="2">
        <f t="shared" si="23"/>
        <v>0</v>
      </c>
      <c r="BC31" s="2">
        <f t="shared" si="23"/>
        <v>0</v>
      </c>
      <c r="BD31" s="2">
        <f t="shared" si="23"/>
        <v>0</v>
      </c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>
        <f>ROUND(SUMIF(AA28:AA29,"=84185495",FQ28:FQ29),2)</f>
        <v>0</v>
      </c>
      <c r="BY31" s="2">
        <f>ROUND(SUMIF(AA28:AA29,"=84185495",FR28:FR29),2)</f>
        <v>0</v>
      </c>
      <c r="BZ31" s="2">
        <f>ROUND(SUMIF(AA28:AA29,"=84185495",GL28:GL29),2)</f>
        <v>0</v>
      </c>
      <c r="CA31" s="2">
        <f>ROUND(SUMIF(AA28:AA29,"=84185495",GM28:GM29),2)</f>
        <v>2482.5500000000002</v>
      </c>
      <c r="CB31" s="2">
        <f>ROUND(SUMIF(AA28:AA29,"=84185495",GN28:GN29),2)</f>
        <v>2268.5300000000002</v>
      </c>
      <c r="CC31" s="2">
        <f>ROUND(SUMIF(AA28:AA29,"=84185495",GO28:GO29),2)</f>
        <v>214.02</v>
      </c>
      <c r="CD31" s="2">
        <f>ROUND(SUMIF(AA28:AA29,"=84185495",GP28:GP29),2)</f>
        <v>0</v>
      </c>
      <c r="CE31" s="2">
        <f>AC31-BX31</f>
        <v>0</v>
      </c>
      <c r="CF31" s="2">
        <f>AC31-BY31</f>
        <v>0</v>
      </c>
      <c r="CG31" s="2">
        <f>BX31-BZ31</f>
        <v>0</v>
      </c>
      <c r="CH31" s="2">
        <f>AC31-BX31-BY31+BZ31</f>
        <v>0</v>
      </c>
      <c r="CI31" s="2">
        <f>BY31-BZ31</f>
        <v>0</v>
      </c>
      <c r="CJ31" s="2">
        <f>ROUND(SUMIF(AA28:AA29,"=84185495",GX28:GX29),2)</f>
        <v>0</v>
      </c>
      <c r="CK31" s="2">
        <f>ROUND(SUMIF(AA28:AA29,"=84185495",GY28:GY29),2)</f>
        <v>0</v>
      </c>
      <c r="CL31" s="2">
        <f>ROUND(SUMIF(AA28:AA29,"=84185495",GZ28:GZ29),2)</f>
        <v>0</v>
      </c>
      <c r="CM31" s="2">
        <f>ROUND(SUMIF(AA28:AA29,"=84185495",HD28:HD29),2)</f>
        <v>0</v>
      </c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>
        <v>0</v>
      </c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201</v>
      </c>
      <c r="F33" s="4">
        <f>ROUND(Source!O31,O33)</f>
        <v>1191.8</v>
      </c>
      <c r="G33" s="4" t="s">
        <v>38</v>
      </c>
      <c r="H33" s="4" t="s">
        <v>39</v>
      </c>
      <c r="I33" s="4"/>
      <c r="J33" s="4"/>
      <c r="K33" s="4">
        <v>201</v>
      </c>
      <c r="L33" s="4">
        <v>1</v>
      </c>
      <c r="M33" s="4">
        <v>3</v>
      </c>
      <c r="N33" s="4" t="s">
        <v>3</v>
      </c>
      <c r="O33" s="4">
        <v>2</v>
      </c>
      <c r="P33" s="4"/>
      <c r="Q33" s="4"/>
      <c r="R33" s="4"/>
      <c r="S33" s="4"/>
      <c r="T33" s="4"/>
      <c r="U33" s="4"/>
      <c r="V33" s="4"/>
      <c r="W33" s="4">
        <v>1191.8</v>
      </c>
      <c r="X33" s="4">
        <v>1</v>
      </c>
      <c r="Y33" s="4">
        <v>1191.8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0</v>
      </c>
      <c r="F34" s="4">
        <f>ROUND(Source!P31,O34)</f>
        <v>0</v>
      </c>
      <c r="G34" s="4" t="s">
        <v>40</v>
      </c>
      <c r="H34" s="4" t="s">
        <v>41</v>
      </c>
      <c r="I34" s="4"/>
      <c r="J34" s="4"/>
      <c r="K34" s="4">
        <v>202</v>
      </c>
      <c r="L34" s="4">
        <v>2</v>
      </c>
      <c r="M34" s="4">
        <v>3</v>
      </c>
      <c r="N34" s="4" t="s">
        <v>3</v>
      </c>
      <c r="O34" s="4">
        <v>2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222</v>
      </c>
      <c r="F35" s="4">
        <f>ROUND(Source!AO31,O35)</f>
        <v>0</v>
      </c>
      <c r="G35" s="4" t="s">
        <v>42</v>
      </c>
      <c r="H35" s="4" t="s">
        <v>43</v>
      </c>
      <c r="I35" s="4"/>
      <c r="J35" s="4"/>
      <c r="K35" s="4">
        <v>222</v>
      </c>
      <c r="L35" s="4">
        <v>3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225</v>
      </c>
      <c r="F36" s="4">
        <f>ROUND(Source!AV31,O36)</f>
        <v>0</v>
      </c>
      <c r="G36" s="4" t="s">
        <v>44</v>
      </c>
      <c r="H36" s="4" t="s">
        <v>45</v>
      </c>
      <c r="I36" s="4"/>
      <c r="J36" s="4"/>
      <c r="K36" s="4">
        <v>225</v>
      </c>
      <c r="L36" s="4">
        <v>4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226</v>
      </c>
      <c r="F37" s="4">
        <f>ROUND(Source!AW31,O37)</f>
        <v>0</v>
      </c>
      <c r="G37" s="4" t="s">
        <v>46</v>
      </c>
      <c r="H37" s="4" t="s">
        <v>47</v>
      </c>
      <c r="I37" s="4"/>
      <c r="J37" s="4"/>
      <c r="K37" s="4">
        <v>226</v>
      </c>
      <c r="L37" s="4">
        <v>5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227</v>
      </c>
      <c r="F38" s="4">
        <f>ROUND(Source!AX31,O38)</f>
        <v>0</v>
      </c>
      <c r="G38" s="4" t="s">
        <v>48</v>
      </c>
      <c r="H38" s="4" t="s">
        <v>49</v>
      </c>
      <c r="I38" s="4"/>
      <c r="J38" s="4"/>
      <c r="K38" s="4">
        <v>227</v>
      </c>
      <c r="L38" s="4">
        <v>6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228</v>
      </c>
      <c r="F39" s="4">
        <f>ROUND(Source!AY31,O39)</f>
        <v>0</v>
      </c>
      <c r="G39" s="4" t="s">
        <v>50</v>
      </c>
      <c r="H39" s="4" t="s">
        <v>51</v>
      </c>
      <c r="I39" s="4"/>
      <c r="J39" s="4"/>
      <c r="K39" s="4">
        <v>228</v>
      </c>
      <c r="L39" s="4">
        <v>7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216</v>
      </c>
      <c r="F40" s="4">
        <f>ROUND(Source!AP31,O40)</f>
        <v>0</v>
      </c>
      <c r="G40" s="4" t="s">
        <v>52</v>
      </c>
      <c r="H40" s="4" t="s">
        <v>53</v>
      </c>
      <c r="I40" s="4"/>
      <c r="J40" s="4"/>
      <c r="K40" s="4">
        <v>216</v>
      </c>
      <c r="L40" s="4">
        <v>8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223</v>
      </c>
      <c r="F41" s="4">
        <f>ROUND(Source!AQ31,O41)</f>
        <v>0</v>
      </c>
      <c r="G41" s="4" t="s">
        <v>54</v>
      </c>
      <c r="H41" s="4" t="s">
        <v>55</v>
      </c>
      <c r="I41" s="4"/>
      <c r="J41" s="4"/>
      <c r="K41" s="4">
        <v>223</v>
      </c>
      <c r="L41" s="4">
        <v>9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229</v>
      </c>
      <c r="F42" s="4">
        <f>ROUND(Source!AZ31,O42)</f>
        <v>0</v>
      </c>
      <c r="G42" s="4" t="s">
        <v>56</v>
      </c>
      <c r="H42" s="4" t="s">
        <v>57</v>
      </c>
      <c r="I42" s="4"/>
      <c r="J42" s="4"/>
      <c r="K42" s="4">
        <v>229</v>
      </c>
      <c r="L42" s="4">
        <v>10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0</v>
      </c>
      <c r="F43" s="4">
        <f>ROUND(Source!Q31,O43)</f>
        <v>534.83000000000004</v>
      </c>
      <c r="G43" s="4" t="s">
        <v>58</v>
      </c>
      <c r="H43" s="4" t="s">
        <v>59</v>
      </c>
      <c r="I43" s="4"/>
      <c r="J43" s="4"/>
      <c r="K43" s="4">
        <v>203</v>
      </c>
      <c r="L43" s="4">
        <v>11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534.83000000000004</v>
      </c>
      <c r="X43" s="4">
        <v>1</v>
      </c>
      <c r="Y43" s="4">
        <v>534.83000000000004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231</v>
      </c>
      <c r="F44" s="4">
        <f>ROUND(Source!BB31,O44)</f>
        <v>0</v>
      </c>
      <c r="G44" s="4" t="s">
        <v>60</v>
      </c>
      <c r="H44" s="4" t="s">
        <v>61</v>
      </c>
      <c r="I44" s="4"/>
      <c r="J44" s="4"/>
      <c r="K44" s="4">
        <v>231</v>
      </c>
      <c r="L44" s="4">
        <v>12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f>ROUND(Source!R31,O45)</f>
        <v>142.84</v>
      </c>
      <c r="G45" s="4" t="s">
        <v>62</v>
      </c>
      <c r="H45" s="4" t="s">
        <v>63</v>
      </c>
      <c r="I45" s="4"/>
      <c r="J45" s="4"/>
      <c r="K45" s="4">
        <v>204</v>
      </c>
      <c r="L45" s="4">
        <v>13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142.84</v>
      </c>
      <c r="X45" s="4">
        <v>1</v>
      </c>
      <c r="Y45" s="4">
        <v>142.84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f>ROUND(Source!S31,O46)</f>
        <v>656.97</v>
      </c>
      <c r="G46" s="4" t="s">
        <v>64</v>
      </c>
      <c r="H46" s="4" t="s">
        <v>65</v>
      </c>
      <c r="I46" s="4"/>
      <c r="J46" s="4"/>
      <c r="K46" s="4">
        <v>205</v>
      </c>
      <c r="L46" s="4">
        <v>14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656.97</v>
      </c>
      <c r="X46" s="4">
        <v>1</v>
      </c>
      <c r="Y46" s="4">
        <v>656.97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232</v>
      </c>
      <c r="F47" s="4">
        <f>ROUND(Source!BC31,O47)</f>
        <v>0</v>
      </c>
      <c r="G47" s="4" t="s">
        <v>66</v>
      </c>
      <c r="H47" s="4" t="s">
        <v>67</v>
      </c>
      <c r="I47" s="4"/>
      <c r="J47" s="4"/>
      <c r="K47" s="4">
        <v>232</v>
      </c>
      <c r="L47" s="4">
        <v>15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214</v>
      </c>
      <c r="F48" s="4">
        <f>ROUND(Source!AS31,O48)</f>
        <v>2268.5300000000002</v>
      </c>
      <c r="G48" s="4" t="s">
        <v>68</v>
      </c>
      <c r="H48" s="4" t="s">
        <v>69</v>
      </c>
      <c r="I48" s="4"/>
      <c r="J48" s="4"/>
      <c r="K48" s="4">
        <v>214</v>
      </c>
      <c r="L48" s="4">
        <v>16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2268.5300000000002</v>
      </c>
      <c r="X48" s="4">
        <v>1</v>
      </c>
      <c r="Y48" s="4">
        <v>2268.5300000000002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215</v>
      </c>
      <c r="F49" s="4">
        <f>ROUND(Source!AT31,O49)</f>
        <v>214.02</v>
      </c>
      <c r="G49" s="4" t="s">
        <v>70</v>
      </c>
      <c r="H49" s="4" t="s">
        <v>71</v>
      </c>
      <c r="I49" s="4"/>
      <c r="J49" s="4"/>
      <c r="K49" s="4">
        <v>215</v>
      </c>
      <c r="L49" s="4">
        <v>17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214.02</v>
      </c>
      <c r="X49" s="4">
        <v>1</v>
      </c>
      <c r="Y49" s="4">
        <v>214.02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217</v>
      </c>
      <c r="F50" s="4">
        <f>ROUND(Source!AU31,O50)</f>
        <v>0</v>
      </c>
      <c r="G50" s="4" t="s">
        <v>72</v>
      </c>
      <c r="H50" s="4" t="s">
        <v>73</v>
      </c>
      <c r="I50" s="4"/>
      <c r="J50" s="4"/>
      <c r="K50" s="4">
        <v>217</v>
      </c>
      <c r="L50" s="4">
        <v>18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230</v>
      </c>
      <c r="F51" s="4">
        <f>ROUND(Source!BA31,O51)</f>
        <v>0</v>
      </c>
      <c r="G51" s="4" t="s">
        <v>74</v>
      </c>
      <c r="H51" s="4" t="s">
        <v>75</v>
      </c>
      <c r="I51" s="4"/>
      <c r="J51" s="4"/>
      <c r="K51" s="4">
        <v>230</v>
      </c>
      <c r="L51" s="4">
        <v>19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206</v>
      </c>
      <c r="F52" s="4">
        <f>ROUND(Source!T31,O52)</f>
        <v>0</v>
      </c>
      <c r="G52" s="4" t="s">
        <v>76</v>
      </c>
      <c r="H52" s="4" t="s">
        <v>77</v>
      </c>
      <c r="I52" s="4"/>
      <c r="J52" s="4"/>
      <c r="K52" s="4">
        <v>206</v>
      </c>
      <c r="L52" s="4">
        <v>20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207</v>
      </c>
      <c r="F53" s="4">
        <f>Source!U31</f>
        <v>2.3021599999999998</v>
      </c>
      <c r="G53" s="4" t="s">
        <v>78</v>
      </c>
      <c r="H53" s="4" t="s">
        <v>79</v>
      </c>
      <c r="I53" s="4"/>
      <c r="J53" s="4"/>
      <c r="K53" s="4">
        <v>207</v>
      </c>
      <c r="L53" s="4">
        <v>21</v>
      </c>
      <c r="M53" s="4">
        <v>3</v>
      </c>
      <c r="N53" s="4" t="s">
        <v>3</v>
      </c>
      <c r="O53" s="4">
        <v>-1</v>
      </c>
      <c r="P53" s="4"/>
      <c r="Q53" s="4"/>
      <c r="R53" s="4"/>
      <c r="S53" s="4"/>
      <c r="T53" s="4"/>
      <c r="U53" s="4"/>
      <c r="V53" s="4"/>
      <c r="W53" s="4">
        <v>2.3021599999999998</v>
      </c>
      <c r="X53" s="4">
        <v>1</v>
      </c>
      <c r="Y53" s="4">
        <v>2.3021599999999998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208</v>
      </c>
      <c r="F54" s="4">
        <f>Source!V31</f>
        <v>0.45</v>
      </c>
      <c r="G54" s="4" t="s">
        <v>80</v>
      </c>
      <c r="H54" s="4" t="s">
        <v>81</v>
      </c>
      <c r="I54" s="4"/>
      <c r="J54" s="4"/>
      <c r="K54" s="4">
        <v>208</v>
      </c>
      <c r="L54" s="4">
        <v>22</v>
      </c>
      <c r="M54" s="4">
        <v>3</v>
      </c>
      <c r="N54" s="4" t="s">
        <v>3</v>
      </c>
      <c r="O54" s="4">
        <v>-1</v>
      </c>
      <c r="P54" s="4"/>
      <c r="Q54" s="4"/>
      <c r="R54" s="4"/>
      <c r="S54" s="4"/>
      <c r="T54" s="4"/>
      <c r="U54" s="4"/>
      <c r="V54" s="4"/>
      <c r="W54" s="4">
        <v>0.45</v>
      </c>
      <c r="X54" s="4">
        <v>1</v>
      </c>
      <c r="Y54" s="4">
        <v>0.45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209</v>
      </c>
      <c r="F55" s="4">
        <f>ROUND(Source!W31,O55)</f>
        <v>0</v>
      </c>
      <c r="G55" s="4" t="s">
        <v>82</v>
      </c>
      <c r="H55" s="4" t="s">
        <v>83</v>
      </c>
      <c r="I55" s="4"/>
      <c r="J55" s="4"/>
      <c r="K55" s="4">
        <v>209</v>
      </c>
      <c r="L55" s="4">
        <v>23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233</v>
      </c>
      <c r="F56" s="4">
        <f>ROUND(Source!BD31,O56)</f>
        <v>0</v>
      </c>
      <c r="G56" s="4" t="s">
        <v>84</v>
      </c>
      <c r="H56" s="4" t="s">
        <v>85</v>
      </c>
      <c r="I56" s="4"/>
      <c r="J56" s="4"/>
      <c r="K56" s="4">
        <v>233</v>
      </c>
      <c r="L56" s="4">
        <v>24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0</v>
      </c>
      <c r="F57" s="4">
        <f>ROUND(Source!X31,O57)</f>
        <v>818.63</v>
      </c>
      <c r="G57" s="4" t="s">
        <v>86</v>
      </c>
      <c r="H57" s="4" t="s">
        <v>87</v>
      </c>
      <c r="I57" s="4"/>
      <c r="J57" s="4"/>
      <c r="K57" s="4">
        <v>210</v>
      </c>
      <c r="L57" s="4">
        <v>25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818.63</v>
      </c>
      <c r="X57" s="4">
        <v>1</v>
      </c>
      <c r="Y57" s="4">
        <v>818.63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0</v>
      </c>
      <c r="F58" s="4">
        <f>ROUND(Source!Y31,O58)</f>
        <v>472.12</v>
      </c>
      <c r="G58" s="4" t="s">
        <v>88</v>
      </c>
      <c r="H58" s="4" t="s">
        <v>89</v>
      </c>
      <c r="I58" s="4"/>
      <c r="J58" s="4"/>
      <c r="K58" s="4">
        <v>211</v>
      </c>
      <c r="L58" s="4">
        <v>26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472.12</v>
      </c>
      <c r="X58" s="4">
        <v>1</v>
      </c>
      <c r="Y58" s="4">
        <v>472.12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224</v>
      </c>
      <c r="F59" s="4">
        <f>ROUND(Source!AR31,O59)</f>
        <v>2482.5500000000002</v>
      </c>
      <c r="G59" s="4" t="s">
        <v>90</v>
      </c>
      <c r="H59" s="4" t="s">
        <v>91</v>
      </c>
      <c r="I59" s="4"/>
      <c r="J59" s="4"/>
      <c r="K59" s="4">
        <v>224</v>
      </c>
      <c r="L59" s="4">
        <v>27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2482.5500000000002</v>
      </c>
      <c r="X59" s="4">
        <v>1</v>
      </c>
      <c r="Y59" s="4">
        <v>2482.5500000000002</v>
      </c>
      <c r="Z59" s="4"/>
      <c r="AA59" s="4"/>
      <c r="AB59" s="4"/>
    </row>
    <row r="60" spans="1:28" x14ac:dyDescent="0.2">
      <c r="A60" s="4">
        <v>50</v>
      </c>
      <c r="B60" s="4">
        <v>1</v>
      </c>
      <c r="C60" s="4">
        <v>0</v>
      </c>
      <c r="D60" s="4">
        <v>2</v>
      </c>
      <c r="E60" s="4">
        <v>205</v>
      </c>
      <c r="F60" s="4">
        <f>ROUND(F46,O60)</f>
        <v>656.97</v>
      </c>
      <c r="G60" s="4" t="s">
        <v>92</v>
      </c>
      <c r="H60" s="4" t="s">
        <v>64</v>
      </c>
      <c r="I60" s="4"/>
      <c r="J60" s="4"/>
      <c r="K60" s="4">
        <v>212</v>
      </c>
      <c r="L60" s="4">
        <v>28</v>
      </c>
      <c r="M60" s="4">
        <v>0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656.97</v>
      </c>
      <c r="X60" s="4">
        <v>1</v>
      </c>
      <c r="Y60" s="4">
        <v>656.97</v>
      </c>
      <c r="Z60" s="4"/>
      <c r="AA60" s="4"/>
      <c r="AB60" s="4"/>
    </row>
    <row r="61" spans="1:28" x14ac:dyDescent="0.2">
      <c r="A61" s="4">
        <v>50</v>
      </c>
      <c r="B61" s="4">
        <v>1</v>
      </c>
      <c r="C61" s="4">
        <v>0</v>
      </c>
      <c r="D61" s="4">
        <v>2</v>
      </c>
      <c r="E61" s="4">
        <v>203</v>
      </c>
      <c r="F61" s="4">
        <f>ROUND(F43,O61)</f>
        <v>534.83000000000004</v>
      </c>
      <c r="G61" s="4" t="s">
        <v>93</v>
      </c>
      <c r="H61" s="4" t="s">
        <v>94</v>
      </c>
      <c r="I61" s="4"/>
      <c r="J61" s="4"/>
      <c r="K61" s="4">
        <v>212</v>
      </c>
      <c r="L61" s="4">
        <v>29</v>
      </c>
      <c r="M61" s="4">
        <v>0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534.83000000000004</v>
      </c>
      <c r="X61" s="4">
        <v>1</v>
      </c>
      <c r="Y61" s="4">
        <v>534.83000000000004</v>
      </c>
      <c r="Z61" s="4"/>
      <c r="AA61" s="4"/>
      <c r="AB61" s="4"/>
    </row>
    <row r="62" spans="1:28" x14ac:dyDescent="0.2">
      <c r="A62" s="4">
        <v>50</v>
      </c>
      <c r="B62" s="4">
        <v>1</v>
      </c>
      <c r="C62" s="4">
        <v>0</v>
      </c>
      <c r="D62" s="4">
        <v>2</v>
      </c>
      <c r="E62" s="4">
        <v>204</v>
      </c>
      <c r="F62" s="4">
        <f>ROUND(F45,O62)</f>
        <v>142.84</v>
      </c>
      <c r="G62" s="4" t="s">
        <v>95</v>
      </c>
      <c r="H62" s="4" t="s">
        <v>96</v>
      </c>
      <c r="I62" s="4"/>
      <c r="J62" s="4"/>
      <c r="K62" s="4">
        <v>212</v>
      </c>
      <c r="L62" s="4">
        <v>30</v>
      </c>
      <c r="M62" s="4">
        <v>0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142.84</v>
      </c>
      <c r="X62" s="4">
        <v>1</v>
      </c>
      <c r="Y62" s="4">
        <v>142.84</v>
      </c>
      <c r="Z62" s="4"/>
      <c r="AA62" s="4"/>
      <c r="AB62" s="4"/>
    </row>
    <row r="63" spans="1:28" x14ac:dyDescent="0.2">
      <c r="A63" s="4">
        <v>50</v>
      </c>
      <c r="B63" s="4">
        <v>1</v>
      </c>
      <c r="C63" s="4">
        <v>0</v>
      </c>
      <c r="D63" s="4">
        <v>2</v>
      </c>
      <c r="E63" s="4">
        <v>202</v>
      </c>
      <c r="F63" s="4">
        <f>ROUND(F34,O63)</f>
        <v>0</v>
      </c>
      <c r="G63" s="4" t="s">
        <v>97</v>
      </c>
      <c r="H63" s="4" t="s">
        <v>98</v>
      </c>
      <c r="I63" s="4"/>
      <c r="J63" s="4"/>
      <c r="K63" s="4">
        <v>212</v>
      </c>
      <c r="L63" s="4">
        <v>31</v>
      </c>
      <c r="M63" s="4">
        <v>0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x14ac:dyDescent="0.2">
      <c r="A64" s="4">
        <v>50</v>
      </c>
      <c r="B64" s="4">
        <v>1</v>
      </c>
      <c r="C64" s="4">
        <v>0</v>
      </c>
      <c r="D64" s="4">
        <v>2</v>
      </c>
      <c r="E64" s="4">
        <v>210</v>
      </c>
      <c r="F64" s="4">
        <f>ROUND(F57,O64)</f>
        <v>818.63</v>
      </c>
      <c r="G64" s="4" t="s">
        <v>99</v>
      </c>
      <c r="H64" s="4" t="s">
        <v>86</v>
      </c>
      <c r="I64" s="4"/>
      <c r="J64" s="4"/>
      <c r="K64" s="4">
        <v>212</v>
      </c>
      <c r="L64" s="4">
        <v>32</v>
      </c>
      <c r="M64" s="4">
        <v>0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818.63</v>
      </c>
      <c r="X64" s="4">
        <v>1</v>
      </c>
      <c r="Y64" s="4">
        <v>818.63</v>
      </c>
      <c r="Z64" s="4"/>
      <c r="AA64" s="4"/>
      <c r="AB64" s="4"/>
    </row>
    <row r="65" spans="1:245" x14ac:dyDescent="0.2">
      <c r="A65" s="4">
        <v>50</v>
      </c>
      <c r="B65" s="4">
        <v>1</v>
      </c>
      <c r="C65" s="4">
        <v>0</v>
      </c>
      <c r="D65" s="4">
        <v>2</v>
      </c>
      <c r="E65" s="4">
        <v>211</v>
      </c>
      <c r="F65" s="4">
        <f>ROUND(F58,O65)</f>
        <v>472.12</v>
      </c>
      <c r="G65" s="4" t="s">
        <v>100</v>
      </c>
      <c r="H65" s="4" t="s">
        <v>101</v>
      </c>
      <c r="I65" s="4"/>
      <c r="J65" s="4"/>
      <c r="K65" s="4">
        <v>212</v>
      </c>
      <c r="L65" s="4">
        <v>33</v>
      </c>
      <c r="M65" s="4">
        <v>0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472.12</v>
      </c>
      <c r="X65" s="4">
        <v>1</v>
      </c>
      <c r="Y65" s="4">
        <v>472.12</v>
      </c>
      <c r="Z65" s="4"/>
      <c r="AA65" s="4"/>
      <c r="AB65" s="4"/>
    </row>
    <row r="66" spans="1:245" x14ac:dyDescent="0.2">
      <c r="A66" s="4">
        <v>50</v>
      </c>
      <c r="B66" s="4">
        <v>1</v>
      </c>
      <c r="C66" s="4">
        <v>0</v>
      </c>
      <c r="D66" s="4">
        <v>2</v>
      </c>
      <c r="E66" s="4">
        <v>213</v>
      </c>
      <c r="F66" s="4">
        <f>ROUND(F60+F61+F63+F64+F65,O66)</f>
        <v>2482.5500000000002</v>
      </c>
      <c r="G66" s="4" t="s">
        <v>102</v>
      </c>
      <c r="H66" s="4" t="s">
        <v>103</v>
      </c>
      <c r="I66" s="4"/>
      <c r="J66" s="4"/>
      <c r="K66" s="4">
        <v>212</v>
      </c>
      <c r="L66" s="4">
        <v>34</v>
      </c>
      <c r="M66" s="4">
        <v>0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2482.5500000000002</v>
      </c>
      <c r="X66" s="4">
        <v>1</v>
      </c>
      <c r="Y66" s="4">
        <v>2482.5500000000002</v>
      </c>
      <c r="Z66" s="4"/>
      <c r="AA66" s="4"/>
      <c r="AB66" s="4"/>
    </row>
    <row r="67" spans="1:245" x14ac:dyDescent="0.2">
      <c r="A67" s="4">
        <v>50</v>
      </c>
      <c r="B67" s="4">
        <v>1</v>
      </c>
      <c r="C67" s="4">
        <v>0</v>
      </c>
      <c r="D67" s="4">
        <v>2</v>
      </c>
      <c r="E67" s="4">
        <v>40729949</v>
      </c>
      <c r="F67" s="4">
        <f>ROUND(F66*0.2,O67)</f>
        <v>496.51</v>
      </c>
      <c r="G67" s="4" t="s">
        <v>104</v>
      </c>
      <c r="H67" s="4" t="s">
        <v>105</v>
      </c>
      <c r="I67" s="4"/>
      <c r="J67" s="4"/>
      <c r="K67" s="4">
        <v>212</v>
      </c>
      <c r="L67" s="4">
        <v>35</v>
      </c>
      <c r="M67" s="4">
        <v>0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496.51</v>
      </c>
      <c r="X67" s="4">
        <v>1</v>
      </c>
      <c r="Y67" s="4">
        <v>496.51</v>
      </c>
      <c r="Z67" s="4"/>
      <c r="AA67" s="4"/>
      <c r="AB67" s="4"/>
    </row>
    <row r="68" spans="1:245" x14ac:dyDescent="0.2">
      <c r="A68" s="4">
        <v>50</v>
      </c>
      <c r="B68" s="4">
        <v>1</v>
      </c>
      <c r="C68" s="4">
        <v>0</v>
      </c>
      <c r="D68" s="4">
        <v>2</v>
      </c>
      <c r="E68" s="4">
        <v>65938917</v>
      </c>
      <c r="F68" s="4">
        <f>ROUND(F66+F67,O68)</f>
        <v>2979.06</v>
      </c>
      <c r="G68" s="4" t="s">
        <v>106</v>
      </c>
      <c r="H68" s="4" t="s">
        <v>107</v>
      </c>
      <c r="I68" s="4"/>
      <c r="J68" s="4"/>
      <c r="K68" s="4">
        <v>212</v>
      </c>
      <c r="L68" s="4">
        <v>36</v>
      </c>
      <c r="M68" s="4">
        <v>0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2979.06</v>
      </c>
      <c r="X68" s="4">
        <v>1</v>
      </c>
      <c r="Y68" s="4">
        <v>2979.06</v>
      </c>
      <c r="Z68" s="4"/>
      <c r="AA68" s="4"/>
      <c r="AB68" s="4"/>
    </row>
    <row r="70" spans="1:245" x14ac:dyDescent="0.2">
      <c r="A70" s="1">
        <v>4</v>
      </c>
      <c r="B70" s="1">
        <v>1</v>
      </c>
      <c r="C70" s="1"/>
      <c r="D70" s="1">
        <f>ROW(A121)</f>
        <v>121</v>
      </c>
      <c r="E70" s="1"/>
      <c r="F70" s="1" t="s">
        <v>12</v>
      </c>
      <c r="G70" s="1" t="s">
        <v>108</v>
      </c>
      <c r="H70" s="1" t="s">
        <v>3</v>
      </c>
      <c r="I70" s="1">
        <v>0</v>
      </c>
      <c r="J70" s="1"/>
      <c r="K70" s="1">
        <v>0</v>
      </c>
      <c r="L70" s="1"/>
      <c r="M70" s="1" t="s">
        <v>3</v>
      </c>
      <c r="N70" s="1"/>
      <c r="O70" s="1"/>
      <c r="P70" s="1"/>
      <c r="Q70" s="1"/>
      <c r="R70" s="1"/>
      <c r="S70" s="1">
        <v>0</v>
      </c>
      <c r="T70" s="1"/>
      <c r="U70" s="1" t="s">
        <v>3</v>
      </c>
      <c r="V70" s="1">
        <v>0</v>
      </c>
      <c r="W70" s="1"/>
      <c r="X70" s="1"/>
      <c r="Y70" s="1"/>
      <c r="Z70" s="1"/>
      <c r="AA70" s="1"/>
      <c r="AB70" s="1" t="s">
        <v>3</v>
      </c>
      <c r="AC70" s="1" t="s">
        <v>3</v>
      </c>
      <c r="AD70" s="1" t="s">
        <v>3</v>
      </c>
      <c r="AE70" s="1" t="s">
        <v>3</v>
      </c>
      <c r="AF70" s="1" t="s">
        <v>3</v>
      </c>
      <c r="AG70" s="1" t="s">
        <v>3</v>
      </c>
      <c r="AH70" s="1"/>
      <c r="AI70" s="1"/>
      <c r="AJ70" s="1"/>
      <c r="AK70" s="1"/>
      <c r="AL70" s="1"/>
      <c r="AM70" s="1"/>
      <c r="AN70" s="1"/>
      <c r="AO70" s="1"/>
      <c r="AP70" s="1" t="s">
        <v>3</v>
      </c>
      <c r="AQ70" s="1" t="s">
        <v>3</v>
      </c>
      <c r="AR70" s="1" t="s">
        <v>3</v>
      </c>
      <c r="AS70" s="1"/>
      <c r="AT70" s="1"/>
      <c r="AU70" s="1"/>
      <c r="AV70" s="1"/>
      <c r="AW70" s="1"/>
      <c r="AX70" s="1"/>
      <c r="AY70" s="1"/>
      <c r="AZ70" s="1" t="s">
        <v>3</v>
      </c>
      <c r="BA70" s="1"/>
      <c r="BB70" s="1" t="s">
        <v>3</v>
      </c>
      <c r="BC70" s="1" t="s">
        <v>3</v>
      </c>
      <c r="BD70" s="1" t="s">
        <v>3</v>
      </c>
      <c r="BE70" s="1" t="s">
        <v>3</v>
      </c>
      <c r="BF70" s="1" t="s">
        <v>3</v>
      </c>
      <c r="BG70" s="1" t="s">
        <v>3</v>
      </c>
      <c r="BH70" s="1" t="s">
        <v>3</v>
      </c>
      <c r="BI70" s="1" t="s">
        <v>3</v>
      </c>
      <c r="BJ70" s="1" t="s">
        <v>3</v>
      </c>
      <c r="BK70" s="1" t="s">
        <v>3</v>
      </c>
      <c r="BL70" s="1" t="s">
        <v>3</v>
      </c>
      <c r="BM70" s="1" t="s">
        <v>3</v>
      </c>
      <c r="BN70" s="1" t="s">
        <v>3</v>
      </c>
      <c r="BO70" s="1" t="s">
        <v>3</v>
      </c>
      <c r="BP70" s="1" t="s">
        <v>3</v>
      </c>
      <c r="BQ70" s="1"/>
      <c r="BR70" s="1"/>
      <c r="BS70" s="1"/>
      <c r="BT70" s="1"/>
      <c r="BU70" s="1"/>
      <c r="BV70" s="1"/>
      <c r="BW70" s="1"/>
      <c r="BX70" s="1">
        <v>0</v>
      </c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>
        <v>0</v>
      </c>
    </row>
    <row r="72" spans="1:245" x14ac:dyDescent="0.2">
      <c r="A72" s="2">
        <v>52</v>
      </c>
      <c r="B72" s="2">
        <f t="shared" ref="B72:G72" si="24">B121</f>
        <v>1</v>
      </c>
      <c r="C72" s="2">
        <f t="shared" si="24"/>
        <v>4</v>
      </c>
      <c r="D72" s="2">
        <f t="shared" si="24"/>
        <v>70</v>
      </c>
      <c r="E72" s="2">
        <f t="shared" si="24"/>
        <v>0</v>
      </c>
      <c r="F72" s="2" t="str">
        <f t="shared" si="24"/>
        <v>Новый раздел</v>
      </c>
      <c r="G72" s="2" t="str">
        <f t="shared" si="24"/>
        <v>Монтаж реклоузера</v>
      </c>
      <c r="H72" s="2"/>
      <c r="I72" s="2"/>
      <c r="J72" s="2"/>
      <c r="K72" s="2"/>
      <c r="L72" s="2"/>
      <c r="M72" s="2"/>
      <c r="N72" s="2"/>
      <c r="O72" s="2">
        <f t="shared" ref="O72:AT72" si="25">O121</f>
        <v>119053.26</v>
      </c>
      <c r="P72" s="2">
        <f t="shared" si="25"/>
        <v>74534.429999999993</v>
      </c>
      <c r="Q72" s="2">
        <f t="shared" si="25"/>
        <v>22634.89</v>
      </c>
      <c r="R72" s="2">
        <f t="shared" si="25"/>
        <v>5368.75</v>
      </c>
      <c r="S72" s="2">
        <f t="shared" si="25"/>
        <v>21883.94</v>
      </c>
      <c r="T72" s="2">
        <f t="shared" si="25"/>
        <v>0</v>
      </c>
      <c r="U72" s="2">
        <f t="shared" si="25"/>
        <v>67.758212</v>
      </c>
      <c r="V72" s="2">
        <f t="shared" si="25"/>
        <v>15.3593204</v>
      </c>
      <c r="W72" s="2">
        <f t="shared" si="25"/>
        <v>0</v>
      </c>
      <c r="X72" s="2">
        <f t="shared" si="25"/>
        <v>26253.64</v>
      </c>
      <c r="Y72" s="2">
        <f t="shared" si="25"/>
        <v>14671.84</v>
      </c>
      <c r="Z72" s="2">
        <f t="shared" si="25"/>
        <v>0</v>
      </c>
      <c r="AA72" s="2">
        <f t="shared" si="25"/>
        <v>0</v>
      </c>
      <c r="AB72" s="2">
        <f t="shared" si="25"/>
        <v>119053.26</v>
      </c>
      <c r="AC72" s="2">
        <f t="shared" si="25"/>
        <v>74534.429999999993</v>
      </c>
      <c r="AD72" s="2">
        <f t="shared" si="25"/>
        <v>22634.89</v>
      </c>
      <c r="AE72" s="2">
        <f t="shared" si="25"/>
        <v>5368.75</v>
      </c>
      <c r="AF72" s="2">
        <f t="shared" si="25"/>
        <v>21883.94</v>
      </c>
      <c r="AG72" s="2">
        <f t="shared" si="25"/>
        <v>0</v>
      </c>
      <c r="AH72" s="2">
        <f t="shared" si="25"/>
        <v>67.758212</v>
      </c>
      <c r="AI72" s="2">
        <f t="shared" si="25"/>
        <v>15.3593204</v>
      </c>
      <c r="AJ72" s="2">
        <f t="shared" si="25"/>
        <v>0</v>
      </c>
      <c r="AK72" s="2">
        <f t="shared" si="25"/>
        <v>26253.64</v>
      </c>
      <c r="AL72" s="2">
        <f t="shared" si="25"/>
        <v>14671.84</v>
      </c>
      <c r="AM72" s="2">
        <f t="shared" si="25"/>
        <v>0</v>
      </c>
      <c r="AN72" s="2">
        <f t="shared" si="25"/>
        <v>0</v>
      </c>
      <c r="AO72" s="2">
        <f t="shared" si="25"/>
        <v>0</v>
      </c>
      <c r="AP72" s="2">
        <f t="shared" si="25"/>
        <v>0</v>
      </c>
      <c r="AQ72" s="2">
        <f t="shared" si="25"/>
        <v>0</v>
      </c>
      <c r="AR72" s="2">
        <f t="shared" si="25"/>
        <v>159978.74</v>
      </c>
      <c r="AS72" s="2">
        <f t="shared" si="25"/>
        <v>138489.82999999999</v>
      </c>
      <c r="AT72" s="2">
        <f t="shared" si="25"/>
        <v>10404.65</v>
      </c>
      <c r="AU72" s="2">
        <f t="shared" ref="AU72:BZ72" si="26">AU121</f>
        <v>11084.26</v>
      </c>
      <c r="AV72" s="2">
        <f t="shared" si="26"/>
        <v>74534.429999999993</v>
      </c>
      <c r="AW72" s="2">
        <f t="shared" si="26"/>
        <v>74534.429999999993</v>
      </c>
      <c r="AX72" s="2">
        <f t="shared" si="26"/>
        <v>0</v>
      </c>
      <c r="AY72" s="2">
        <f t="shared" si="26"/>
        <v>74534.429999999993</v>
      </c>
      <c r="AZ72" s="2">
        <f t="shared" si="26"/>
        <v>0</v>
      </c>
      <c r="BA72" s="2">
        <f t="shared" si="26"/>
        <v>0</v>
      </c>
      <c r="BB72" s="2">
        <f t="shared" si="26"/>
        <v>0</v>
      </c>
      <c r="BC72" s="2">
        <f t="shared" si="26"/>
        <v>0</v>
      </c>
      <c r="BD72" s="2">
        <f t="shared" si="26"/>
        <v>0</v>
      </c>
      <c r="BE72" s="2">
        <f t="shared" si="26"/>
        <v>0</v>
      </c>
      <c r="BF72" s="2">
        <f t="shared" si="26"/>
        <v>0</v>
      </c>
      <c r="BG72" s="2">
        <f t="shared" si="26"/>
        <v>0</v>
      </c>
      <c r="BH72" s="2">
        <f t="shared" si="26"/>
        <v>0</v>
      </c>
      <c r="BI72" s="2">
        <f t="shared" si="26"/>
        <v>0</v>
      </c>
      <c r="BJ72" s="2">
        <f t="shared" si="26"/>
        <v>0</v>
      </c>
      <c r="BK72" s="2">
        <f t="shared" si="26"/>
        <v>0</v>
      </c>
      <c r="BL72" s="2">
        <f t="shared" si="26"/>
        <v>0</v>
      </c>
      <c r="BM72" s="2">
        <f t="shared" si="26"/>
        <v>0</v>
      </c>
      <c r="BN72" s="2">
        <f t="shared" si="26"/>
        <v>0</v>
      </c>
      <c r="BO72" s="2">
        <f t="shared" si="26"/>
        <v>0</v>
      </c>
      <c r="BP72" s="2">
        <f t="shared" si="26"/>
        <v>0</v>
      </c>
      <c r="BQ72" s="2">
        <f t="shared" si="26"/>
        <v>0</v>
      </c>
      <c r="BR72" s="2">
        <f t="shared" si="26"/>
        <v>0</v>
      </c>
      <c r="BS72" s="2">
        <f t="shared" si="26"/>
        <v>0</v>
      </c>
      <c r="BT72" s="2">
        <f t="shared" si="26"/>
        <v>0</v>
      </c>
      <c r="BU72" s="2">
        <f t="shared" si="26"/>
        <v>0</v>
      </c>
      <c r="BV72" s="2">
        <f t="shared" si="26"/>
        <v>0</v>
      </c>
      <c r="BW72" s="2">
        <f t="shared" si="26"/>
        <v>0</v>
      </c>
      <c r="BX72" s="2">
        <f t="shared" si="26"/>
        <v>0</v>
      </c>
      <c r="BY72" s="2">
        <f t="shared" si="26"/>
        <v>0</v>
      </c>
      <c r="BZ72" s="2">
        <f t="shared" si="26"/>
        <v>0</v>
      </c>
      <c r="CA72" s="2">
        <f t="shared" ref="CA72:DF72" si="27">CA121</f>
        <v>159978.74</v>
      </c>
      <c r="CB72" s="2">
        <f t="shared" si="27"/>
        <v>138489.82999999999</v>
      </c>
      <c r="CC72" s="2">
        <f t="shared" si="27"/>
        <v>10404.65</v>
      </c>
      <c r="CD72" s="2">
        <f t="shared" si="27"/>
        <v>11084.26</v>
      </c>
      <c r="CE72" s="2">
        <f t="shared" si="27"/>
        <v>74534.429999999993</v>
      </c>
      <c r="CF72" s="2">
        <f t="shared" si="27"/>
        <v>74534.429999999993</v>
      </c>
      <c r="CG72" s="2">
        <f t="shared" si="27"/>
        <v>0</v>
      </c>
      <c r="CH72" s="2">
        <f t="shared" si="27"/>
        <v>74534.429999999993</v>
      </c>
      <c r="CI72" s="2">
        <f t="shared" si="27"/>
        <v>0</v>
      </c>
      <c r="CJ72" s="2">
        <f t="shared" si="27"/>
        <v>0</v>
      </c>
      <c r="CK72" s="2">
        <f t="shared" si="27"/>
        <v>0</v>
      </c>
      <c r="CL72" s="2">
        <f t="shared" si="27"/>
        <v>0</v>
      </c>
      <c r="CM72" s="2">
        <f t="shared" si="27"/>
        <v>0</v>
      </c>
      <c r="CN72" s="2">
        <f t="shared" si="27"/>
        <v>0</v>
      </c>
      <c r="CO72" s="2">
        <f t="shared" si="27"/>
        <v>0</v>
      </c>
      <c r="CP72" s="2">
        <f t="shared" si="27"/>
        <v>0</v>
      </c>
      <c r="CQ72" s="2">
        <f t="shared" si="27"/>
        <v>0</v>
      </c>
      <c r="CR72" s="2">
        <f t="shared" si="27"/>
        <v>0</v>
      </c>
      <c r="CS72" s="2">
        <f t="shared" si="27"/>
        <v>0</v>
      </c>
      <c r="CT72" s="2">
        <f t="shared" si="27"/>
        <v>0</v>
      </c>
      <c r="CU72" s="2">
        <f t="shared" si="27"/>
        <v>0</v>
      </c>
      <c r="CV72" s="2">
        <f t="shared" si="27"/>
        <v>0</v>
      </c>
      <c r="CW72" s="2">
        <f t="shared" si="27"/>
        <v>0</v>
      </c>
      <c r="CX72" s="2">
        <f t="shared" si="27"/>
        <v>0</v>
      </c>
      <c r="CY72" s="2">
        <f t="shared" si="27"/>
        <v>0</v>
      </c>
      <c r="CZ72" s="2">
        <f t="shared" si="27"/>
        <v>0</v>
      </c>
      <c r="DA72" s="2">
        <f t="shared" si="27"/>
        <v>0</v>
      </c>
      <c r="DB72" s="2">
        <f t="shared" si="27"/>
        <v>0</v>
      </c>
      <c r="DC72" s="2">
        <f t="shared" si="27"/>
        <v>0</v>
      </c>
      <c r="DD72" s="2">
        <f t="shared" si="27"/>
        <v>0</v>
      </c>
      <c r="DE72" s="2">
        <f t="shared" si="27"/>
        <v>0</v>
      </c>
      <c r="DF72" s="2">
        <f t="shared" si="27"/>
        <v>0</v>
      </c>
      <c r="DG72" s="3">
        <f t="shared" ref="DG72:EL72" si="28">DG121</f>
        <v>0</v>
      </c>
      <c r="DH72" s="3">
        <f t="shared" si="28"/>
        <v>0</v>
      </c>
      <c r="DI72" s="3">
        <f t="shared" si="28"/>
        <v>0</v>
      </c>
      <c r="DJ72" s="3">
        <f t="shared" si="28"/>
        <v>0</v>
      </c>
      <c r="DK72" s="3">
        <f t="shared" si="28"/>
        <v>0</v>
      </c>
      <c r="DL72" s="3">
        <f t="shared" si="28"/>
        <v>0</v>
      </c>
      <c r="DM72" s="3">
        <f t="shared" si="28"/>
        <v>0</v>
      </c>
      <c r="DN72" s="3">
        <f t="shared" si="28"/>
        <v>0</v>
      </c>
      <c r="DO72" s="3">
        <f t="shared" si="28"/>
        <v>0</v>
      </c>
      <c r="DP72" s="3">
        <f t="shared" si="28"/>
        <v>0</v>
      </c>
      <c r="DQ72" s="3">
        <f t="shared" si="28"/>
        <v>0</v>
      </c>
      <c r="DR72" s="3">
        <f t="shared" si="28"/>
        <v>0</v>
      </c>
      <c r="DS72" s="3">
        <f t="shared" si="28"/>
        <v>0</v>
      </c>
      <c r="DT72" s="3">
        <f t="shared" si="28"/>
        <v>0</v>
      </c>
      <c r="DU72" s="3">
        <f t="shared" si="28"/>
        <v>0</v>
      </c>
      <c r="DV72" s="3">
        <f t="shared" si="28"/>
        <v>0</v>
      </c>
      <c r="DW72" s="3">
        <f t="shared" si="28"/>
        <v>0</v>
      </c>
      <c r="DX72" s="3">
        <f t="shared" si="28"/>
        <v>0</v>
      </c>
      <c r="DY72" s="3">
        <f t="shared" si="28"/>
        <v>0</v>
      </c>
      <c r="DZ72" s="3">
        <f t="shared" si="28"/>
        <v>0</v>
      </c>
      <c r="EA72" s="3">
        <f t="shared" si="28"/>
        <v>0</v>
      </c>
      <c r="EB72" s="3">
        <f t="shared" si="28"/>
        <v>0</v>
      </c>
      <c r="EC72" s="3">
        <f t="shared" si="28"/>
        <v>0</v>
      </c>
      <c r="ED72" s="3">
        <f t="shared" si="28"/>
        <v>0</v>
      </c>
      <c r="EE72" s="3">
        <f t="shared" si="28"/>
        <v>0</v>
      </c>
      <c r="EF72" s="3">
        <f t="shared" si="28"/>
        <v>0</v>
      </c>
      <c r="EG72" s="3">
        <f t="shared" si="28"/>
        <v>0</v>
      </c>
      <c r="EH72" s="3">
        <f t="shared" si="28"/>
        <v>0</v>
      </c>
      <c r="EI72" s="3">
        <f t="shared" si="28"/>
        <v>0</v>
      </c>
      <c r="EJ72" s="3">
        <f t="shared" si="28"/>
        <v>0</v>
      </c>
      <c r="EK72" s="3">
        <f t="shared" si="28"/>
        <v>0</v>
      </c>
      <c r="EL72" s="3">
        <f t="shared" si="28"/>
        <v>0</v>
      </c>
      <c r="EM72" s="3">
        <f t="shared" ref="EM72:FR72" si="29">EM121</f>
        <v>0</v>
      </c>
      <c r="EN72" s="3">
        <f t="shared" si="29"/>
        <v>0</v>
      </c>
      <c r="EO72" s="3">
        <f t="shared" si="29"/>
        <v>0</v>
      </c>
      <c r="EP72" s="3">
        <f t="shared" si="29"/>
        <v>0</v>
      </c>
      <c r="EQ72" s="3">
        <f t="shared" si="29"/>
        <v>0</v>
      </c>
      <c r="ER72" s="3">
        <f t="shared" si="29"/>
        <v>0</v>
      </c>
      <c r="ES72" s="3">
        <f t="shared" si="29"/>
        <v>0</v>
      </c>
      <c r="ET72" s="3">
        <f t="shared" si="29"/>
        <v>0</v>
      </c>
      <c r="EU72" s="3">
        <f t="shared" si="29"/>
        <v>0</v>
      </c>
      <c r="EV72" s="3">
        <f t="shared" si="29"/>
        <v>0</v>
      </c>
      <c r="EW72" s="3">
        <f t="shared" si="29"/>
        <v>0</v>
      </c>
      <c r="EX72" s="3">
        <f t="shared" si="29"/>
        <v>0</v>
      </c>
      <c r="EY72" s="3">
        <f t="shared" si="29"/>
        <v>0</v>
      </c>
      <c r="EZ72" s="3">
        <f t="shared" si="29"/>
        <v>0</v>
      </c>
      <c r="FA72" s="3">
        <f t="shared" si="29"/>
        <v>0</v>
      </c>
      <c r="FB72" s="3">
        <f t="shared" si="29"/>
        <v>0</v>
      </c>
      <c r="FC72" s="3">
        <f t="shared" si="29"/>
        <v>0</v>
      </c>
      <c r="FD72" s="3">
        <f t="shared" si="29"/>
        <v>0</v>
      </c>
      <c r="FE72" s="3">
        <f t="shared" si="29"/>
        <v>0</v>
      </c>
      <c r="FF72" s="3">
        <f t="shared" si="29"/>
        <v>0</v>
      </c>
      <c r="FG72" s="3">
        <f t="shared" si="29"/>
        <v>0</v>
      </c>
      <c r="FH72" s="3">
        <f t="shared" si="29"/>
        <v>0</v>
      </c>
      <c r="FI72" s="3">
        <f t="shared" si="29"/>
        <v>0</v>
      </c>
      <c r="FJ72" s="3">
        <f t="shared" si="29"/>
        <v>0</v>
      </c>
      <c r="FK72" s="3">
        <f t="shared" si="29"/>
        <v>0</v>
      </c>
      <c r="FL72" s="3">
        <f t="shared" si="29"/>
        <v>0</v>
      </c>
      <c r="FM72" s="3">
        <f t="shared" si="29"/>
        <v>0</v>
      </c>
      <c r="FN72" s="3">
        <f t="shared" si="29"/>
        <v>0</v>
      </c>
      <c r="FO72" s="3">
        <f t="shared" si="29"/>
        <v>0</v>
      </c>
      <c r="FP72" s="3">
        <f t="shared" si="29"/>
        <v>0</v>
      </c>
      <c r="FQ72" s="3">
        <f t="shared" si="29"/>
        <v>0</v>
      </c>
      <c r="FR72" s="3">
        <f t="shared" si="29"/>
        <v>0</v>
      </c>
      <c r="FS72" s="3">
        <f t="shared" ref="FS72:GX72" si="30">FS121</f>
        <v>0</v>
      </c>
      <c r="FT72" s="3">
        <f t="shared" si="30"/>
        <v>0</v>
      </c>
      <c r="FU72" s="3">
        <f t="shared" si="30"/>
        <v>0</v>
      </c>
      <c r="FV72" s="3">
        <f t="shared" si="30"/>
        <v>0</v>
      </c>
      <c r="FW72" s="3">
        <f t="shared" si="30"/>
        <v>0</v>
      </c>
      <c r="FX72" s="3">
        <f t="shared" si="30"/>
        <v>0</v>
      </c>
      <c r="FY72" s="3">
        <f t="shared" si="30"/>
        <v>0</v>
      </c>
      <c r="FZ72" s="3">
        <f t="shared" si="30"/>
        <v>0</v>
      </c>
      <c r="GA72" s="3">
        <f t="shared" si="30"/>
        <v>0</v>
      </c>
      <c r="GB72" s="3">
        <f t="shared" si="30"/>
        <v>0</v>
      </c>
      <c r="GC72" s="3">
        <f t="shared" si="30"/>
        <v>0</v>
      </c>
      <c r="GD72" s="3">
        <f t="shared" si="30"/>
        <v>0</v>
      </c>
      <c r="GE72" s="3">
        <f t="shared" si="30"/>
        <v>0</v>
      </c>
      <c r="GF72" s="3">
        <f t="shared" si="30"/>
        <v>0</v>
      </c>
      <c r="GG72" s="3">
        <f t="shared" si="30"/>
        <v>0</v>
      </c>
      <c r="GH72" s="3">
        <f t="shared" si="30"/>
        <v>0</v>
      </c>
      <c r="GI72" s="3">
        <f t="shared" si="30"/>
        <v>0</v>
      </c>
      <c r="GJ72" s="3">
        <f t="shared" si="30"/>
        <v>0</v>
      </c>
      <c r="GK72" s="3">
        <f t="shared" si="30"/>
        <v>0</v>
      </c>
      <c r="GL72" s="3">
        <f t="shared" si="30"/>
        <v>0</v>
      </c>
      <c r="GM72" s="3">
        <f t="shared" si="30"/>
        <v>0</v>
      </c>
      <c r="GN72" s="3">
        <f t="shared" si="30"/>
        <v>0</v>
      </c>
      <c r="GO72" s="3">
        <f t="shared" si="30"/>
        <v>0</v>
      </c>
      <c r="GP72" s="3">
        <f t="shared" si="30"/>
        <v>0</v>
      </c>
      <c r="GQ72" s="3">
        <f t="shared" si="30"/>
        <v>0</v>
      </c>
      <c r="GR72" s="3">
        <f t="shared" si="30"/>
        <v>0</v>
      </c>
      <c r="GS72" s="3">
        <f t="shared" si="30"/>
        <v>0</v>
      </c>
      <c r="GT72" s="3">
        <f t="shared" si="30"/>
        <v>0</v>
      </c>
      <c r="GU72" s="3">
        <f t="shared" si="30"/>
        <v>0</v>
      </c>
      <c r="GV72" s="3">
        <f t="shared" si="30"/>
        <v>0</v>
      </c>
      <c r="GW72" s="3">
        <f t="shared" si="30"/>
        <v>0</v>
      </c>
      <c r="GX72" s="3">
        <f t="shared" si="30"/>
        <v>0</v>
      </c>
    </row>
    <row r="74" spans="1:245" x14ac:dyDescent="0.2">
      <c r="A74">
        <v>17</v>
      </c>
      <c r="B74">
        <v>1</v>
      </c>
      <c r="C74">
        <f>ROW(SmtRes!A11)</f>
        <v>11</v>
      </c>
      <c r="D74">
        <f>ROW(EtalonRes!A11)</f>
        <v>11</v>
      </c>
      <c r="E74" t="s">
        <v>109</v>
      </c>
      <c r="F74" t="s">
        <v>110</v>
      </c>
      <c r="G74" t="s">
        <v>111</v>
      </c>
      <c r="H74" t="s">
        <v>112</v>
      </c>
      <c r="I74">
        <v>2</v>
      </c>
      <c r="J74">
        <v>0</v>
      </c>
      <c r="K74">
        <v>2</v>
      </c>
      <c r="O74">
        <f t="shared" ref="O74:O109" si="31">ROUND(CP74,2)</f>
        <v>1430.91</v>
      </c>
      <c r="P74">
        <f t="shared" ref="P74:P109" si="32">ROUND(CQ74*I74,2)</f>
        <v>0</v>
      </c>
      <c r="Q74">
        <f t="shared" ref="Q74:Q109" si="33">ROUND(CR74*I74,2)</f>
        <v>1193.9000000000001</v>
      </c>
      <c r="R74">
        <f t="shared" ref="R74:R109" si="34">ROUND(CS74*I74,2)</f>
        <v>409.84</v>
      </c>
      <c r="S74">
        <f t="shared" ref="S74:S109" si="35">ROUND(CT74*I74,2)</f>
        <v>237.01</v>
      </c>
      <c r="T74">
        <f t="shared" ref="T74:T109" si="36">ROUND(CU74*I74,2)</f>
        <v>0</v>
      </c>
      <c r="U74">
        <f t="shared" ref="U74:U109" si="37">CV74*I74</f>
        <v>0.88</v>
      </c>
      <c r="V74">
        <f t="shared" ref="V74:V109" si="38">CW74*I74</f>
        <v>0.96</v>
      </c>
      <c r="W74">
        <f t="shared" ref="W74:W109" si="39">ROUND(CX74*I74,2)</f>
        <v>0</v>
      </c>
      <c r="X74">
        <f t="shared" ref="X74:X109" si="40">ROUND(CY74,2)</f>
        <v>666.26</v>
      </c>
      <c r="Y74">
        <f t="shared" ref="Y74:Y109" si="41">ROUND(CZ74,2)</f>
        <v>388.11</v>
      </c>
      <c r="AA74">
        <v>84185495</v>
      </c>
      <c r="AB74">
        <f t="shared" ref="AB74:AB109" si="42">ROUND((AC74+AD74+AF74),2)</f>
        <v>51.54</v>
      </c>
      <c r="AC74">
        <f t="shared" ref="AC74:AC109" si="43">ROUND((ES74),2)</f>
        <v>0</v>
      </c>
      <c r="AD74">
        <f t="shared" ref="AD74:AD109" si="44">ROUND((((ET74)-(EU74))+AE74),2)</f>
        <v>48.18</v>
      </c>
      <c r="AE74">
        <f t="shared" ref="AE74:AE109" si="45">ROUND((EU74),2)</f>
        <v>5.81</v>
      </c>
      <c r="AF74">
        <f t="shared" ref="AF74:AF109" si="46">ROUND((EV74),2)</f>
        <v>3.36</v>
      </c>
      <c r="AG74">
        <f t="shared" ref="AG74:AG109" si="47">ROUND((AP74),2)</f>
        <v>0</v>
      </c>
      <c r="AH74">
        <f t="shared" ref="AH74:AH109" si="48">(EW74)</f>
        <v>0.44</v>
      </c>
      <c r="AI74">
        <f t="shared" ref="AI74:AI109" si="49">(EX74)</f>
        <v>0.48</v>
      </c>
      <c r="AJ74">
        <f t="shared" ref="AJ74:AJ109" si="50">(AS74)</f>
        <v>0</v>
      </c>
      <c r="AK74">
        <v>51.54</v>
      </c>
      <c r="AL74">
        <v>0</v>
      </c>
      <c r="AM74">
        <v>48.18</v>
      </c>
      <c r="AN74">
        <v>5.81</v>
      </c>
      <c r="AO74">
        <v>3.36</v>
      </c>
      <c r="AP74">
        <v>0</v>
      </c>
      <c r="AQ74">
        <v>0.44</v>
      </c>
      <c r="AR74">
        <v>0.48</v>
      </c>
      <c r="AS74">
        <v>0</v>
      </c>
      <c r="AT74">
        <v>103</v>
      </c>
      <c r="AU74">
        <v>60</v>
      </c>
      <c r="AV74">
        <v>1</v>
      </c>
      <c r="AW74">
        <v>1</v>
      </c>
      <c r="AZ74">
        <v>1</v>
      </c>
      <c r="BA74">
        <v>35.270000000000003</v>
      </c>
      <c r="BB74">
        <v>12.39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113</v>
      </c>
      <c r="BM74">
        <v>33001</v>
      </c>
      <c r="BN74">
        <v>0</v>
      </c>
      <c r="BO74" t="s">
        <v>110</v>
      </c>
      <c r="BP74">
        <v>1</v>
      </c>
      <c r="BQ74">
        <v>2</v>
      </c>
      <c r="BR74">
        <v>0</v>
      </c>
      <c r="BS74">
        <v>35.270000000000003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103</v>
      </c>
      <c r="CA74">
        <v>60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ref="CP74:CP109" si="51">(P74+Q74+S74)</f>
        <v>1430.91</v>
      </c>
      <c r="CQ74">
        <f t="shared" ref="CQ74:CQ109" si="52">AC74*BC74</f>
        <v>0</v>
      </c>
      <c r="CR74">
        <f t="shared" ref="CR74:CR109" si="53">(((ET74)*BB74-(EU74)*BS74)+AE74*BS74)</f>
        <v>596.9502</v>
      </c>
      <c r="CS74">
        <f t="shared" ref="CS74:CS109" si="54">AE74*BS74</f>
        <v>204.9187</v>
      </c>
      <c r="CT74">
        <f t="shared" ref="CT74:CT109" si="55">AF74*BA74</f>
        <v>118.50720000000001</v>
      </c>
      <c r="CU74">
        <f t="shared" ref="CU74:CU109" si="56">AG74</f>
        <v>0</v>
      </c>
      <c r="CV74">
        <f t="shared" ref="CV74:CV109" si="57">AH74</f>
        <v>0.44</v>
      </c>
      <c r="CW74">
        <f t="shared" ref="CW74:CW109" si="58">AI74</f>
        <v>0.48</v>
      </c>
      <c r="CX74">
        <f t="shared" ref="CX74:CX109" si="59">AJ74</f>
        <v>0</v>
      </c>
      <c r="CY74">
        <f t="shared" ref="CY74:CY85" si="60">(((S74+R74)*AT74)/100)</f>
        <v>666.25549999999987</v>
      </c>
      <c r="CZ74">
        <f t="shared" ref="CZ74:CZ85" si="61">(((S74+R74)*AU74)/100)</f>
        <v>388.1099999999999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112</v>
      </c>
      <c r="DW74" t="s">
        <v>112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79401925</v>
      </c>
      <c r="EF74">
        <v>2</v>
      </c>
      <c r="EG74" t="s">
        <v>19</v>
      </c>
      <c r="EH74">
        <v>27</v>
      </c>
      <c r="EI74" t="s">
        <v>20</v>
      </c>
      <c r="EJ74">
        <v>1</v>
      </c>
      <c r="EK74">
        <v>33001</v>
      </c>
      <c r="EL74" t="s">
        <v>20</v>
      </c>
      <c r="EM74" t="s">
        <v>21</v>
      </c>
      <c r="EO74" t="s">
        <v>3</v>
      </c>
      <c r="EQ74">
        <v>0</v>
      </c>
      <c r="ER74">
        <v>51.54</v>
      </c>
      <c r="ES74">
        <v>0</v>
      </c>
      <c r="ET74">
        <v>48.18</v>
      </c>
      <c r="EU74">
        <v>5.81</v>
      </c>
      <c r="EV74">
        <v>3.36</v>
      </c>
      <c r="EW74">
        <v>0.44</v>
      </c>
      <c r="EX74">
        <v>0.48</v>
      </c>
      <c r="EY74">
        <v>0</v>
      </c>
      <c r="FQ74">
        <v>0</v>
      </c>
      <c r="FR74">
        <f t="shared" ref="FR74:FR109" si="62">ROUND(IF(BI74=3,GM74,0),2)</f>
        <v>0</v>
      </c>
      <c r="FS74">
        <v>0</v>
      </c>
      <c r="FX74">
        <v>103</v>
      </c>
      <c r="FY74">
        <v>60</v>
      </c>
      <c r="GA74" t="s">
        <v>3</v>
      </c>
      <c r="GD74">
        <v>1</v>
      </c>
      <c r="GF74">
        <v>-2009834751</v>
      </c>
      <c r="GG74">
        <v>2</v>
      </c>
      <c r="GH74">
        <v>1</v>
      </c>
      <c r="GI74">
        <v>2</v>
      </c>
      <c r="GJ74">
        <v>0</v>
      </c>
      <c r="GK74">
        <v>0</v>
      </c>
      <c r="GL74">
        <f t="shared" ref="GL74:GL109" si="63">ROUND(IF(AND(BH74=3,BI74=3,FS74&lt;&gt;0),P74,0),2)</f>
        <v>0</v>
      </c>
      <c r="GM74">
        <f t="shared" ref="GM74:GM109" si="64">ROUND(O74+X74+Y74,2)+GX74</f>
        <v>2485.2800000000002</v>
      </c>
      <c r="GN74">
        <f t="shared" ref="GN74:GN109" si="65">IF(OR(BI74=0,BI74=1),GM74,0)</f>
        <v>2485.2800000000002</v>
      </c>
      <c r="GO74">
        <f t="shared" ref="GO74:GO109" si="66">IF(BI74=2,GM74,0)</f>
        <v>0</v>
      </c>
      <c r="GP74">
        <f t="shared" ref="GP74:GP109" si="67">IF(BI74=4,GM74+GX74,0)</f>
        <v>0</v>
      </c>
      <c r="GR74">
        <v>0</v>
      </c>
      <c r="GS74">
        <v>3</v>
      </c>
      <c r="GT74">
        <v>0</v>
      </c>
      <c r="GU74" t="s">
        <v>3</v>
      </c>
      <c r="GV74">
        <f t="shared" ref="GV74:GV109" si="68">ROUND((GT74),2)</f>
        <v>0</v>
      </c>
      <c r="GW74">
        <v>1</v>
      </c>
      <c r="GX74">
        <f t="shared" ref="GX74:GX109" si="69">ROUND(HC74*I74,2)</f>
        <v>0</v>
      </c>
      <c r="HA74">
        <v>0</v>
      </c>
      <c r="HB74">
        <v>0</v>
      </c>
      <c r="HC74">
        <f t="shared" ref="HC74:HC109" si="70">GV74*GW74</f>
        <v>0</v>
      </c>
      <c r="HE74" t="s">
        <v>3</v>
      </c>
      <c r="HF74" t="s">
        <v>3</v>
      </c>
      <c r="HM74" t="s">
        <v>3</v>
      </c>
      <c r="HN74" t="s">
        <v>22</v>
      </c>
      <c r="HO74" t="s">
        <v>23</v>
      </c>
      <c r="HP74" t="s">
        <v>20</v>
      </c>
      <c r="HQ74" t="s">
        <v>20</v>
      </c>
      <c r="IK74">
        <v>0</v>
      </c>
    </row>
    <row r="75" spans="1:245" x14ac:dyDescent="0.2">
      <c r="A75">
        <v>17</v>
      </c>
      <c r="B75">
        <v>1</v>
      </c>
      <c r="C75">
        <f>ROW(SmtRes!A23)</f>
        <v>23</v>
      </c>
      <c r="D75">
        <f>ROW(EtalonRes!A23)</f>
        <v>23</v>
      </c>
      <c r="E75" t="s">
        <v>114</v>
      </c>
      <c r="F75" t="s">
        <v>115</v>
      </c>
      <c r="G75" t="s">
        <v>116</v>
      </c>
      <c r="H75" t="s">
        <v>117</v>
      </c>
      <c r="I75">
        <f>ROUND(I87,9)</f>
        <v>2.8459999999999999E-2</v>
      </c>
      <c r="J75">
        <v>0</v>
      </c>
      <c r="K75">
        <f>ROUND(I87,9)</f>
        <v>2.8459999999999999E-2</v>
      </c>
      <c r="O75">
        <f t="shared" si="31"/>
        <v>4598.4799999999996</v>
      </c>
      <c r="P75">
        <f t="shared" si="32"/>
        <v>3877.36</v>
      </c>
      <c r="Q75">
        <f t="shared" si="33"/>
        <v>159.82</v>
      </c>
      <c r="R75">
        <f t="shared" si="34"/>
        <v>21.13</v>
      </c>
      <c r="S75">
        <f t="shared" si="35"/>
        <v>561.29999999999995</v>
      </c>
      <c r="T75">
        <f t="shared" si="36"/>
        <v>0</v>
      </c>
      <c r="U75">
        <f t="shared" si="37"/>
        <v>1.7702120000000001</v>
      </c>
      <c r="V75">
        <f t="shared" si="38"/>
        <v>4.9520399999999999E-2</v>
      </c>
      <c r="W75">
        <f t="shared" si="39"/>
        <v>0</v>
      </c>
      <c r="X75">
        <f t="shared" si="40"/>
        <v>564.96</v>
      </c>
      <c r="Y75">
        <f t="shared" si="41"/>
        <v>297.04000000000002</v>
      </c>
      <c r="AA75">
        <v>84185495</v>
      </c>
      <c r="AB75">
        <f t="shared" si="42"/>
        <v>13270.76</v>
      </c>
      <c r="AC75">
        <f t="shared" si="43"/>
        <v>12196.85</v>
      </c>
      <c r="AD75">
        <f t="shared" si="44"/>
        <v>514.73</v>
      </c>
      <c r="AE75">
        <f t="shared" si="45"/>
        <v>21.05</v>
      </c>
      <c r="AF75">
        <f t="shared" si="46"/>
        <v>559.17999999999995</v>
      </c>
      <c r="AG75">
        <f t="shared" si="47"/>
        <v>0</v>
      </c>
      <c r="AH75">
        <f t="shared" si="48"/>
        <v>62.2</v>
      </c>
      <c r="AI75">
        <f t="shared" si="49"/>
        <v>1.74</v>
      </c>
      <c r="AJ75">
        <f t="shared" si="50"/>
        <v>0</v>
      </c>
      <c r="AK75">
        <v>13270.76</v>
      </c>
      <c r="AL75">
        <v>12196.85</v>
      </c>
      <c r="AM75">
        <v>514.73</v>
      </c>
      <c r="AN75">
        <v>21.05</v>
      </c>
      <c r="AO75">
        <v>559.17999999999995</v>
      </c>
      <c r="AP75">
        <v>0</v>
      </c>
      <c r="AQ75">
        <v>62.2</v>
      </c>
      <c r="AR75">
        <v>1.74</v>
      </c>
      <c r="AS75">
        <v>0</v>
      </c>
      <c r="AT75">
        <v>97</v>
      </c>
      <c r="AU75">
        <v>51</v>
      </c>
      <c r="AV75">
        <v>1</v>
      </c>
      <c r="AW75">
        <v>1</v>
      </c>
      <c r="AZ75">
        <v>1</v>
      </c>
      <c r="BA75">
        <v>35.270000000000003</v>
      </c>
      <c r="BB75">
        <v>10.91</v>
      </c>
      <c r="BC75">
        <v>11.17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2</v>
      </c>
      <c r="BJ75" t="s">
        <v>118</v>
      </c>
      <c r="BM75">
        <v>108001</v>
      </c>
      <c r="BN75">
        <v>0</v>
      </c>
      <c r="BO75" t="s">
        <v>115</v>
      </c>
      <c r="BP75">
        <v>1</v>
      </c>
      <c r="BQ75">
        <v>3</v>
      </c>
      <c r="BR75">
        <v>0</v>
      </c>
      <c r="BS75">
        <v>35.270000000000003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97</v>
      </c>
      <c r="CA75">
        <v>51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51"/>
        <v>4598.4800000000005</v>
      </c>
      <c r="CQ75">
        <f t="shared" si="52"/>
        <v>136238.81450000001</v>
      </c>
      <c r="CR75">
        <f t="shared" si="53"/>
        <v>5615.7043000000003</v>
      </c>
      <c r="CS75">
        <f t="shared" si="54"/>
        <v>742.43350000000009</v>
      </c>
      <c r="CT75">
        <f t="shared" si="55"/>
        <v>19722.278600000001</v>
      </c>
      <c r="CU75">
        <f t="shared" si="56"/>
        <v>0</v>
      </c>
      <c r="CV75">
        <f t="shared" si="57"/>
        <v>62.2</v>
      </c>
      <c r="CW75">
        <f t="shared" si="58"/>
        <v>1.74</v>
      </c>
      <c r="CX75">
        <f t="shared" si="59"/>
        <v>0</v>
      </c>
      <c r="CY75">
        <f t="shared" si="60"/>
        <v>564.95709999999997</v>
      </c>
      <c r="CZ75">
        <f t="shared" si="61"/>
        <v>297.03929999999997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117</v>
      </c>
      <c r="DW75" t="s">
        <v>117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79401673</v>
      </c>
      <c r="EF75">
        <v>3</v>
      </c>
      <c r="EG75" t="s">
        <v>32</v>
      </c>
      <c r="EH75">
        <v>0</v>
      </c>
      <c r="EI75" t="s">
        <v>3</v>
      </c>
      <c r="EJ75">
        <v>2</v>
      </c>
      <c r="EK75">
        <v>108001</v>
      </c>
      <c r="EL75" t="s">
        <v>33</v>
      </c>
      <c r="EM75" t="s">
        <v>34</v>
      </c>
      <c r="EO75" t="s">
        <v>3</v>
      </c>
      <c r="EQ75">
        <v>0</v>
      </c>
      <c r="ER75">
        <v>13270.76</v>
      </c>
      <c r="ES75">
        <v>12196.85</v>
      </c>
      <c r="ET75">
        <v>514.73</v>
      </c>
      <c r="EU75">
        <v>21.05</v>
      </c>
      <c r="EV75">
        <v>559.17999999999995</v>
      </c>
      <c r="EW75">
        <v>62.2</v>
      </c>
      <c r="EX75">
        <v>1.74</v>
      </c>
      <c r="EY75">
        <v>0</v>
      </c>
      <c r="FQ75">
        <v>0</v>
      </c>
      <c r="FR75">
        <f t="shared" si="62"/>
        <v>0</v>
      </c>
      <c r="FS75">
        <v>0</v>
      </c>
      <c r="FX75">
        <v>97</v>
      </c>
      <c r="FY75">
        <v>51</v>
      </c>
      <c r="GA75" t="s">
        <v>3</v>
      </c>
      <c r="GD75">
        <v>1</v>
      </c>
      <c r="GF75">
        <v>894850987</v>
      </c>
      <c r="GG75">
        <v>2</v>
      </c>
      <c r="GH75">
        <v>1</v>
      </c>
      <c r="GI75">
        <v>2</v>
      </c>
      <c r="GJ75">
        <v>0</v>
      </c>
      <c r="GK75">
        <v>0</v>
      </c>
      <c r="GL75">
        <f t="shared" si="63"/>
        <v>0</v>
      </c>
      <c r="GM75">
        <f t="shared" si="64"/>
        <v>5460.48</v>
      </c>
      <c r="GN75">
        <f t="shared" si="65"/>
        <v>0</v>
      </c>
      <c r="GO75">
        <f t="shared" si="66"/>
        <v>5460.48</v>
      </c>
      <c r="GP75">
        <f t="shared" si="67"/>
        <v>0</v>
      </c>
      <c r="GR75">
        <v>0</v>
      </c>
      <c r="GS75">
        <v>3</v>
      </c>
      <c r="GT75">
        <v>0</v>
      </c>
      <c r="GU75" t="s">
        <v>3</v>
      </c>
      <c r="GV75">
        <f t="shared" si="68"/>
        <v>0</v>
      </c>
      <c r="GW75">
        <v>1</v>
      </c>
      <c r="GX75">
        <f t="shared" si="69"/>
        <v>0</v>
      </c>
      <c r="HA75">
        <v>0</v>
      </c>
      <c r="HB75">
        <v>0</v>
      </c>
      <c r="HC75">
        <f t="shared" si="70"/>
        <v>0</v>
      </c>
      <c r="HE75" t="s">
        <v>3</v>
      </c>
      <c r="HF75" t="s">
        <v>3</v>
      </c>
      <c r="HM75" t="s">
        <v>3</v>
      </c>
      <c r="HN75" t="s">
        <v>36</v>
      </c>
      <c r="HO75" t="s">
        <v>37</v>
      </c>
      <c r="HP75" t="s">
        <v>33</v>
      </c>
      <c r="HQ75" t="s">
        <v>33</v>
      </c>
      <c r="IK75">
        <v>0</v>
      </c>
    </row>
    <row r="76" spans="1:245" x14ac:dyDescent="0.2">
      <c r="A76">
        <v>17</v>
      </c>
      <c r="B76">
        <v>1</v>
      </c>
      <c r="C76">
        <f>ROW(SmtRes!A42)</f>
        <v>42</v>
      </c>
      <c r="D76">
        <f>ROW(EtalonRes!A42)</f>
        <v>42</v>
      </c>
      <c r="E76" t="s">
        <v>119</v>
      </c>
      <c r="F76" t="s">
        <v>120</v>
      </c>
      <c r="G76" t="s">
        <v>121</v>
      </c>
      <c r="H76" t="s">
        <v>112</v>
      </c>
      <c r="I76">
        <v>1</v>
      </c>
      <c r="J76">
        <v>0</v>
      </c>
      <c r="K76">
        <v>1</v>
      </c>
      <c r="O76">
        <f t="shared" si="31"/>
        <v>6988.16</v>
      </c>
      <c r="P76">
        <f t="shared" si="32"/>
        <v>162.16</v>
      </c>
      <c r="Q76">
        <f t="shared" si="33"/>
        <v>4518.99</v>
      </c>
      <c r="R76">
        <f t="shared" si="34"/>
        <v>678.95</v>
      </c>
      <c r="S76">
        <f t="shared" si="35"/>
        <v>2307.0100000000002</v>
      </c>
      <c r="T76">
        <f t="shared" si="36"/>
        <v>0</v>
      </c>
      <c r="U76">
        <f t="shared" si="37"/>
        <v>7.9</v>
      </c>
      <c r="V76">
        <f t="shared" si="38"/>
        <v>1.86</v>
      </c>
      <c r="W76">
        <f t="shared" si="39"/>
        <v>0</v>
      </c>
      <c r="X76">
        <f t="shared" si="40"/>
        <v>3075.54</v>
      </c>
      <c r="Y76">
        <f t="shared" si="41"/>
        <v>1791.58</v>
      </c>
      <c r="AA76">
        <v>84185495</v>
      </c>
      <c r="AB76">
        <f t="shared" si="42"/>
        <v>378.82</v>
      </c>
      <c r="AC76">
        <f t="shared" si="43"/>
        <v>46.33</v>
      </c>
      <c r="AD76">
        <f t="shared" si="44"/>
        <v>267.08</v>
      </c>
      <c r="AE76">
        <f t="shared" si="45"/>
        <v>19.25</v>
      </c>
      <c r="AF76">
        <f t="shared" si="46"/>
        <v>65.41</v>
      </c>
      <c r="AG76">
        <f t="shared" si="47"/>
        <v>0</v>
      </c>
      <c r="AH76">
        <f t="shared" si="48"/>
        <v>7.9</v>
      </c>
      <c r="AI76">
        <f t="shared" si="49"/>
        <v>1.86</v>
      </c>
      <c r="AJ76">
        <f t="shared" si="50"/>
        <v>0</v>
      </c>
      <c r="AK76">
        <v>378.82</v>
      </c>
      <c r="AL76">
        <v>46.33</v>
      </c>
      <c r="AM76">
        <v>267.08</v>
      </c>
      <c r="AN76">
        <v>19.25</v>
      </c>
      <c r="AO76">
        <v>65.41</v>
      </c>
      <c r="AP76">
        <v>0</v>
      </c>
      <c r="AQ76">
        <v>7.9</v>
      </c>
      <c r="AR76">
        <v>1.86</v>
      </c>
      <c r="AS76">
        <v>0</v>
      </c>
      <c r="AT76">
        <v>103</v>
      </c>
      <c r="AU76">
        <v>60</v>
      </c>
      <c r="AV76">
        <v>1</v>
      </c>
      <c r="AW76">
        <v>1</v>
      </c>
      <c r="AZ76">
        <v>1</v>
      </c>
      <c r="BA76">
        <v>35.270000000000003</v>
      </c>
      <c r="BB76">
        <v>16.920000000000002</v>
      </c>
      <c r="BC76">
        <v>3.5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122</v>
      </c>
      <c r="BM76">
        <v>33001</v>
      </c>
      <c r="BN76">
        <v>0</v>
      </c>
      <c r="BO76" t="s">
        <v>120</v>
      </c>
      <c r="BP76">
        <v>1</v>
      </c>
      <c r="BQ76">
        <v>2</v>
      </c>
      <c r="BR76">
        <v>0</v>
      </c>
      <c r="BS76">
        <v>35.270000000000003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103</v>
      </c>
      <c r="CA76">
        <v>60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51"/>
        <v>6988.16</v>
      </c>
      <c r="CQ76">
        <f t="shared" si="52"/>
        <v>162.155</v>
      </c>
      <c r="CR76">
        <f t="shared" si="53"/>
        <v>4518.9935999999998</v>
      </c>
      <c r="CS76">
        <f t="shared" si="54"/>
        <v>678.9475000000001</v>
      </c>
      <c r="CT76">
        <f t="shared" si="55"/>
        <v>2307.0107000000003</v>
      </c>
      <c r="CU76">
        <f t="shared" si="56"/>
        <v>0</v>
      </c>
      <c r="CV76">
        <f t="shared" si="57"/>
        <v>7.9</v>
      </c>
      <c r="CW76">
        <f t="shared" si="58"/>
        <v>1.86</v>
      </c>
      <c r="CX76">
        <f t="shared" si="59"/>
        <v>0</v>
      </c>
      <c r="CY76">
        <f t="shared" si="60"/>
        <v>3075.5388000000003</v>
      </c>
      <c r="CZ76">
        <f t="shared" si="61"/>
        <v>1791.576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112</v>
      </c>
      <c r="DW76" t="s">
        <v>112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79401925</v>
      </c>
      <c r="EF76">
        <v>2</v>
      </c>
      <c r="EG76" t="s">
        <v>19</v>
      </c>
      <c r="EH76">
        <v>27</v>
      </c>
      <c r="EI76" t="s">
        <v>20</v>
      </c>
      <c r="EJ76">
        <v>1</v>
      </c>
      <c r="EK76">
        <v>33001</v>
      </c>
      <c r="EL76" t="s">
        <v>20</v>
      </c>
      <c r="EM76" t="s">
        <v>21</v>
      </c>
      <c r="EO76" t="s">
        <v>3</v>
      </c>
      <c r="EQ76">
        <v>0</v>
      </c>
      <c r="ER76">
        <v>378.82</v>
      </c>
      <c r="ES76">
        <v>46.33</v>
      </c>
      <c r="ET76">
        <v>267.08</v>
      </c>
      <c r="EU76">
        <v>19.25</v>
      </c>
      <c r="EV76">
        <v>65.41</v>
      </c>
      <c r="EW76">
        <v>7.9</v>
      </c>
      <c r="EX76">
        <v>1.86</v>
      </c>
      <c r="EY76">
        <v>0</v>
      </c>
      <c r="FQ76">
        <v>0</v>
      </c>
      <c r="FR76">
        <f t="shared" si="62"/>
        <v>0</v>
      </c>
      <c r="FS76">
        <v>0</v>
      </c>
      <c r="FX76">
        <v>103</v>
      </c>
      <c r="FY76">
        <v>60</v>
      </c>
      <c r="GA76" t="s">
        <v>3</v>
      </c>
      <c r="GD76">
        <v>1</v>
      </c>
      <c r="GF76">
        <v>1328930238</v>
      </c>
      <c r="GG76">
        <v>2</v>
      </c>
      <c r="GH76">
        <v>1</v>
      </c>
      <c r="GI76">
        <v>2</v>
      </c>
      <c r="GJ76">
        <v>0</v>
      </c>
      <c r="GK76">
        <v>0</v>
      </c>
      <c r="GL76">
        <f t="shared" si="63"/>
        <v>0</v>
      </c>
      <c r="GM76">
        <f t="shared" si="64"/>
        <v>11855.28</v>
      </c>
      <c r="GN76">
        <f t="shared" si="65"/>
        <v>11855.28</v>
      </c>
      <c r="GO76">
        <f t="shared" si="66"/>
        <v>0</v>
      </c>
      <c r="GP76">
        <f t="shared" si="67"/>
        <v>0</v>
      </c>
      <c r="GR76">
        <v>0</v>
      </c>
      <c r="GS76">
        <v>3</v>
      </c>
      <c r="GT76">
        <v>0</v>
      </c>
      <c r="GU76" t="s">
        <v>3</v>
      </c>
      <c r="GV76">
        <f t="shared" si="68"/>
        <v>0</v>
      </c>
      <c r="GW76">
        <v>1</v>
      </c>
      <c r="GX76">
        <f t="shared" si="69"/>
        <v>0</v>
      </c>
      <c r="HA76">
        <v>0</v>
      </c>
      <c r="HB76">
        <v>0</v>
      </c>
      <c r="HC76">
        <f t="shared" si="70"/>
        <v>0</v>
      </c>
      <c r="HE76" t="s">
        <v>3</v>
      </c>
      <c r="HF76" t="s">
        <v>3</v>
      </c>
      <c r="HM76" t="s">
        <v>3</v>
      </c>
      <c r="HN76" t="s">
        <v>22</v>
      </c>
      <c r="HO76" t="s">
        <v>23</v>
      </c>
      <c r="HP76" t="s">
        <v>20</v>
      </c>
      <c r="HQ76" t="s">
        <v>20</v>
      </c>
      <c r="IK76">
        <v>0</v>
      </c>
    </row>
    <row r="77" spans="1:245" x14ac:dyDescent="0.2">
      <c r="A77">
        <v>18</v>
      </c>
      <c r="B77">
        <v>1</v>
      </c>
      <c r="C77">
        <v>30</v>
      </c>
      <c r="E77" t="s">
        <v>123</v>
      </c>
      <c r="F77" t="s">
        <v>124</v>
      </c>
      <c r="G77" t="s">
        <v>125</v>
      </c>
      <c r="H77" t="s">
        <v>126</v>
      </c>
      <c r="I77">
        <f>I76*J77</f>
        <v>0</v>
      </c>
      <c r="J77">
        <v>0</v>
      </c>
      <c r="K77">
        <v>0</v>
      </c>
      <c r="O77">
        <f t="shared" si="31"/>
        <v>0</v>
      </c>
      <c r="P77">
        <f t="shared" si="32"/>
        <v>0</v>
      </c>
      <c r="Q77">
        <f t="shared" si="33"/>
        <v>0</v>
      </c>
      <c r="R77">
        <f t="shared" si="34"/>
        <v>0</v>
      </c>
      <c r="S77">
        <f t="shared" si="35"/>
        <v>0</v>
      </c>
      <c r="T77">
        <f t="shared" si="36"/>
        <v>0</v>
      </c>
      <c r="U77">
        <f t="shared" si="37"/>
        <v>0</v>
      </c>
      <c r="V77">
        <f t="shared" si="38"/>
        <v>0</v>
      </c>
      <c r="W77">
        <f t="shared" si="39"/>
        <v>0</v>
      </c>
      <c r="X77">
        <f t="shared" si="40"/>
        <v>0</v>
      </c>
      <c r="Y77">
        <f t="shared" si="41"/>
        <v>0</v>
      </c>
      <c r="AA77">
        <v>84185495</v>
      </c>
      <c r="AB77">
        <f t="shared" si="42"/>
        <v>9040.01</v>
      </c>
      <c r="AC77">
        <f t="shared" si="43"/>
        <v>9040.01</v>
      </c>
      <c r="AD77">
        <f t="shared" si="44"/>
        <v>0</v>
      </c>
      <c r="AE77">
        <f t="shared" si="45"/>
        <v>0</v>
      </c>
      <c r="AF77">
        <f t="shared" si="46"/>
        <v>0</v>
      </c>
      <c r="AG77">
        <f t="shared" si="47"/>
        <v>0</v>
      </c>
      <c r="AH77">
        <f t="shared" si="48"/>
        <v>0</v>
      </c>
      <c r="AI77">
        <f t="shared" si="49"/>
        <v>0</v>
      </c>
      <c r="AJ77">
        <f t="shared" si="50"/>
        <v>0</v>
      </c>
      <c r="AK77">
        <v>9040.01</v>
      </c>
      <c r="AL77">
        <v>9040.01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103</v>
      </c>
      <c r="AU77">
        <v>60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23.1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127</v>
      </c>
      <c r="BM77">
        <v>33001</v>
      </c>
      <c r="BN77">
        <v>0</v>
      </c>
      <c r="BO77" t="s">
        <v>124</v>
      </c>
      <c r="BP77">
        <v>1</v>
      </c>
      <c r="BQ77">
        <v>2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103</v>
      </c>
      <c r="CA77">
        <v>60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51"/>
        <v>0</v>
      </c>
      <c r="CQ77">
        <f t="shared" si="52"/>
        <v>208824.23100000003</v>
      </c>
      <c r="CR77">
        <f t="shared" si="53"/>
        <v>0</v>
      </c>
      <c r="CS77">
        <f t="shared" si="54"/>
        <v>0</v>
      </c>
      <c r="CT77">
        <f t="shared" si="55"/>
        <v>0</v>
      </c>
      <c r="CU77">
        <f t="shared" si="56"/>
        <v>0</v>
      </c>
      <c r="CV77">
        <f t="shared" si="57"/>
        <v>0</v>
      </c>
      <c r="CW77">
        <f t="shared" si="58"/>
        <v>0</v>
      </c>
      <c r="CX77">
        <f t="shared" si="59"/>
        <v>0</v>
      </c>
      <c r="CY77">
        <f t="shared" si="60"/>
        <v>0</v>
      </c>
      <c r="CZ77">
        <f t="shared" si="61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1009</v>
      </c>
      <c r="DV77" t="s">
        <v>126</v>
      </c>
      <c r="DW77" t="s">
        <v>126</v>
      </c>
      <c r="DX77">
        <v>1000</v>
      </c>
      <c r="DZ77" t="s">
        <v>3</v>
      </c>
      <c r="EA77" t="s">
        <v>3</v>
      </c>
      <c r="EB77" t="s">
        <v>3</v>
      </c>
      <c r="EC77" t="s">
        <v>3</v>
      </c>
      <c r="EE77">
        <v>79401925</v>
      </c>
      <c r="EF77">
        <v>2</v>
      </c>
      <c r="EG77" t="s">
        <v>19</v>
      </c>
      <c r="EH77">
        <v>27</v>
      </c>
      <c r="EI77" t="s">
        <v>20</v>
      </c>
      <c r="EJ77">
        <v>1</v>
      </c>
      <c r="EK77">
        <v>33001</v>
      </c>
      <c r="EL77" t="s">
        <v>20</v>
      </c>
      <c r="EM77" t="s">
        <v>21</v>
      </c>
      <c r="EO77" t="s">
        <v>3</v>
      </c>
      <c r="EQ77">
        <v>0</v>
      </c>
      <c r="ER77">
        <v>9040.01</v>
      </c>
      <c r="ES77">
        <v>9040.01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62"/>
        <v>0</v>
      </c>
      <c r="FS77">
        <v>0</v>
      </c>
      <c r="FX77">
        <v>103</v>
      </c>
      <c r="FY77">
        <v>60</v>
      </c>
      <c r="GA77" t="s">
        <v>3</v>
      </c>
      <c r="GD77">
        <v>1</v>
      </c>
      <c r="GF77">
        <v>-384985709</v>
      </c>
      <c r="GG77">
        <v>2</v>
      </c>
      <c r="GH77">
        <v>1</v>
      </c>
      <c r="GI77">
        <v>2</v>
      </c>
      <c r="GJ77">
        <v>0</v>
      </c>
      <c r="GK77">
        <v>0</v>
      </c>
      <c r="GL77">
        <f t="shared" si="63"/>
        <v>0</v>
      </c>
      <c r="GM77">
        <f t="shared" si="64"/>
        <v>0</v>
      </c>
      <c r="GN77">
        <f t="shared" si="65"/>
        <v>0</v>
      </c>
      <c r="GO77">
        <f t="shared" si="66"/>
        <v>0</v>
      </c>
      <c r="GP77">
        <f t="shared" si="67"/>
        <v>0</v>
      </c>
      <c r="GR77">
        <v>0</v>
      </c>
      <c r="GS77">
        <v>3</v>
      </c>
      <c r="GT77">
        <v>0</v>
      </c>
      <c r="GU77" t="s">
        <v>3</v>
      </c>
      <c r="GV77">
        <f t="shared" si="68"/>
        <v>0</v>
      </c>
      <c r="GW77">
        <v>1</v>
      </c>
      <c r="GX77">
        <f t="shared" si="69"/>
        <v>0</v>
      </c>
      <c r="HA77">
        <v>0</v>
      </c>
      <c r="HB77">
        <v>0</v>
      </c>
      <c r="HC77">
        <f t="shared" si="70"/>
        <v>0</v>
      </c>
      <c r="HE77" t="s">
        <v>3</v>
      </c>
      <c r="HF77" t="s">
        <v>3</v>
      </c>
      <c r="HM77" t="s">
        <v>3</v>
      </c>
      <c r="HN77" t="s">
        <v>22</v>
      </c>
      <c r="HO77" t="s">
        <v>23</v>
      </c>
      <c r="HP77" t="s">
        <v>20</v>
      </c>
      <c r="HQ77" t="s">
        <v>20</v>
      </c>
      <c r="IK77">
        <v>0</v>
      </c>
    </row>
    <row r="78" spans="1:245" x14ac:dyDescent="0.2">
      <c r="A78">
        <v>18</v>
      </c>
      <c r="B78">
        <v>1</v>
      </c>
      <c r="C78">
        <v>33</v>
      </c>
      <c r="E78" t="s">
        <v>128</v>
      </c>
      <c r="F78" t="s">
        <v>129</v>
      </c>
      <c r="G78" t="s">
        <v>130</v>
      </c>
      <c r="H78" t="s">
        <v>126</v>
      </c>
      <c r="I78">
        <f>I76*J78</f>
        <v>0</v>
      </c>
      <c r="J78">
        <v>0</v>
      </c>
      <c r="K78">
        <v>0</v>
      </c>
      <c r="O78">
        <f t="shared" si="31"/>
        <v>0</v>
      </c>
      <c r="P78">
        <f t="shared" si="32"/>
        <v>0</v>
      </c>
      <c r="Q78">
        <f t="shared" si="33"/>
        <v>0</v>
      </c>
      <c r="R78">
        <f t="shared" si="34"/>
        <v>0</v>
      </c>
      <c r="S78">
        <f t="shared" si="35"/>
        <v>0</v>
      </c>
      <c r="T78">
        <f t="shared" si="36"/>
        <v>0</v>
      </c>
      <c r="U78">
        <f t="shared" si="37"/>
        <v>0</v>
      </c>
      <c r="V78">
        <f t="shared" si="38"/>
        <v>0</v>
      </c>
      <c r="W78">
        <f t="shared" si="39"/>
        <v>0</v>
      </c>
      <c r="X78">
        <f t="shared" si="40"/>
        <v>0</v>
      </c>
      <c r="Y78">
        <f t="shared" si="41"/>
        <v>0</v>
      </c>
      <c r="AA78">
        <v>84185495</v>
      </c>
      <c r="AB78">
        <f t="shared" si="42"/>
        <v>0</v>
      </c>
      <c r="AC78">
        <f t="shared" si="43"/>
        <v>0</v>
      </c>
      <c r="AD78">
        <f t="shared" si="44"/>
        <v>0</v>
      </c>
      <c r="AE78">
        <f t="shared" si="45"/>
        <v>0</v>
      </c>
      <c r="AF78">
        <f t="shared" si="46"/>
        <v>0</v>
      </c>
      <c r="AG78">
        <f t="shared" si="47"/>
        <v>0</v>
      </c>
      <c r="AH78">
        <f t="shared" si="48"/>
        <v>0</v>
      </c>
      <c r="AI78">
        <f t="shared" si="49"/>
        <v>0</v>
      </c>
      <c r="AJ78">
        <f t="shared" si="50"/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103</v>
      </c>
      <c r="AU78">
        <v>60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131</v>
      </c>
      <c r="BM78">
        <v>33001</v>
      </c>
      <c r="BN78">
        <v>0</v>
      </c>
      <c r="BO78" t="s">
        <v>3</v>
      </c>
      <c r="BP78">
        <v>0</v>
      </c>
      <c r="BQ78">
        <v>2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103</v>
      </c>
      <c r="CA78">
        <v>60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51"/>
        <v>0</v>
      </c>
      <c r="CQ78">
        <f t="shared" si="52"/>
        <v>0</v>
      </c>
      <c r="CR78">
        <f t="shared" si="53"/>
        <v>0</v>
      </c>
      <c r="CS78">
        <f t="shared" si="54"/>
        <v>0</v>
      </c>
      <c r="CT78">
        <f t="shared" si="55"/>
        <v>0</v>
      </c>
      <c r="CU78">
        <f t="shared" si="56"/>
        <v>0</v>
      </c>
      <c r="CV78">
        <f t="shared" si="57"/>
        <v>0</v>
      </c>
      <c r="CW78">
        <f t="shared" si="58"/>
        <v>0</v>
      </c>
      <c r="CX78">
        <f t="shared" si="59"/>
        <v>0</v>
      </c>
      <c r="CY78">
        <f t="shared" si="60"/>
        <v>0</v>
      </c>
      <c r="CZ78">
        <f t="shared" si="61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1009</v>
      </c>
      <c r="DV78" t="s">
        <v>126</v>
      </c>
      <c r="DW78" t="s">
        <v>126</v>
      </c>
      <c r="DX78">
        <v>1000</v>
      </c>
      <c r="DZ78" t="s">
        <v>3</v>
      </c>
      <c r="EA78" t="s">
        <v>3</v>
      </c>
      <c r="EB78" t="s">
        <v>3</v>
      </c>
      <c r="EC78" t="s">
        <v>3</v>
      </c>
      <c r="EE78">
        <v>79401925</v>
      </c>
      <c r="EF78">
        <v>2</v>
      </c>
      <c r="EG78" t="s">
        <v>19</v>
      </c>
      <c r="EH78">
        <v>27</v>
      </c>
      <c r="EI78" t="s">
        <v>20</v>
      </c>
      <c r="EJ78">
        <v>1</v>
      </c>
      <c r="EK78">
        <v>33001</v>
      </c>
      <c r="EL78" t="s">
        <v>20</v>
      </c>
      <c r="EM78" t="s">
        <v>21</v>
      </c>
      <c r="EO78" t="s">
        <v>3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62"/>
        <v>0</v>
      </c>
      <c r="FS78">
        <v>0</v>
      </c>
      <c r="FX78">
        <v>103</v>
      </c>
      <c r="FY78">
        <v>60</v>
      </c>
      <c r="GA78" t="s">
        <v>3</v>
      </c>
      <c r="GD78">
        <v>1</v>
      </c>
      <c r="GF78">
        <v>361960925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63"/>
        <v>0</v>
      </c>
      <c r="GM78">
        <f t="shared" si="64"/>
        <v>0</v>
      </c>
      <c r="GN78">
        <f t="shared" si="65"/>
        <v>0</v>
      </c>
      <c r="GO78">
        <f t="shared" si="66"/>
        <v>0</v>
      </c>
      <c r="GP78">
        <f t="shared" si="67"/>
        <v>0</v>
      </c>
      <c r="GR78">
        <v>0</v>
      </c>
      <c r="GS78">
        <v>3</v>
      </c>
      <c r="GT78">
        <v>0</v>
      </c>
      <c r="GU78" t="s">
        <v>3</v>
      </c>
      <c r="GV78">
        <f t="shared" si="68"/>
        <v>0</v>
      </c>
      <c r="GW78">
        <v>1</v>
      </c>
      <c r="GX78">
        <f t="shared" si="69"/>
        <v>0</v>
      </c>
      <c r="HA78">
        <v>0</v>
      </c>
      <c r="HB78">
        <v>0</v>
      </c>
      <c r="HC78">
        <f t="shared" si="70"/>
        <v>0</v>
      </c>
      <c r="HE78" t="s">
        <v>3</v>
      </c>
      <c r="HF78" t="s">
        <v>3</v>
      </c>
      <c r="HM78" t="s">
        <v>3</v>
      </c>
      <c r="HN78" t="s">
        <v>22</v>
      </c>
      <c r="HO78" t="s">
        <v>23</v>
      </c>
      <c r="HP78" t="s">
        <v>20</v>
      </c>
      <c r="HQ78" t="s">
        <v>20</v>
      </c>
      <c r="IK78">
        <v>0</v>
      </c>
    </row>
    <row r="79" spans="1:245" x14ac:dyDescent="0.2">
      <c r="A79">
        <v>18</v>
      </c>
      <c r="B79">
        <v>1</v>
      </c>
      <c r="C79">
        <v>34</v>
      </c>
      <c r="E79" t="s">
        <v>132</v>
      </c>
      <c r="F79" t="s">
        <v>133</v>
      </c>
      <c r="G79" t="s">
        <v>134</v>
      </c>
      <c r="H79" t="s">
        <v>135</v>
      </c>
      <c r="I79">
        <f>I76*J79</f>
        <v>0</v>
      </c>
      <c r="J79">
        <v>0</v>
      </c>
      <c r="K79">
        <v>0</v>
      </c>
      <c r="O79">
        <f t="shared" si="31"/>
        <v>0</v>
      </c>
      <c r="P79">
        <f t="shared" si="32"/>
        <v>0</v>
      </c>
      <c r="Q79">
        <f t="shared" si="33"/>
        <v>0</v>
      </c>
      <c r="R79">
        <f t="shared" si="34"/>
        <v>0</v>
      </c>
      <c r="S79">
        <f t="shared" si="35"/>
        <v>0</v>
      </c>
      <c r="T79">
        <f t="shared" si="36"/>
        <v>0</v>
      </c>
      <c r="U79">
        <f t="shared" si="37"/>
        <v>0</v>
      </c>
      <c r="V79">
        <f t="shared" si="38"/>
        <v>0</v>
      </c>
      <c r="W79">
        <f t="shared" si="39"/>
        <v>0</v>
      </c>
      <c r="X79">
        <f t="shared" si="40"/>
        <v>0</v>
      </c>
      <c r="Y79">
        <f t="shared" si="41"/>
        <v>0</v>
      </c>
      <c r="AA79">
        <v>84185495</v>
      </c>
      <c r="AB79">
        <f t="shared" si="42"/>
        <v>0</v>
      </c>
      <c r="AC79">
        <f t="shared" si="43"/>
        <v>0</v>
      </c>
      <c r="AD79">
        <f t="shared" si="44"/>
        <v>0</v>
      </c>
      <c r="AE79">
        <f t="shared" si="45"/>
        <v>0</v>
      </c>
      <c r="AF79">
        <f t="shared" si="46"/>
        <v>0</v>
      </c>
      <c r="AG79">
        <f t="shared" si="47"/>
        <v>0</v>
      </c>
      <c r="AH79">
        <f t="shared" si="48"/>
        <v>0</v>
      </c>
      <c r="AI79">
        <f t="shared" si="49"/>
        <v>0</v>
      </c>
      <c r="AJ79">
        <f t="shared" si="50"/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103</v>
      </c>
      <c r="AU79">
        <v>60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1</v>
      </c>
      <c r="BJ79" t="s">
        <v>136</v>
      </c>
      <c r="BM79">
        <v>33001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103</v>
      </c>
      <c r="CA79">
        <v>60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51"/>
        <v>0</v>
      </c>
      <c r="CQ79">
        <f t="shared" si="52"/>
        <v>0</v>
      </c>
      <c r="CR79">
        <f t="shared" si="53"/>
        <v>0</v>
      </c>
      <c r="CS79">
        <f t="shared" si="54"/>
        <v>0</v>
      </c>
      <c r="CT79">
        <f t="shared" si="55"/>
        <v>0</v>
      </c>
      <c r="CU79">
        <f t="shared" si="56"/>
        <v>0</v>
      </c>
      <c r="CV79">
        <f t="shared" si="57"/>
        <v>0</v>
      </c>
      <c r="CW79">
        <f t="shared" si="58"/>
        <v>0</v>
      </c>
      <c r="CX79">
        <f t="shared" si="59"/>
        <v>0</v>
      </c>
      <c r="CY79">
        <f t="shared" si="60"/>
        <v>0</v>
      </c>
      <c r="CZ79">
        <f t="shared" si="61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135</v>
      </c>
      <c r="DW79" t="s">
        <v>135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79401925</v>
      </c>
      <c r="EF79">
        <v>2</v>
      </c>
      <c r="EG79" t="s">
        <v>19</v>
      </c>
      <c r="EH79">
        <v>27</v>
      </c>
      <c r="EI79" t="s">
        <v>20</v>
      </c>
      <c r="EJ79">
        <v>1</v>
      </c>
      <c r="EK79">
        <v>33001</v>
      </c>
      <c r="EL79" t="s">
        <v>20</v>
      </c>
      <c r="EM79" t="s">
        <v>21</v>
      </c>
      <c r="EO79" t="s">
        <v>3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FQ79">
        <v>0</v>
      </c>
      <c r="FR79">
        <f t="shared" si="62"/>
        <v>0</v>
      </c>
      <c r="FS79">
        <v>0</v>
      </c>
      <c r="FX79">
        <v>103</v>
      </c>
      <c r="FY79">
        <v>60</v>
      </c>
      <c r="GA79" t="s">
        <v>3</v>
      </c>
      <c r="GD79">
        <v>1</v>
      </c>
      <c r="GF79">
        <v>789151112</v>
      </c>
      <c r="GG79">
        <v>2</v>
      </c>
      <c r="GH79">
        <v>1</v>
      </c>
      <c r="GI79">
        <v>-2</v>
      </c>
      <c r="GJ79">
        <v>0</v>
      </c>
      <c r="GK79">
        <v>0</v>
      </c>
      <c r="GL79">
        <f t="shared" si="63"/>
        <v>0</v>
      </c>
      <c r="GM79">
        <f t="shared" si="64"/>
        <v>0</v>
      </c>
      <c r="GN79">
        <f t="shared" si="65"/>
        <v>0</v>
      </c>
      <c r="GO79">
        <f t="shared" si="66"/>
        <v>0</v>
      </c>
      <c r="GP79">
        <f t="shared" si="67"/>
        <v>0</v>
      </c>
      <c r="GR79">
        <v>0</v>
      </c>
      <c r="GS79">
        <v>3</v>
      </c>
      <c r="GT79">
        <v>0</v>
      </c>
      <c r="GU79" t="s">
        <v>3</v>
      </c>
      <c r="GV79">
        <f t="shared" si="68"/>
        <v>0</v>
      </c>
      <c r="GW79">
        <v>1</v>
      </c>
      <c r="GX79">
        <f t="shared" si="69"/>
        <v>0</v>
      </c>
      <c r="HA79">
        <v>0</v>
      </c>
      <c r="HB79">
        <v>0</v>
      </c>
      <c r="HC79">
        <f t="shared" si="70"/>
        <v>0</v>
      </c>
      <c r="HE79" t="s">
        <v>3</v>
      </c>
      <c r="HF79" t="s">
        <v>3</v>
      </c>
      <c r="HM79" t="s">
        <v>3</v>
      </c>
      <c r="HN79" t="s">
        <v>22</v>
      </c>
      <c r="HO79" t="s">
        <v>23</v>
      </c>
      <c r="HP79" t="s">
        <v>20</v>
      </c>
      <c r="HQ79" t="s">
        <v>20</v>
      </c>
      <c r="IK79">
        <v>0</v>
      </c>
    </row>
    <row r="80" spans="1:245" x14ac:dyDescent="0.2">
      <c r="A80">
        <v>18</v>
      </c>
      <c r="B80">
        <v>1</v>
      </c>
      <c r="C80">
        <v>35</v>
      </c>
      <c r="E80" t="s">
        <v>137</v>
      </c>
      <c r="F80" t="s">
        <v>138</v>
      </c>
      <c r="G80" t="s">
        <v>139</v>
      </c>
      <c r="H80" t="s">
        <v>135</v>
      </c>
      <c r="I80">
        <f>I76*J80</f>
        <v>0</v>
      </c>
      <c r="J80">
        <v>0</v>
      </c>
      <c r="K80">
        <v>0</v>
      </c>
      <c r="O80">
        <f t="shared" si="31"/>
        <v>0</v>
      </c>
      <c r="P80">
        <f t="shared" si="32"/>
        <v>0</v>
      </c>
      <c r="Q80">
        <f t="shared" si="33"/>
        <v>0</v>
      </c>
      <c r="R80">
        <f t="shared" si="34"/>
        <v>0</v>
      </c>
      <c r="S80">
        <f t="shared" si="35"/>
        <v>0</v>
      </c>
      <c r="T80">
        <f t="shared" si="36"/>
        <v>0</v>
      </c>
      <c r="U80">
        <f t="shared" si="37"/>
        <v>0</v>
      </c>
      <c r="V80">
        <f t="shared" si="38"/>
        <v>0</v>
      </c>
      <c r="W80">
        <f t="shared" si="39"/>
        <v>0</v>
      </c>
      <c r="X80">
        <f t="shared" si="40"/>
        <v>0</v>
      </c>
      <c r="Y80">
        <f t="shared" si="41"/>
        <v>0</v>
      </c>
      <c r="AA80">
        <v>84185495</v>
      </c>
      <c r="AB80">
        <f t="shared" si="42"/>
        <v>0</v>
      </c>
      <c r="AC80">
        <f t="shared" si="43"/>
        <v>0</v>
      </c>
      <c r="AD80">
        <f t="shared" si="44"/>
        <v>0</v>
      </c>
      <c r="AE80">
        <f t="shared" si="45"/>
        <v>0</v>
      </c>
      <c r="AF80">
        <f t="shared" si="46"/>
        <v>0</v>
      </c>
      <c r="AG80">
        <f t="shared" si="47"/>
        <v>0</v>
      </c>
      <c r="AH80">
        <f t="shared" si="48"/>
        <v>0</v>
      </c>
      <c r="AI80">
        <f t="shared" si="49"/>
        <v>0</v>
      </c>
      <c r="AJ80">
        <f t="shared" si="50"/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103</v>
      </c>
      <c r="AU80">
        <v>60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1</v>
      </c>
      <c r="BJ80" t="s">
        <v>140</v>
      </c>
      <c r="BM80">
        <v>33001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103</v>
      </c>
      <c r="CA80">
        <v>60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51"/>
        <v>0</v>
      </c>
      <c r="CQ80">
        <f t="shared" si="52"/>
        <v>0</v>
      </c>
      <c r="CR80">
        <f t="shared" si="53"/>
        <v>0</v>
      </c>
      <c r="CS80">
        <f t="shared" si="54"/>
        <v>0</v>
      </c>
      <c r="CT80">
        <f t="shared" si="55"/>
        <v>0</v>
      </c>
      <c r="CU80">
        <f t="shared" si="56"/>
        <v>0</v>
      </c>
      <c r="CV80">
        <f t="shared" si="57"/>
        <v>0</v>
      </c>
      <c r="CW80">
        <f t="shared" si="58"/>
        <v>0</v>
      </c>
      <c r="CX80">
        <f t="shared" si="59"/>
        <v>0</v>
      </c>
      <c r="CY80">
        <f t="shared" si="60"/>
        <v>0</v>
      </c>
      <c r="CZ80">
        <f t="shared" si="61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135</v>
      </c>
      <c r="DW80" t="s">
        <v>135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79401925</v>
      </c>
      <c r="EF80">
        <v>2</v>
      </c>
      <c r="EG80" t="s">
        <v>19</v>
      </c>
      <c r="EH80">
        <v>27</v>
      </c>
      <c r="EI80" t="s">
        <v>20</v>
      </c>
      <c r="EJ80">
        <v>1</v>
      </c>
      <c r="EK80">
        <v>33001</v>
      </c>
      <c r="EL80" t="s">
        <v>20</v>
      </c>
      <c r="EM80" t="s">
        <v>21</v>
      </c>
      <c r="EO80" t="s">
        <v>3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FQ80">
        <v>0</v>
      </c>
      <c r="FR80">
        <f t="shared" si="62"/>
        <v>0</v>
      </c>
      <c r="FS80">
        <v>0</v>
      </c>
      <c r="FX80">
        <v>103</v>
      </c>
      <c r="FY80">
        <v>60</v>
      </c>
      <c r="GA80" t="s">
        <v>3</v>
      </c>
      <c r="GD80">
        <v>1</v>
      </c>
      <c r="GF80">
        <v>-950202787</v>
      </c>
      <c r="GG80">
        <v>2</v>
      </c>
      <c r="GH80">
        <v>1</v>
      </c>
      <c r="GI80">
        <v>-2</v>
      </c>
      <c r="GJ80">
        <v>0</v>
      </c>
      <c r="GK80">
        <v>0</v>
      </c>
      <c r="GL80">
        <f t="shared" si="63"/>
        <v>0</v>
      </c>
      <c r="GM80">
        <f t="shared" si="64"/>
        <v>0</v>
      </c>
      <c r="GN80">
        <f t="shared" si="65"/>
        <v>0</v>
      </c>
      <c r="GO80">
        <f t="shared" si="66"/>
        <v>0</v>
      </c>
      <c r="GP80">
        <f t="shared" si="67"/>
        <v>0</v>
      </c>
      <c r="GR80">
        <v>0</v>
      </c>
      <c r="GS80">
        <v>3</v>
      </c>
      <c r="GT80">
        <v>0</v>
      </c>
      <c r="GU80" t="s">
        <v>3</v>
      </c>
      <c r="GV80">
        <f t="shared" si="68"/>
        <v>0</v>
      </c>
      <c r="GW80">
        <v>1</v>
      </c>
      <c r="GX80">
        <f t="shared" si="69"/>
        <v>0</v>
      </c>
      <c r="HA80">
        <v>0</v>
      </c>
      <c r="HB80">
        <v>0</v>
      </c>
      <c r="HC80">
        <f t="shared" si="70"/>
        <v>0</v>
      </c>
      <c r="HE80" t="s">
        <v>3</v>
      </c>
      <c r="HF80" t="s">
        <v>3</v>
      </c>
      <c r="HM80" t="s">
        <v>3</v>
      </c>
      <c r="HN80" t="s">
        <v>22</v>
      </c>
      <c r="HO80" t="s">
        <v>23</v>
      </c>
      <c r="HP80" t="s">
        <v>20</v>
      </c>
      <c r="HQ80" t="s">
        <v>20</v>
      </c>
      <c r="IK80">
        <v>0</v>
      </c>
    </row>
    <row r="81" spans="1:245" x14ac:dyDescent="0.2">
      <c r="A81">
        <v>18</v>
      </c>
      <c r="B81">
        <v>1</v>
      </c>
      <c r="C81">
        <v>36</v>
      </c>
      <c r="E81" t="s">
        <v>141</v>
      </c>
      <c r="F81" t="s">
        <v>142</v>
      </c>
      <c r="G81" t="s">
        <v>143</v>
      </c>
      <c r="H81" t="s">
        <v>135</v>
      </c>
      <c r="I81">
        <f>I76*J81</f>
        <v>0.1</v>
      </c>
      <c r="J81">
        <v>0.1</v>
      </c>
      <c r="K81">
        <v>0.1</v>
      </c>
      <c r="O81">
        <f t="shared" si="31"/>
        <v>0</v>
      </c>
      <c r="P81">
        <f t="shared" si="32"/>
        <v>0</v>
      </c>
      <c r="Q81">
        <f t="shared" si="33"/>
        <v>0</v>
      </c>
      <c r="R81">
        <f t="shared" si="34"/>
        <v>0</v>
      </c>
      <c r="S81">
        <f t="shared" si="35"/>
        <v>0</v>
      </c>
      <c r="T81">
        <f t="shared" si="36"/>
        <v>0</v>
      </c>
      <c r="U81">
        <f t="shared" si="37"/>
        <v>0</v>
      </c>
      <c r="V81">
        <f t="shared" si="38"/>
        <v>0</v>
      </c>
      <c r="W81">
        <f t="shared" si="39"/>
        <v>0</v>
      </c>
      <c r="X81">
        <f t="shared" si="40"/>
        <v>0</v>
      </c>
      <c r="Y81">
        <f t="shared" si="41"/>
        <v>0</v>
      </c>
      <c r="AA81">
        <v>84185495</v>
      </c>
      <c r="AB81">
        <f t="shared" si="42"/>
        <v>0</v>
      </c>
      <c r="AC81">
        <f t="shared" si="43"/>
        <v>0</v>
      </c>
      <c r="AD81">
        <f t="shared" si="44"/>
        <v>0</v>
      </c>
      <c r="AE81">
        <f t="shared" si="45"/>
        <v>0</v>
      </c>
      <c r="AF81">
        <f t="shared" si="46"/>
        <v>0</v>
      </c>
      <c r="AG81">
        <f t="shared" si="47"/>
        <v>0</v>
      </c>
      <c r="AH81">
        <f t="shared" si="48"/>
        <v>0</v>
      </c>
      <c r="AI81">
        <f t="shared" si="49"/>
        <v>0</v>
      </c>
      <c r="AJ81">
        <f t="shared" si="50"/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103</v>
      </c>
      <c r="AU81">
        <v>60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3</v>
      </c>
      <c r="BI81">
        <v>1</v>
      </c>
      <c r="BJ81" t="s">
        <v>144</v>
      </c>
      <c r="BM81">
        <v>33001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103</v>
      </c>
      <c r="CA81">
        <v>60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51"/>
        <v>0</v>
      </c>
      <c r="CQ81">
        <f t="shared" si="52"/>
        <v>0</v>
      </c>
      <c r="CR81">
        <f t="shared" si="53"/>
        <v>0</v>
      </c>
      <c r="CS81">
        <f t="shared" si="54"/>
        <v>0</v>
      </c>
      <c r="CT81">
        <f t="shared" si="55"/>
        <v>0</v>
      </c>
      <c r="CU81">
        <f t="shared" si="56"/>
        <v>0</v>
      </c>
      <c r="CV81">
        <f t="shared" si="57"/>
        <v>0</v>
      </c>
      <c r="CW81">
        <f t="shared" si="58"/>
        <v>0</v>
      </c>
      <c r="CX81">
        <f t="shared" si="59"/>
        <v>0</v>
      </c>
      <c r="CY81">
        <f t="shared" si="60"/>
        <v>0</v>
      </c>
      <c r="CZ81">
        <f t="shared" si="61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1010</v>
      </c>
      <c r="DV81" t="s">
        <v>135</v>
      </c>
      <c r="DW81" t="s">
        <v>135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79401925</v>
      </c>
      <c r="EF81">
        <v>2</v>
      </c>
      <c r="EG81" t="s">
        <v>19</v>
      </c>
      <c r="EH81">
        <v>27</v>
      </c>
      <c r="EI81" t="s">
        <v>20</v>
      </c>
      <c r="EJ81">
        <v>1</v>
      </c>
      <c r="EK81">
        <v>33001</v>
      </c>
      <c r="EL81" t="s">
        <v>20</v>
      </c>
      <c r="EM81" t="s">
        <v>21</v>
      </c>
      <c r="EO81" t="s">
        <v>3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FQ81">
        <v>0</v>
      </c>
      <c r="FR81">
        <f t="shared" si="62"/>
        <v>0</v>
      </c>
      <c r="FS81">
        <v>0</v>
      </c>
      <c r="FX81">
        <v>103</v>
      </c>
      <c r="FY81">
        <v>60</v>
      </c>
      <c r="GA81" t="s">
        <v>3</v>
      </c>
      <c r="GD81">
        <v>1</v>
      </c>
      <c r="GF81">
        <v>1139075706</v>
      </c>
      <c r="GG81">
        <v>2</v>
      </c>
      <c r="GH81">
        <v>1</v>
      </c>
      <c r="GI81">
        <v>-2</v>
      </c>
      <c r="GJ81">
        <v>0</v>
      </c>
      <c r="GK81">
        <v>0</v>
      </c>
      <c r="GL81">
        <f t="shared" si="63"/>
        <v>0</v>
      </c>
      <c r="GM81">
        <f t="shared" si="64"/>
        <v>0</v>
      </c>
      <c r="GN81">
        <f t="shared" si="65"/>
        <v>0</v>
      </c>
      <c r="GO81">
        <f t="shared" si="66"/>
        <v>0</v>
      </c>
      <c r="GP81">
        <f t="shared" si="67"/>
        <v>0</v>
      </c>
      <c r="GR81">
        <v>0</v>
      </c>
      <c r="GS81">
        <v>3</v>
      </c>
      <c r="GT81">
        <v>0</v>
      </c>
      <c r="GU81" t="s">
        <v>3</v>
      </c>
      <c r="GV81">
        <f t="shared" si="68"/>
        <v>0</v>
      </c>
      <c r="GW81">
        <v>1</v>
      </c>
      <c r="GX81">
        <f t="shared" si="69"/>
        <v>0</v>
      </c>
      <c r="HA81">
        <v>0</v>
      </c>
      <c r="HB81">
        <v>0</v>
      </c>
      <c r="HC81">
        <f t="shared" si="70"/>
        <v>0</v>
      </c>
      <c r="HE81" t="s">
        <v>3</v>
      </c>
      <c r="HF81" t="s">
        <v>3</v>
      </c>
      <c r="HM81" t="s">
        <v>3</v>
      </c>
      <c r="HN81" t="s">
        <v>22</v>
      </c>
      <c r="HO81" t="s">
        <v>23</v>
      </c>
      <c r="HP81" t="s">
        <v>20</v>
      </c>
      <c r="HQ81" t="s">
        <v>20</v>
      </c>
      <c r="IK81">
        <v>0</v>
      </c>
    </row>
    <row r="82" spans="1:245" x14ac:dyDescent="0.2">
      <c r="A82">
        <v>18</v>
      </c>
      <c r="B82">
        <v>1</v>
      </c>
      <c r="C82">
        <v>38</v>
      </c>
      <c r="E82" t="s">
        <v>145</v>
      </c>
      <c r="F82" t="s">
        <v>146</v>
      </c>
      <c r="G82" t="s">
        <v>147</v>
      </c>
      <c r="H82" t="s">
        <v>148</v>
      </c>
      <c r="I82">
        <f>I76*J82</f>
        <v>0</v>
      </c>
      <c r="J82">
        <v>0</v>
      </c>
      <c r="K82">
        <v>0</v>
      </c>
      <c r="O82">
        <f t="shared" si="31"/>
        <v>0</v>
      </c>
      <c r="P82">
        <f t="shared" si="32"/>
        <v>0</v>
      </c>
      <c r="Q82">
        <f t="shared" si="33"/>
        <v>0</v>
      </c>
      <c r="R82">
        <f t="shared" si="34"/>
        <v>0</v>
      </c>
      <c r="S82">
        <f t="shared" si="35"/>
        <v>0</v>
      </c>
      <c r="T82">
        <f t="shared" si="36"/>
        <v>0</v>
      </c>
      <c r="U82">
        <f t="shared" si="37"/>
        <v>0</v>
      </c>
      <c r="V82">
        <f t="shared" si="38"/>
        <v>0</v>
      </c>
      <c r="W82">
        <f t="shared" si="39"/>
        <v>0</v>
      </c>
      <c r="X82">
        <f t="shared" si="40"/>
        <v>0</v>
      </c>
      <c r="Y82">
        <f t="shared" si="41"/>
        <v>0</v>
      </c>
      <c r="AA82">
        <v>84185495</v>
      </c>
      <c r="AB82">
        <f t="shared" si="42"/>
        <v>0</v>
      </c>
      <c r="AC82">
        <f t="shared" si="43"/>
        <v>0</v>
      </c>
      <c r="AD82">
        <f t="shared" si="44"/>
        <v>0</v>
      </c>
      <c r="AE82">
        <f t="shared" si="45"/>
        <v>0</v>
      </c>
      <c r="AF82">
        <f t="shared" si="46"/>
        <v>0</v>
      </c>
      <c r="AG82">
        <f t="shared" si="47"/>
        <v>0</v>
      </c>
      <c r="AH82">
        <f t="shared" si="48"/>
        <v>0</v>
      </c>
      <c r="AI82">
        <f t="shared" si="49"/>
        <v>0</v>
      </c>
      <c r="AJ82">
        <f t="shared" si="50"/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103</v>
      </c>
      <c r="AU82">
        <v>60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1</v>
      </c>
      <c r="BJ82" t="s">
        <v>149</v>
      </c>
      <c r="BM82">
        <v>33001</v>
      </c>
      <c r="BN82">
        <v>0</v>
      </c>
      <c r="BO82" t="s">
        <v>3</v>
      </c>
      <c r="BP82">
        <v>0</v>
      </c>
      <c r="BQ82">
        <v>2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103</v>
      </c>
      <c r="CA82">
        <v>60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51"/>
        <v>0</v>
      </c>
      <c r="CQ82">
        <f t="shared" si="52"/>
        <v>0</v>
      </c>
      <c r="CR82">
        <f t="shared" si="53"/>
        <v>0</v>
      </c>
      <c r="CS82">
        <f t="shared" si="54"/>
        <v>0</v>
      </c>
      <c r="CT82">
        <f t="shared" si="55"/>
        <v>0</v>
      </c>
      <c r="CU82">
        <f t="shared" si="56"/>
        <v>0</v>
      </c>
      <c r="CV82">
        <f t="shared" si="57"/>
        <v>0</v>
      </c>
      <c r="CW82">
        <f t="shared" si="58"/>
        <v>0</v>
      </c>
      <c r="CX82">
        <f t="shared" si="59"/>
        <v>0</v>
      </c>
      <c r="CY82">
        <f t="shared" si="60"/>
        <v>0</v>
      </c>
      <c r="CZ82">
        <f t="shared" si="61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1009</v>
      </c>
      <c r="DV82" t="s">
        <v>148</v>
      </c>
      <c r="DW82" t="s">
        <v>148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79401925</v>
      </c>
      <c r="EF82">
        <v>2</v>
      </c>
      <c r="EG82" t="s">
        <v>19</v>
      </c>
      <c r="EH82">
        <v>27</v>
      </c>
      <c r="EI82" t="s">
        <v>20</v>
      </c>
      <c r="EJ82">
        <v>1</v>
      </c>
      <c r="EK82">
        <v>33001</v>
      </c>
      <c r="EL82" t="s">
        <v>20</v>
      </c>
      <c r="EM82" t="s">
        <v>21</v>
      </c>
      <c r="EO82" t="s">
        <v>3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f t="shared" si="62"/>
        <v>0</v>
      </c>
      <c r="FS82">
        <v>0</v>
      </c>
      <c r="FX82">
        <v>103</v>
      </c>
      <c r="FY82">
        <v>60</v>
      </c>
      <c r="GA82" t="s">
        <v>3</v>
      </c>
      <c r="GD82">
        <v>1</v>
      </c>
      <c r="GF82">
        <v>-1695541033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si="63"/>
        <v>0</v>
      </c>
      <c r="GM82">
        <f t="shared" si="64"/>
        <v>0</v>
      </c>
      <c r="GN82">
        <f t="shared" si="65"/>
        <v>0</v>
      </c>
      <c r="GO82">
        <f t="shared" si="66"/>
        <v>0</v>
      </c>
      <c r="GP82">
        <f t="shared" si="67"/>
        <v>0</v>
      </c>
      <c r="GR82">
        <v>0</v>
      </c>
      <c r="GS82">
        <v>3</v>
      </c>
      <c r="GT82">
        <v>0</v>
      </c>
      <c r="GU82" t="s">
        <v>3</v>
      </c>
      <c r="GV82">
        <f t="shared" si="68"/>
        <v>0</v>
      </c>
      <c r="GW82">
        <v>1</v>
      </c>
      <c r="GX82">
        <f t="shared" si="69"/>
        <v>0</v>
      </c>
      <c r="HA82">
        <v>0</v>
      </c>
      <c r="HB82">
        <v>0</v>
      </c>
      <c r="HC82">
        <f t="shared" si="70"/>
        <v>0</v>
      </c>
      <c r="HE82" t="s">
        <v>3</v>
      </c>
      <c r="HF82" t="s">
        <v>3</v>
      </c>
      <c r="HM82" t="s">
        <v>3</v>
      </c>
      <c r="HN82" t="s">
        <v>22</v>
      </c>
      <c r="HO82" t="s">
        <v>23</v>
      </c>
      <c r="HP82" t="s">
        <v>20</v>
      </c>
      <c r="HQ82" t="s">
        <v>20</v>
      </c>
      <c r="IK82">
        <v>0</v>
      </c>
    </row>
    <row r="83" spans="1:245" x14ac:dyDescent="0.2">
      <c r="A83">
        <v>18</v>
      </c>
      <c r="B83">
        <v>1</v>
      </c>
      <c r="C83">
        <v>39</v>
      </c>
      <c r="E83" t="s">
        <v>150</v>
      </c>
      <c r="F83" t="s">
        <v>151</v>
      </c>
      <c r="G83" t="s">
        <v>152</v>
      </c>
      <c r="H83" t="s">
        <v>148</v>
      </c>
      <c r="I83">
        <f>I76*J83</f>
        <v>0</v>
      </c>
      <c r="J83">
        <v>0</v>
      </c>
      <c r="K83">
        <v>0</v>
      </c>
      <c r="O83">
        <f t="shared" si="31"/>
        <v>0</v>
      </c>
      <c r="P83">
        <f t="shared" si="32"/>
        <v>0</v>
      </c>
      <c r="Q83">
        <f t="shared" si="33"/>
        <v>0</v>
      </c>
      <c r="R83">
        <f t="shared" si="34"/>
        <v>0</v>
      </c>
      <c r="S83">
        <f t="shared" si="35"/>
        <v>0</v>
      </c>
      <c r="T83">
        <f t="shared" si="36"/>
        <v>0</v>
      </c>
      <c r="U83">
        <f t="shared" si="37"/>
        <v>0</v>
      </c>
      <c r="V83">
        <f t="shared" si="38"/>
        <v>0</v>
      </c>
      <c r="W83">
        <f t="shared" si="39"/>
        <v>0</v>
      </c>
      <c r="X83">
        <f t="shared" si="40"/>
        <v>0</v>
      </c>
      <c r="Y83">
        <f t="shared" si="41"/>
        <v>0</v>
      </c>
      <c r="AA83">
        <v>84185495</v>
      </c>
      <c r="AB83">
        <f t="shared" si="42"/>
        <v>0</v>
      </c>
      <c r="AC83">
        <f t="shared" si="43"/>
        <v>0</v>
      </c>
      <c r="AD83">
        <f t="shared" si="44"/>
        <v>0</v>
      </c>
      <c r="AE83">
        <f t="shared" si="45"/>
        <v>0</v>
      </c>
      <c r="AF83">
        <f t="shared" si="46"/>
        <v>0</v>
      </c>
      <c r="AG83">
        <f t="shared" si="47"/>
        <v>0</v>
      </c>
      <c r="AH83">
        <f t="shared" si="48"/>
        <v>0</v>
      </c>
      <c r="AI83">
        <f t="shared" si="49"/>
        <v>0</v>
      </c>
      <c r="AJ83">
        <f t="shared" si="50"/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103</v>
      </c>
      <c r="AU83">
        <v>60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1</v>
      </c>
      <c r="BJ83" t="s">
        <v>153</v>
      </c>
      <c r="BM83">
        <v>33001</v>
      </c>
      <c r="BN83">
        <v>0</v>
      </c>
      <c r="BO83" t="s">
        <v>3</v>
      </c>
      <c r="BP83">
        <v>0</v>
      </c>
      <c r="BQ83">
        <v>2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103</v>
      </c>
      <c r="CA83">
        <v>60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51"/>
        <v>0</v>
      </c>
      <c r="CQ83">
        <f t="shared" si="52"/>
        <v>0</v>
      </c>
      <c r="CR83">
        <f t="shared" si="53"/>
        <v>0</v>
      </c>
      <c r="CS83">
        <f t="shared" si="54"/>
        <v>0</v>
      </c>
      <c r="CT83">
        <f t="shared" si="55"/>
        <v>0</v>
      </c>
      <c r="CU83">
        <f t="shared" si="56"/>
        <v>0</v>
      </c>
      <c r="CV83">
        <f t="shared" si="57"/>
        <v>0</v>
      </c>
      <c r="CW83">
        <f t="shared" si="58"/>
        <v>0</v>
      </c>
      <c r="CX83">
        <f t="shared" si="59"/>
        <v>0</v>
      </c>
      <c r="CY83">
        <f t="shared" si="60"/>
        <v>0</v>
      </c>
      <c r="CZ83">
        <f t="shared" si="61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148</v>
      </c>
      <c r="DW83" t="s">
        <v>148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79401925</v>
      </c>
      <c r="EF83">
        <v>2</v>
      </c>
      <c r="EG83" t="s">
        <v>19</v>
      </c>
      <c r="EH83">
        <v>27</v>
      </c>
      <c r="EI83" t="s">
        <v>20</v>
      </c>
      <c r="EJ83">
        <v>1</v>
      </c>
      <c r="EK83">
        <v>33001</v>
      </c>
      <c r="EL83" t="s">
        <v>20</v>
      </c>
      <c r="EM83" t="s">
        <v>21</v>
      </c>
      <c r="EO83" t="s">
        <v>3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FQ83">
        <v>0</v>
      </c>
      <c r="FR83">
        <f t="shared" si="62"/>
        <v>0</v>
      </c>
      <c r="FS83">
        <v>0</v>
      </c>
      <c r="FX83">
        <v>103</v>
      </c>
      <c r="FY83">
        <v>60</v>
      </c>
      <c r="GA83" t="s">
        <v>3</v>
      </c>
      <c r="GD83">
        <v>1</v>
      </c>
      <c r="GF83">
        <v>-2040775826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63"/>
        <v>0</v>
      </c>
      <c r="GM83">
        <f t="shared" si="64"/>
        <v>0</v>
      </c>
      <c r="GN83">
        <f t="shared" si="65"/>
        <v>0</v>
      </c>
      <c r="GO83">
        <f t="shared" si="66"/>
        <v>0</v>
      </c>
      <c r="GP83">
        <f t="shared" si="67"/>
        <v>0</v>
      </c>
      <c r="GR83">
        <v>0</v>
      </c>
      <c r="GS83">
        <v>3</v>
      </c>
      <c r="GT83">
        <v>0</v>
      </c>
      <c r="GU83" t="s">
        <v>3</v>
      </c>
      <c r="GV83">
        <f t="shared" si="68"/>
        <v>0</v>
      </c>
      <c r="GW83">
        <v>1</v>
      </c>
      <c r="GX83">
        <f t="shared" si="69"/>
        <v>0</v>
      </c>
      <c r="HA83">
        <v>0</v>
      </c>
      <c r="HB83">
        <v>0</v>
      </c>
      <c r="HC83">
        <f t="shared" si="70"/>
        <v>0</v>
      </c>
      <c r="HE83" t="s">
        <v>3</v>
      </c>
      <c r="HF83" t="s">
        <v>3</v>
      </c>
      <c r="HM83" t="s">
        <v>3</v>
      </c>
      <c r="HN83" t="s">
        <v>22</v>
      </c>
      <c r="HO83" t="s">
        <v>23</v>
      </c>
      <c r="HP83" t="s">
        <v>20</v>
      </c>
      <c r="HQ83" t="s">
        <v>20</v>
      </c>
      <c r="IK83">
        <v>0</v>
      </c>
    </row>
    <row r="84" spans="1:245" x14ac:dyDescent="0.2">
      <c r="A84">
        <v>18</v>
      </c>
      <c r="B84">
        <v>1</v>
      </c>
      <c r="C84">
        <v>40</v>
      </c>
      <c r="E84" t="s">
        <v>154</v>
      </c>
      <c r="F84" t="s">
        <v>155</v>
      </c>
      <c r="G84" t="s">
        <v>156</v>
      </c>
      <c r="H84" t="s">
        <v>126</v>
      </c>
      <c r="I84">
        <f>I76*J84</f>
        <v>0</v>
      </c>
      <c r="J84">
        <v>0</v>
      </c>
      <c r="K84">
        <v>0</v>
      </c>
      <c r="O84">
        <f t="shared" si="31"/>
        <v>0</v>
      </c>
      <c r="P84">
        <f t="shared" si="32"/>
        <v>0</v>
      </c>
      <c r="Q84">
        <f t="shared" si="33"/>
        <v>0</v>
      </c>
      <c r="R84">
        <f t="shared" si="34"/>
        <v>0</v>
      </c>
      <c r="S84">
        <f t="shared" si="35"/>
        <v>0</v>
      </c>
      <c r="T84">
        <f t="shared" si="36"/>
        <v>0</v>
      </c>
      <c r="U84">
        <f t="shared" si="37"/>
        <v>0</v>
      </c>
      <c r="V84">
        <f t="shared" si="38"/>
        <v>0</v>
      </c>
      <c r="W84">
        <f t="shared" si="39"/>
        <v>0</v>
      </c>
      <c r="X84">
        <f t="shared" si="40"/>
        <v>0</v>
      </c>
      <c r="Y84">
        <f t="shared" si="41"/>
        <v>0</v>
      </c>
      <c r="AA84">
        <v>84185495</v>
      </c>
      <c r="AB84">
        <f t="shared" si="42"/>
        <v>0</v>
      </c>
      <c r="AC84">
        <f t="shared" si="43"/>
        <v>0</v>
      </c>
      <c r="AD84">
        <f t="shared" si="44"/>
        <v>0</v>
      </c>
      <c r="AE84">
        <f t="shared" si="45"/>
        <v>0</v>
      </c>
      <c r="AF84">
        <f t="shared" si="46"/>
        <v>0</v>
      </c>
      <c r="AG84">
        <f t="shared" si="47"/>
        <v>0</v>
      </c>
      <c r="AH84">
        <f t="shared" si="48"/>
        <v>0</v>
      </c>
      <c r="AI84">
        <f t="shared" si="49"/>
        <v>0</v>
      </c>
      <c r="AJ84">
        <f t="shared" si="50"/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103</v>
      </c>
      <c r="AU84">
        <v>60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157</v>
      </c>
      <c r="BM84">
        <v>33001</v>
      </c>
      <c r="BN84">
        <v>0</v>
      </c>
      <c r="BO84" t="s">
        <v>3</v>
      </c>
      <c r="BP84">
        <v>0</v>
      </c>
      <c r="BQ84">
        <v>2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103</v>
      </c>
      <c r="CA84">
        <v>60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51"/>
        <v>0</v>
      </c>
      <c r="CQ84">
        <f t="shared" si="52"/>
        <v>0</v>
      </c>
      <c r="CR84">
        <f t="shared" si="53"/>
        <v>0</v>
      </c>
      <c r="CS84">
        <f t="shared" si="54"/>
        <v>0</v>
      </c>
      <c r="CT84">
        <f t="shared" si="55"/>
        <v>0</v>
      </c>
      <c r="CU84">
        <f t="shared" si="56"/>
        <v>0</v>
      </c>
      <c r="CV84">
        <f t="shared" si="57"/>
        <v>0</v>
      </c>
      <c r="CW84">
        <f t="shared" si="58"/>
        <v>0</v>
      </c>
      <c r="CX84">
        <f t="shared" si="59"/>
        <v>0</v>
      </c>
      <c r="CY84">
        <f t="shared" si="60"/>
        <v>0</v>
      </c>
      <c r="CZ84">
        <f t="shared" si="61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1009</v>
      </c>
      <c r="DV84" t="s">
        <v>126</v>
      </c>
      <c r="DW84" t="s">
        <v>126</v>
      </c>
      <c r="DX84">
        <v>1000</v>
      </c>
      <c r="DZ84" t="s">
        <v>3</v>
      </c>
      <c r="EA84" t="s">
        <v>3</v>
      </c>
      <c r="EB84" t="s">
        <v>3</v>
      </c>
      <c r="EC84" t="s">
        <v>3</v>
      </c>
      <c r="EE84">
        <v>79401925</v>
      </c>
      <c r="EF84">
        <v>2</v>
      </c>
      <c r="EG84" t="s">
        <v>19</v>
      </c>
      <c r="EH84">
        <v>27</v>
      </c>
      <c r="EI84" t="s">
        <v>20</v>
      </c>
      <c r="EJ84">
        <v>1</v>
      </c>
      <c r="EK84">
        <v>33001</v>
      </c>
      <c r="EL84" t="s">
        <v>20</v>
      </c>
      <c r="EM84" t="s">
        <v>21</v>
      </c>
      <c r="EO84" t="s">
        <v>3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f t="shared" si="62"/>
        <v>0</v>
      </c>
      <c r="FS84">
        <v>0</v>
      </c>
      <c r="FX84">
        <v>103</v>
      </c>
      <c r="FY84">
        <v>60</v>
      </c>
      <c r="GA84" t="s">
        <v>3</v>
      </c>
      <c r="GD84">
        <v>1</v>
      </c>
      <c r="GF84">
        <v>-388174517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63"/>
        <v>0</v>
      </c>
      <c r="GM84">
        <f t="shared" si="64"/>
        <v>0</v>
      </c>
      <c r="GN84">
        <f t="shared" si="65"/>
        <v>0</v>
      </c>
      <c r="GO84">
        <f t="shared" si="66"/>
        <v>0</v>
      </c>
      <c r="GP84">
        <f t="shared" si="67"/>
        <v>0</v>
      </c>
      <c r="GR84">
        <v>0</v>
      </c>
      <c r="GS84">
        <v>3</v>
      </c>
      <c r="GT84">
        <v>0</v>
      </c>
      <c r="GU84" t="s">
        <v>3</v>
      </c>
      <c r="GV84">
        <f t="shared" si="68"/>
        <v>0</v>
      </c>
      <c r="GW84">
        <v>1</v>
      </c>
      <c r="GX84">
        <f t="shared" si="69"/>
        <v>0</v>
      </c>
      <c r="HA84">
        <v>0</v>
      </c>
      <c r="HB84">
        <v>0</v>
      </c>
      <c r="HC84">
        <f t="shared" si="70"/>
        <v>0</v>
      </c>
      <c r="HE84" t="s">
        <v>3</v>
      </c>
      <c r="HF84" t="s">
        <v>3</v>
      </c>
      <c r="HM84" t="s">
        <v>3</v>
      </c>
      <c r="HN84" t="s">
        <v>22</v>
      </c>
      <c r="HO84" t="s">
        <v>23</v>
      </c>
      <c r="HP84" t="s">
        <v>20</v>
      </c>
      <c r="HQ84" t="s">
        <v>20</v>
      </c>
      <c r="IK84">
        <v>0</v>
      </c>
    </row>
    <row r="85" spans="1:245" x14ac:dyDescent="0.2">
      <c r="A85">
        <v>18</v>
      </c>
      <c r="B85">
        <v>1</v>
      </c>
      <c r="C85">
        <v>41</v>
      </c>
      <c r="E85" t="s">
        <v>158</v>
      </c>
      <c r="F85" t="s">
        <v>159</v>
      </c>
      <c r="G85" t="s">
        <v>160</v>
      </c>
      <c r="H85" t="s">
        <v>135</v>
      </c>
      <c r="I85">
        <f>I76*J85</f>
        <v>0</v>
      </c>
      <c r="J85">
        <v>0</v>
      </c>
      <c r="K85">
        <v>0</v>
      </c>
      <c r="O85">
        <f t="shared" si="31"/>
        <v>0</v>
      </c>
      <c r="P85">
        <f t="shared" si="32"/>
        <v>0</v>
      </c>
      <c r="Q85">
        <f t="shared" si="33"/>
        <v>0</v>
      </c>
      <c r="R85">
        <f t="shared" si="34"/>
        <v>0</v>
      </c>
      <c r="S85">
        <f t="shared" si="35"/>
        <v>0</v>
      </c>
      <c r="T85">
        <f t="shared" si="36"/>
        <v>0</v>
      </c>
      <c r="U85">
        <f t="shared" si="37"/>
        <v>0</v>
      </c>
      <c r="V85">
        <f t="shared" si="38"/>
        <v>0</v>
      </c>
      <c r="W85">
        <f t="shared" si="39"/>
        <v>0</v>
      </c>
      <c r="X85">
        <f t="shared" si="40"/>
        <v>0</v>
      </c>
      <c r="Y85">
        <f t="shared" si="41"/>
        <v>0</v>
      </c>
      <c r="AA85">
        <v>84185495</v>
      </c>
      <c r="AB85">
        <f t="shared" si="42"/>
        <v>2074</v>
      </c>
      <c r="AC85">
        <f t="shared" si="43"/>
        <v>2074</v>
      </c>
      <c r="AD85">
        <f t="shared" si="44"/>
        <v>0</v>
      </c>
      <c r="AE85">
        <f t="shared" si="45"/>
        <v>0</v>
      </c>
      <c r="AF85">
        <f t="shared" si="46"/>
        <v>0</v>
      </c>
      <c r="AG85">
        <f t="shared" si="47"/>
        <v>0</v>
      </c>
      <c r="AH85">
        <f t="shared" si="48"/>
        <v>0</v>
      </c>
      <c r="AI85">
        <f t="shared" si="49"/>
        <v>0</v>
      </c>
      <c r="AJ85">
        <f t="shared" si="50"/>
        <v>0</v>
      </c>
      <c r="AK85">
        <v>2074</v>
      </c>
      <c r="AL85">
        <v>2074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103</v>
      </c>
      <c r="AU85">
        <v>60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9.43</v>
      </c>
      <c r="BD85" t="s">
        <v>3</v>
      </c>
      <c r="BE85" t="s">
        <v>3</v>
      </c>
      <c r="BF85" t="s">
        <v>3</v>
      </c>
      <c r="BG85" t="s">
        <v>3</v>
      </c>
      <c r="BH85">
        <v>3</v>
      </c>
      <c r="BI85">
        <v>1</v>
      </c>
      <c r="BJ85" t="s">
        <v>161</v>
      </c>
      <c r="BM85">
        <v>33001</v>
      </c>
      <c r="BN85">
        <v>0</v>
      </c>
      <c r="BO85" t="s">
        <v>159</v>
      </c>
      <c r="BP85">
        <v>1</v>
      </c>
      <c r="BQ85">
        <v>2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103</v>
      </c>
      <c r="CA85">
        <v>60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51"/>
        <v>0</v>
      </c>
      <c r="CQ85">
        <f t="shared" si="52"/>
        <v>19557.82</v>
      </c>
      <c r="CR85">
        <f t="shared" si="53"/>
        <v>0</v>
      </c>
      <c r="CS85">
        <f t="shared" si="54"/>
        <v>0</v>
      </c>
      <c r="CT85">
        <f t="shared" si="55"/>
        <v>0</v>
      </c>
      <c r="CU85">
        <f t="shared" si="56"/>
        <v>0</v>
      </c>
      <c r="CV85">
        <f t="shared" si="57"/>
        <v>0</v>
      </c>
      <c r="CW85">
        <f t="shared" si="58"/>
        <v>0</v>
      </c>
      <c r="CX85">
        <f t="shared" si="59"/>
        <v>0</v>
      </c>
      <c r="CY85">
        <f t="shared" si="60"/>
        <v>0</v>
      </c>
      <c r="CZ85">
        <f t="shared" si="61"/>
        <v>0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1010</v>
      </c>
      <c r="DV85" t="s">
        <v>135</v>
      </c>
      <c r="DW85" t="s">
        <v>135</v>
      </c>
      <c r="DX85">
        <v>1</v>
      </c>
      <c r="DZ85" t="s">
        <v>3</v>
      </c>
      <c r="EA85" t="s">
        <v>3</v>
      </c>
      <c r="EB85" t="s">
        <v>3</v>
      </c>
      <c r="EC85" t="s">
        <v>3</v>
      </c>
      <c r="EE85">
        <v>79401925</v>
      </c>
      <c r="EF85">
        <v>2</v>
      </c>
      <c r="EG85" t="s">
        <v>19</v>
      </c>
      <c r="EH85">
        <v>27</v>
      </c>
      <c r="EI85" t="s">
        <v>20</v>
      </c>
      <c r="EJ85">
        <v>1</v>
      </c>
      <c r="EK85">
        <v>33001</v>
      </c>
      <c r="EL85" t="s">
        <v>20</v>
      </c>
      <c r="EM85" t="s">
        <v>21</v>
      </c>
      <c r="EO85" t="s">
        <v>3</v>
      </c>
      <c r="EQ85">
        <v>0</v>
      </c>
      <c r="ER85">
        <v>2074</v>
      </c>
      <c r="ES85">
        <v>2074</v>
      </c>
      <c r="ET85">
        <v>0</v>
      </c>
      <c r="EU85">
        <v>0</v>
      </c>
      <c r="EV85">
        <v>0</v>
      </c>
      <c r="EW85">
        <v>0</v>
      </c>
      <c r="EX85">
        <v>0</v>
      </c>
      <c r="FQ85">
        <v>0</v>
      </c>
      <c r="FR85">
        <f t="shared" si="62"/>
        <v>0</v>
      </c>
      <c r="FS85">
        <v>0</v>
      </c>
      <c r="FX85">
        <v>103</v>
      </c>
      <c r="FY85">
        <v>60</v>
      </c>
      <c r="GA85" t="s">
        <v>3</v>
      </c>
      <c r="GD85">
        <v>1</v>
      </c>
      <c r="GF85">
        <v>-744192612</v>
      </c>
      <c r="GG85">
        <v>2</v>
      </c>
      <c r="GH85">
        <v>1</v>
      </c>
      <c r="GI85">
        <v>2</v>
      </c>
      <c r="GJ85">
        <v>0</v>
      </c>
      <c r="GK85">
        <v>0</v>
      </c>
      <c r="GL85">
        <f t="shared" si="63"/>
        <v>0</v>
      </c>
      <c r="GM85">
        <f t="shared" si="64"/>
        <v>0</v>
      </c>
      <c r="GN85">
        <f t="shared" si="65"/>
        <v>0</v>
      </c>
      <c r="GO85">
        <f t="shared" si="66"/>
        <v>0</v>
      </c>
      <c r="GP85">
        <f t="shared" si="67"/>
        <v>0</v>
      </c>
      <c r="GR85">
        <v>0</v>
      </c>
      <c r="GS85">
        <v>3</v>
      </c>
      <c r="GT85">
        <v>0</v>
      </c>
      <c r="GU85" t="s">
        <v>3</v>
      </c>
      <c r="GV85">
        <f t="shared" si="68"/>
        <v>0</v>
      </c>
      <c r="GW85">
        <v>1</v>
      </c>
      <c r="GX85">
        <f t="shared" si="69"/>
        <v>0</v>
      </c>
      <c r="HA85">
        <v>0</v>
      </c>
      <c r="HB85">
        <v>0</v>
      </c>
      <c r="HC85">
        <f t="shared" si="70"/>
        <v>0</v>
      </c>
      <c r="HE85" t="s">
        <v>3</v>
      </c>
      <c r="HF85" t="s">
        <v>3</v>
      </c>
      <c r="HM85" t="s">
        <v>3</v>
      </c>
      <c r="HN85" t="s">
        <v>22</v>
      </c>
      <c r="HO85" t="s">
        <v>23</v>
      </c>
      <c r="HP85" t="s">
        <v>20</v>
      </c>
      <c r="HQ85" t="s">
        <v>20</v>
      </c>
      <c r="IK85">
        <v>0</v>
      </c>
    </row>
    <row r="86" spans="1:245" x14ac:dyDescent="0.2">
      <c r="A86">
        <v>17</v>
      </c>
      <c r="B86">
        <v>1</v>
      </c>
      <c r="E86" t="s">
        <v>162</v>
      </c>
      <c r="F86" t="s">
        <v>163</v>
      </c>
      <c r="G86" t="s">
        <v>164</v>
      </c>
      <c r="H86" t="s">
        <v>135</v>
      </c>
      <c r="I86">
        <v>2</v>
      </c>
      <c r="J86">
        <v>0</v>
      </c>
      <c r="K86">
        <v>2</v>
      </c>
      <c r="O86">
        <f t="shared" si="31"/>
        <v>38623.629999999997</v>
      </c>
      <c r="P86">
        <f t="shared" si="32"/>
        <v>38623.629999999997</v>
      </c>
      <c r="Q86">
        <f t="shared" si="33"/>
        <v>0</v>
      </c>
      <c r="R86">
        <f t="shared" si="34"/>
        <v>0</v>
      </c>
      <c r="S86">
        <f t="shared" si="35"/>
        <v>0</v>
      </c>
      <c r="T86">
        <f t="shared" si="36"/>
        <v>0</v>
      </c>
      <c r="U86">
        <f t="shared" si="37"/>
        <v>0</v>
      </c>
      <c r="V86">
        <f t="shared" si="38"/>
        <v>0</v>
      </c>
      <c r="W86">
        <f t="shared" si="39"/>
        <v>0</v>
      </c>
      <c r="X86">
        <f t="shared" si="40"/>
        <v>0</v>
      </c>
      <c r="Y86">
        <f t="shared" si="41"/>
        <v>0</v>
      </c>
      <c r="AA86">
        <v>84185495</v>
      </c>
      <c r="AB86">
        <f t="shared" si="42"/>
        <v>1525.42</v>
      </c>
      <c r="AC86">
        <f t="shared" si="43"/>
        <v>1525.42</v>
      </c>
      <c r="AD86">
        <f t="shared" si="44"/>
        <v>0</v>
      </c>
      <c r="AE86">
        <f t="shared" si="45"/>
        <v>0</v>
      </c>
      <c r="AF86">
        <f t="shared" si="46"/>
        <v>0</v>
      </c>
      <c r="AG86">
        <f t="shared" si="47"/>
        <v>0</v>
      </c>
      <c r="AH86">
        <f t="shared" si="48"/>
        <v>0</v>
      </c>
      <c r="AI86">
        <f t="shared" si="49"/>
        <v>0</v>
      </c>
      <c r="AJ86">
        <f t="shared" si="50"/>
        <v>0</v>
      </c>
      <c r="AK86">
        <v>1525.42</v>
      </c>
      <c r="AL86">
        <v>1525.42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12.66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1</v>
      </c>
      <c r="BJ86" t="s">
        <v>165</v>
      </c>
      <c r="BM86">
        <v>500001</v>
      </c>
      <c r="BN86">
        <v>0</v>
      </c>
      <c r="BO86" t="s">
        <v>163</v>
      </c>
      <c r="BP86">
        <v>1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0</v>
      </c>
      <c r="CA86">
        <v>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51"/>
        <v>38623.629999999997</v>
      </c>
      <c r="CQ86">
        <f t="shared" si="52"/>
        <v>19311.817200000001</v>
      </c>
      <c r="CR86">
        <f t="shared" si="53"/>
        <v>0</v>
      </c>
      <c r="CS86">
        <f t="shared" si="54"/>
        <v>0</v>
      </c>
      <c r="CT86">
        <f t="shared" si="55"/>
        <v>0</v>
      </c>
      <c r="CU86">
        <f t="shared" si="56"/>
        <v>0</v>
      </c>
      <c r="CV86">
        <f t="shared" si="57"/>
        <v>0</v>
      </c>
      <c r="CW86">
        <f t="shared" si="58"/>
        <v>0</v>
      </c>
      <c r="CX86">
        <f t="shared" si="59"/>
        <v>0</v>
      </c>
      <c r="CY86">
        <f>0</f>
        <v>0</v>
      </c>
      <c r="CZ86">
        <f>0</f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1010</v>
      </c>
      <c r="DV86" t="s">
        <v>135</v>
      </c>
      <c r="DW86" t="s">
        <v>135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79401762</v>
      </c>
      <c r="EF86">
        <v>8</v>
      </c>
      <c r="EG86" t="s">
        <v>166</v>
      </c>
      <c r="EH86">
        <v>0</v>
      </c>
      <c r="EI86" t="s">
        <v>3</v>
      </c>
      <c r="EJ86">
        <v>1</v>
      </c>
      <c r="EK86">
        <v>500001</v>
      </c>
      <c r="EL86" t="s">
        <v>167</v>
      </c>
      <c r="EM86" t="s">
        <v>168</v>
      </c>
      <c r="EO86" t="s">
        <v>3</v>
      </c>
      <c r="EQ86">
        <v>0</v>
      </c>
      <c r="ER86">
        <v>1525.42</v>
      </c>
      <c r="ES86">
        <v>1525.42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2"/>
        <v>0</v>
      </c>
      <c r="FS86">
        <v>0</v>
      </c>
      <c r="FX86">
        <v>0</v>
      </c>
      <c r="FY86">
        <v>0</v>
      </c>
      <c r="GA86" t="s">
        <v>3</v>
      </c>
      <c r="GD86">
        <v>1</v>
      </c>
      <c r="GF86">
        <v>-1757675419</v>
      </c>
      <c r="GG86">
        <v>2</v>
      </c>
      <c r="GH86">
        <v>1</v>
      </c>
      <c r="GI86">
        <v>2</v>
      </c>
      <c r="GJ86">
        <v>0</v>
      </c>
      <c r="GK86">
        <v>0</v>
      </c>
      <c r="GL86">
        <f t="shared" si="63"/>
        <v>0</v>
      </c>
      <c r="GM86">
        <f t="shared" si="64"/>
        <v>38623.629999999997</v>
      </c>
      <c r="GN86">
        <f t="shared" si="65"/>
        <v>38623.629999999997</v>
      </c>
      <c r="GO86">
        <f t="shared" si="66"/>
        <v>0</v>
      </c>
      <c r="GP86">
        <f t="shared" si="67"/>
        <v>0</v>
      </c>
      <c r="GR86">
        <v>0</v>
      </c>
      <c r="GS86">
        <v>3</v>
      </c>
      <c r="GT86">
        <v>0</v>
      </c>
      <c r="GU86" t="s">
        <v>3</v>
      </c>
      <c r="GV86">
        <f t="shared" si="68"/>
        <v>0</v>
      </c>
      <c r="GW86">
        <v>1</v>
      </c>
      <c r="GX86">
        <f t="shared" si="69"/>
        <v>0</v>
      </c>
      <c r="HA86">
        <v>0</v>
      </c>
      <c r="HB86">
        <v>0</v>
      </c>
      <c r="HC86">
        <f t="shared" si="70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IK86">
        <v>0</v>
      </c>
    </row>
    <row r="87" spans="1:245" x14ac:dyDescent="0.2">
      <c r="A87">
        <v>17</v>
      </c>
      <c r="B87">
        <v>1</v>
      </c>
      <c r="E87" t="s">
        <v>169</v>
      </c>
      <c r="F87" t="s">
        <v>170</v>
      </c>
      <c r="G87" t="s">
        <v>171</v>
      </c>
      <c r="H87" t="s">
        <v>126</v>
      </c>
      <c r="I87">
        <v>2.8459999999999999E-2</v>
      </c>
      <c r="J87">
        <v>0</v>
      </c>
      <c r="K87">
        <v>2.8459999999999999E-2</v>
      </c>
      <c r="O87">
        <f t="shared" si="31"/>
        <v>7166.09</v>
      </c>
      <c r="P87">
        <f t="shared" si="32"/>
        <v>7166.09</v>
      </c>
      <c r="Q87">
        <f t="shared" si="33"/>
        <v>0</v>
      </c>
      <c r="R87">
        <f t="shared" si="34"/>
        <v>0</v>
      </c>
      <c r="S87">
        <f t="shared" si="35"/>
        <v>0</v>
      </c>
      <c r="T87">
        <f t="shared" si="36"/>
        <v>0</v>
      </c>
      <c r="U87">
        <f t="shared" si="37"/>
        <v>0</v>
      </c>
      <c r="V87">
        <f t="shared" si="38"/>
        <v>0</v>
      </c>
      <c r="W87">
        <f t="shared" si="39"/>
        <v>0</v>
      </c>
      <c r="X87">
        <f t="shared" si="40"/>
        <v>0</v>
      </c>
      <c r="Y87">
        <f t="shared" si="41"/>
        <v>0</v>
      </c>
      <c r="AA87">
        <v>84185495</v>
      </c>
      <c r="AB87">
        <f t="shared" si="42"/>
        <v>10995.42</v>
      </c>
      <c r="AC87">
        <f t="shared" si="43"/>
        <v>10995.42</v>
      </c>
      <c r="AD87">
        <f t="shared" si="44"/>
        <v>0</v>
      </c>
      <c r="AE87">
        <f t="shared" si="45"/>
        <v>0</v>
      </c>
      <c r="AF87">
        <f t="shared" si="46"/>
        <v>0</v>
      </c>
      <c r="AG87">
        <f t="shared" si="47"/>
        <v>0</v>
      </c>
      <c r="AH87">
        <f t="shared" si="48"/>
        <v>0</v>
      </c>
      <c r="AI87">
        <f t="shared" si="49"/>
        <v>0</v>
      </c>
      <c r="AJ87">
        <f t="shared" si="50"/>
        <v>0</v>
      </c>
      <c r="AK87">
        <v>10995.42</v>
      </c>
      <c r="AL87">
        <v>10995.42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22.9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1</v>
      </c>
      <c r="BJ87" t="s">
        <v>172</v>
      </c>
      <c r="BM87">
        <v>500001</v>
      </c>
      <c r="BN87">
        <v>0</v>
      </c>
      <c r="BO87" t="s">
        <v>170</v>
      </c>
      <c r="BP87">
        <v>1</v>
      </c>
      <c r="BQ87">
        <v>8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0</v>
      </c>
      <c r="CA87">
        <v>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51"/>
        <v>7166.09</v>
      </c>
      <c r="CQ87">
        <f t="shared" si="52"/>
        <v>251795.11799999999</v>
      </c>
      <c r="CR87">
        <f t="shared" si="53"/>
        <v>0</v>
      </c>
      <c r="CS87">
        <f t="shared" si="54"/>
        <v>0</v>
      </c>
      <c r="CT87">
        <f t="shared" si="55"/>
        <v>0</v>
      </c>
      <c r="CU87">
        <f t="shared" si="56"/>
        <v>0</v>
      </c>
      <c r="CV87">
        <f t="shared" si="57"/>
        <v>0</v>
      </c>
      <c r="CW87">
        <f t="shared" si="58"/>
        <v>0</v>
      </c>
      <c r="CX87">
        <f t="shared" si="59"/>
        <v>0</v>
      </c>
      <c r="CY87">
        <f>0</f>
        <v>0</v>
      </c>
      <c r="CZ87">
        <f>0</f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1009</v>
      </c>
      <c r="DV87" t="s">
        <v>126</v>
      </c>
      <c r="DW87" t="s">
        <v>126</v>
      </c>
      <c r="DX87">
        <v>1000</v>
      </c>
      <c r="DZ87" t="s">
        <v>3</v>
      </c>
      <c r="EA87" t="s">
        <v>3</v>
      </c>
      <c r="EB87" t="s">
        <v>3</v>
      </c>
      <c r="EC87" t="s">
        <v>3</v>
      </c>
      <c r="EE87">
        <v>79401762</v>
      </c>
      <c r="EF87">
        <v>8</v>
      </c>
      <c r="EG87" t="s">
        <v>166</v>
      </c>
      <c r="EH87">
        <v>0</v>
      </c>
      <c r="EI87" t="s">
        <v>3</v>
      </c>
      <c r="EJ87">
        <v>1</v>
      </c>
      <c r="EK87">
        <v>500001</v>
      </c>
      <c r="EL87" t="s">
        <v>167</v>
      </c>
      <c r="EM87" t="s">
        <v>168</v>
      </c>
      <c r="EO87" t="s">
        <v>3</v>
      </c>
      <c r="EQ87">
        <v>0</v>
      </c>
      <c r="ER87">
        <v>10995.42</v>
      </c>
      <c r="ES87">
        <v>10995.42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FQ87">
        <v>0</v>
      </c>
      <c r="FR87">
        <f t="shared" si="62"/>
        <v>0</v>
      </c>
      <c r="FS87">
        <v>0</v>
      </c>
      <c r="FX87">
        <v>0</v>
      </c>
      <c r="FY87">
        <v>0</v>
      </c>
      <c r="GA87" t="s">
        <v>3</v>
      </c>
      <c r="GD87">
        <v>1</v>
      </c>
      <c r="GF87">
        <v>-735871856</v>
      </c>
      <c r="GG87">
        <v>2</v>
      </c>
      <c r="GH87">
        <v>1</v>
      </c>
      <c r="GI87">
        <v>2</v>
      </c>
      <c r="GJ87">
        <v>0</v>
      </c>
      <c r="GK87">
        <v>0</v>
      </c>
      <c r="GL87">
        <f t="shared" si="63"/>
        <v>0</v>
      </c>
      <c r="GM87">
        <f t="shared" si="64"/>
        <v>7166.09</v>
      </c>
      <c r="GN87">
        <f t="shared" si="65"/>
        <v>7166.09</v>
      </c>
      <c r="GO87">
        <f t="shared" si="66"/>
        <v>0</v>
      </c>
      <c r="GP87">
        <f t="shared" si="67"/>
        <v>0</v>
      </c>
      <c r="GR87">
        <v>0</v>
      </c>
      <c r="GS87">
        <v>3</v>
      </c>
      <c r="GT87">
        <v>0</v>
      </c>
      <c r="GU87" t="s">
        <v>3</v>
      </c>
      <c r="GV87">
        <f t="shared" si="68"/>
        <v>0</v>
      </c>
      <c r="GW87">
        <v>1</v>
      </c>
      <c r="GX87">
        <f t="shared" si="69"/>
        <v>0</v>
      </c>
      <c r="HA87">
        <v>0</v>
      </c>
      <c r="HB87">
        <v>0</v>
      </c>
      <c r="HC87">
        <f t="shared" si="70"/>
        <v>0</v>
      </c>
      <c r="HE87" t="s">
        <v>3</v>
      </c>
      <c r="HF87" t="s">
        <v>3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IK87">
        <v>0</v>
      </c>
    </row>
    <row r="88" spans="1:245" x14ac:dyDescent="0.2">
      <c r="A88">
        <v>17</v>
      </c>
      <c r="B88">
        <v>1</v>
      </c>
      <c r="E88" t="s">
        <v>173</v>
      </c>
      <c r="F88" t="s">
        <v>174</v>
      </c>
      <c r="G88" t="s">
        <v>175</v>
      </c>
      <c r="H88" t="s">
        <v>148</v>
      </c>
      <c r="I88">
        <v>2.36</v>
      </c>
      <c r="J88">
        <v>0</v>
      </c>
      <c r="K88">
        <v>2.36</v>
      </c>
      <c r="O88">
        <f t="shared" si="31"/>
        <v>169.64</v>
      </c>
      <c r="P88">
        <f t="shared" si="32"/>
        <v>169.64</v>
      </c>
      <c r="Q88">
        <f t="shared" si="33"/>
        <v>0</v>
      </c>
      <c r="R88">
        <f t="shared" si="34"/>
        <v>0</v>
      </c>
      <c r="S88">
        <f t="shared" si="35"/>
        <v>0</v>
      </c>
      <c r="T88">
        <f t="shared" si="36"/>
        <v>0</v>
      </c>
      <c r="U88">
        <f t="shared" si="37"/>
        <v>0</v>
      </c>
      <c r="V88">
        <f t="shared" si="38"/>
        <v>0</v>
      </c>
      <c r="W88">
        <f t="shared" si="39"/>
        <v>0</v>
      </c>
      <c r="X88">
        <f t="shared" si="40"/>
        <v>0</v>
      </c>
      <c r="Y88">
        <f t="shared" si="41"/>
        <v>0</v>
      </c>
      <c r="AA88">
        <v>84185495</v>
      </c>
      <c r="AB88">
        <f t="shared" si="42"/>
        <v>9.74</v>
      </c>
      <c r="AC88">
        <f t="shared" si="43"/>
        <v>9.74</v>
      </c>
      <c r="AD88">
        <f t="shared" si="44"/>
        <v>0</v>
      </c>
      <c r="AE88">
        <f t="shared" si="45"/>
        <v>0</v>
      </c>
      <c r="AF88">
        <f t="shared" si="46"/>
        <v>0</v>
      </c>
      <c r="AG88">
        <f t="shared" si="47"/>
        <v>0</v>
      </c>
      <c r="AH88">
        <f t="shared" si="48"/>
        <v>0</v>
      </c>
      <c r="AI88">
        <f t="shared" si="49"/>
        <v>0</v>
      </c>
      <c r="AJ88">
        <f t="shared" si="50"/>
        <v>0</v>
      </c>
      <c r="AK88">
        <v>9.74</v>
      </c>
      <c r="AL88">
        <v>9.74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7.38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1</v>
      </c>
      <c r="BJ88" t="s">
        <v>176</v>
      </c>
      <c r="BM88">
        <v>500001</v>
      </c>
      <c r="BN88">
        <v>0</v>
      </c>
      <c r="BO88" t="s">
        <v>174</v>
      </c>
      <c r="BP88">
        <v>1</v>
      </c>
      <c r="BQ88">
        <v>8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0</v>
      </c>
      <c r="CA88">
        <v>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51"/>
        <v>169.64</v>
      </c>
      <c r="CQ88">
        <f t="shared" si="52"/>
        <v>71.881200000000007</v>
      </c>
      <c r="CR88">
        <f t="shared" si="53"/>
        <v>0</v>
      </c>
      <c r="CS88">
        <f t="shared" si="54"/>
        <v>0</v>
      </c>
      <c r="CT88">
        <f t="shared" si="55"/>
        <v>0</v>
      </c>
      <c r="CU88">
        <f t="shared" si="56"/>
        <v>0</v>
      </c>
      <c r="CV88">
        <f t="shared" si="57"/>
        <v>0</v>
      </c>
      <c r="CW88">
        <f t="shared" si="58"/>
        <v>0</v>
      </c>
      <c r="CX88">
        <f t="shared" si="59"/>
        <v>0</v>
      </c>
      <c r="CY88">
        <f>0</f>
        <v>0</v>
      </c>
      <c r="CZ88">
        <f>0</f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1009</v>
      </c>
      <c r="DV88" t="s">
        <v>148</v>
      </c>
      <c r="DW88" t="s">
        <v>148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79401762</v>
      </c>
      <c r="EF88">
        <v>8</v>
      </c>
      <c r="EG88" t="s">
        <v>166</v>
      </c>
      <c r="EH88">
        <v>0</v>
      </c>
      <c r="EI88" t="s">
        <v>3</v>
      </c>
      <c r="EJ88">
        <v>1</v>
      </c>
      <c r="EK88">
        <v>500001</v>
      </c>
      <c r="EL88" t="s">
        <v>167</v>
      </c>
      <c r="EM88" t="s">
        <v>168</v>
      </c>
      <c r="EO88" t="s">
        <v>3</v>
      </c>
      <c r="EQ88">
        <v>0</v>
      </c>
      <c r="ER88">
        <v>9.74</v>
      </c>
      <c r="ES88">
        <v>9.74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FQ88">
        <v>0</v>
      </c>
      <c r="FR88">
        <f t="shared" si="62"/>
        <v>0</v>
      </c>
      <c r="FS88">
        <v>0</v>
      </c>
      <c r="FX88">
        <v>0</v>
      </c>
      <c r="FY88">
        <v>0</v>
      </c>
      <c r="GA88" t="s">
        <v>3</v>
      </c>
      <c r="GD88">
        <v>1</v>
      </c>
      <c r="GF88">
        <v>-262877765</v>
      </c>
      <c r="GG88">
        <v>2</v>
      </c>
      <c r="GH88">
        <v>1</v>
      </c>
      <c r="GI88">
        <v>2</v>
      </c>
      <c r="GJ88">
        <v>0</v>
      </c>
      <c r="GK88">
        <v>0</v>
      </c>
      <c r="GL88">
        <f t="shared" si="63"/>
        <v>0</v>
      </c>
      <c r="GM88">
        <f t="shared" si="64"/>
        <v>169.64</v>
      </c>
      <c r="GN88">
        <f t="shared" si="65"/>
        <v>169.64</v>
      </c>
      <c r="GO88">
        <f t="shared" si="66"/>
        <v>0</v>
      </c>
      <c r="GP88">
        <f t="shared" si="67"/>
        <v>0</v>
      </c>
      <c r="GR88">
        <v>0</v>
      </c>
      <c r="GS88">
        <v>3</v>
      </c>
      <c r="GT88">
        <v>0</v>
      </c>
      <c r="GU88" t="s">
        <v>3</v>
      </c>
      <c r="GV88">
        <f t="shared" si="68"/>
        <v>0</v>
      </c>
      <c r="GW88">
        <v>1</v>
      </c>
      <c r="GX88">
        <f t="shared" si="69"/>
        <v>0</v>
      </c>
      <c r="HA88">
        <v>0</v>
      </c>
      <c r="HB88">
        <v>0</v>
      </c>
      <c r="HC88">
        <f t="shared" si="70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IK88">
        <v>0</v>
      </c>
    </row>
    <row r="89" spans="1:245" x14ac:dyDescent="0.2">
      <c r="A89">
        <v>17</v>
      </c>
      <c r="B89">
        <v>1</v>
      </c>
      <c r="E89" t="s">
        <v>177</v>
      </c>
      <c r="F89" t="s">
        <v>178</v>
      </c>
      <c r="G89" t="s">
        <v>179</v>
      </c>
      <c r="H89" t="s">
        <v>126</v>
      </c>
      <c r="I89">
        <v>5.169E-3</v>
      </c>
      <c r="J89">
        <v>0</v>
      </c>
      <c r="K89">
        <v>5.169E-3</v>
      </c>
      <c r="O89">
        <f t="shared" si="31"/>
        <v>367.31</v>
      </c>
      <c r="P89">
        <f t="shared" si="32"/>
        <v>367.31</v>
      </c>
      <c r="Q89">
        <f t="shared" si="33"/>
        <v>0</v>
      </c>
      <c r="R89">
        <f t="shared" si="34"/>
        <v>0</v>
      </c>
      <c r="S89">
        <f t="shared" si="35"/>
        <v>0</v>
      </c>
      <c r="T89">
        <f t="shared" si="36"/>
        <v>0</v>
      </c>
      <c r="U89">
        <f t="shared" si="37"/>
        <v>0</v>
      </c>
      <c r="V89">
        <f t="shared" si="38"/>
        <v>0</v>
      </c>
      <c r="W89">
        <f t="shared" si="39"/>
        <v>0</v>
      </c>
      <c r="X89">
        <f t="shared" si="40"/>
        <v>0</v>
      </c>
      <c r="Y89">
        <f t="shared" si="41"/>
        <v>0</v>
      </c>
      <c r="AA89">
        <v>84185495</v>
      </c>
      <c r="AB89">
        <f t="shared" si="42"/>
        <v>6813</v>
      </c>
      <c r="AC89">
        <f t="shared" si="43"/>
        <v>6813</v>
      </c>
      <c r="AD89">
        <f t="shared" si="44"/>
        <v>0</v>
      </c>
      <c r="AE89">
        <f t="shared" si="45"/>
        <v>0</v>
      </c>
      <c r="AF89">
        <f t="shared" si="46"/>
        <v>0</v>
      </c>
      <c r="AG89">
        <f t="shared" si="47"/>
        <v>0</v>
      </c>
      <c r="AH89">
        <f t="shared" si="48"/>
        <v>0</v>
      </c>
      <c r="AI89">
        <f t="shared" si="49"/>
        <v>0</v>
      </c>
      <c r="AJ89">
        <f t="shared" si="50"/>
        <v>0</v>
      </c>
      <c r="AK89">
        <v>6813</v>
      </c>
      <c r="AL89">
        <v>6813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10.43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1</v>
      </c>
      <c r="BJ89" t="s">
        <v>180</v>
      </c>
      <c r="BM89">
        <v>500001</v>
      </c>
      <c r="BN89">
        <v>0</v>
      </c>
      <c r="BO89" t="s">
        <v>178</v>
      </c>
      <c r="BP89">
        <v>1</v>
      </c>
      <c r="BQ89">
        <v>8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0</v>
      </c>
      <c r="CA89">
        <v>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51"/>
        <v>367.31</v>
      </c>
      <c r="CQ89">
        <f t="shared" si="52"/>
        <v>71059.59</v>
      </c>
      <c r="CR89">
        <f t="shared" si="53"/>
        <v>0</v>
      </c>
      <c r="CS89">
        <f t="shared" si="54"/>
        <v>0</v>
      </c>
      <c r="CT89">
        <f t="shared" si="55"/>
        <v>0</v>
      </c>
      <c r="CU89">
        <f t="shared" si="56"/>
        <v>0</v>
      </c>
      <c r="CV89">
        <f t="shared" si="57"/>
        <v>0</v>
      </c>
      <c r="CW89">
        <f t="shared" si="58"/>
        <v>0</v>
      </c>
      <c r="CX89">
        <f t="shared" si="59"/>
        <v>0</v>
      </c>
      <c r="CY89">
        <f>0</f>
        <v>0</v>
      </c>
      <c r="CZ89">
        <f>0</f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1009</v>
      </c>
      <c r="DV89" t="s">
        <v>126</v>
      </c>
      <c r="DW89" t="s">
        <v>126</v>
      </c>
      <c r="DX89">
        <v>1000</v>
      </c>
      <c r="DZ89" t="s">
        <v>3</v>
      </c>
      <c r="EA89" t="s">
        <v>3</v>
      </c>
      <c r="EB89" t="s">
        <v>3</v>
      </c>
      <c r="EC89" t="s">
        <v>3</v>
      </c>
      <c r="EE89">
        <v>79401762</v>
      </c>
      <c r="EF89">
        <v>8</v>
      </c>
      <c r="EG89" t="s">
        <v>166</v>
      </c>
      <c r="EH89">
        <v>0</v>
      </c>
      <c r="EI89" t="s">
        <v>3</v>
      </c>
      <c r="EJ89">
        <v>1</v>
      </c>
      <c r="EK89">
        <v>500001</v>
      </c>
      <c r="EL89" t="s">
        <v>167</v>
      </c>
      <c r="EM89" t="s">
        <v>168</v>
      </c>
      <c r="EO89" t="s">
        <v>3</v>
      </c>
      <c r="EQ89">
        <v>0</v>
      </c>
      <c r="ER89">
        <v>6813</v>
      </c>
      <c r="ES89">
        <v>6813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FQ89">
        <v>0</v>
      </c>
      <c r="FR89">
        <f t="shared" si="62"/>
        <v>0</v>
      </c>
      <c r="FS89">
        <v>0</v>
      </c>
      <c r="FX89">
        <v>0</v>
      </c>
      <c r="FY89">
        <v>0</v>
      </c>
      <c r="GA89" t="s">
        <v>3</v>
      </c>
      <c r="GD89">
        <v>1</v>
      </c>
      <c r="GF89">
        <v>-1375793846</v>
      </c>
      <c r="GG89">
        <v>2</v>
      </c>
      <c r="GH89">
        <v>1</v>
      </c>
      <c r="GI89">
        <v>2</v>
      </c>
      <c r="GJ89">
        <v>0</v>
      </c>
      <c r="GK89">
        <v>0</v>
      </c>
      <c r="GL89">
        <f t="shared" si="63"/>
        <v>0</v>
      </c>
      <c r="GM89">
        <f t="shared" si="64"/>
        <v>367.31</v>
      </c>
      <c r="GN89">
        <f t="shared" si="65"/>
        <v>367.31</v>
      </c>
      <c r="GO89">
        <f t="shared" si="66"/>
        <v>0</v>
      </c>
      <c r="GP89">
        <f t="shared" si="67"/>
        <v>0</v>
      </c>
      <c r="GR89">
        <v>0</v>
      </c>
      <c r="GS89">
        <v>3</v>
      </c>
      <c r="GT89">
        <v>0</v>
      </c>
      <c r="GU89" t="s">
        <v>3</v>
      </c>
      <c r="GV89">
        <f t="shared" si="68"/>
        <v>0</v>
      </c>
      <c r="GW89">
        <v>1</v>
      </c>
      <c r="GX89">
        <f t="shared" si="69"/>
        <v>0</v>
      </c>
      <c r="HA89">
        <v>0</v>
      </c>
      <c r="HB89">
        <v>0</v>
      </c>
      <c r="HC89">
        <f t="shared" si="70"/>
        <v>0</v>
      </c>
      <c r="HE89" t="s">
        <v>3</v>
      </c>
      <c r="HF89" t="s">
        <v>3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IK89">
        <v>0</v>
      </c>
    </row>
    <row r="90" spans="1:245" x14ac:dyDescent="0.2">
      <c r="A90">
        <v>17</v>
      </c>
      <c r="B90">
        <v>1</v>
      </c>
      <c r="E90" t="s">
        <v>181</v>
      </c>
      <c r="F90" t="s">
        <v>182</v>
      </c>
      <c r="G90" t="s">
        <v>183</v>
      </c>
      <c r="H90" t="s">
        <v>135</v>
      </c>
      <c r="I90">
        <v>3</v>
      </c>
      <c r="J90">
        <v>0</v>
      </c>
      <c r="K90">
        <v>3</v>
      </c>
      <c r="O90">
        <f t="shared" si="31"/>
        <v>874.17</v>
      </c>
      <c r="P90">
        <f t="shared" si="32"/>
        <v>874.17</v>
      </c>
      <c r="Q90">
        <f t="shared" si="33"/>
        <v>0</v>
      </c>
      <c r="R90">
        <f t="shared" si="34"/>
        <v>0</v>
      </c>
      <c r="S90">
        <f t="shared" si="35"/>
        <v>0</v>
      </c>
      <c r="T90">
        <f t="shared" si="36"/>
        <v>0</v>
      </c>
      <c r="U90">
        <f t="shared" si="37"/>
        <v>0</v>
      </c>
      <c r="V90">
        <f t="shared" si="38"/>
        <v>0</v>
      </c>
      <c r="W90">
        <f t="shared" si="39"/>
        <v>0</v>
      </c>
      <c r="X90">
        <f t="shared" si="40"/>
        <v>0</v>
      </c>
      <c r="Y90">
        <f t="shared" si="41"/>
        <v>0</v>
      </c>
      <c r="AA90">
        <v>84185495</v>
      </c>
      <c r="AB90">
        <f t="shared" si="42"/>
        <v>43.95</v>
      </c>
      <c r="AC90">
        <f t="shared" si="43"/>
        <v>43.95</v>
      </c>
      <c r="AD90">
        <f t="shared" si="44"/>
        <v>0</v>
      </c>
      <c r="AE90">
        <f t="shared" si="45"/>
        <v>0</v>
      </c>
      <c r="AF90">
        <f t="shared" si="46"/>
        <v>0</v>
      </c>
      <c r="AG90">
        <f t="shared" si="47"/>
        <v>0</v>
      </c>
      <c r="AH90">
        <f t="shared" si="48"/>
        <v>0</v>
      </c>
      <c r="AI90">
        <f t="shared" si="49"/>
        <v>0</v>
      </c>
      <c r="AJ90">
        <f t="shared" si="50"/>
        <v>0</v>
      </c>
      <c r="AK90">
        <v>43.95</v>
      </c>
      <c r="AL90">
        <v>43.95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6.63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1</v>
      </c>
      <c r="BJ90" t="s">
        <v>184</v>
      </c>
      <c r="BM90">
        <v>500001</v>
      </c>
      <c r="BN90">
        <v>0</v>
      </c>
      <c r="BO90" t="s">
        <v>182</v>
      </c>
      <c r="BP90">
        <v>1</v>
      </c>
      <c r="BQ90">
        <v>8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0</v>
      </c>
      <c r="CA90">
        <v>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51"/>
        <v>874.17</v>
      </c>
      <c r="CQ90">
        <f t="shared" si="52"/>
        <v>291.38850000000002</v>
      </c>
      <c r="CR90">
        <f t="shared" si="53"/>
        <v>0</v>
      </c>
      <c r="CS90">
        <f t="shared" si="54"/>
        <v>0</v>
      </c>
      <c r="CT90">
        <f t="shared" si="55"/>
        <v>0</v>
      </c>
      <c r="CU90">
        <f t="shared" si="56"/>
        <v>0</v>
      </c>
      <c r="CV90">
        <f t="shared" si="57"/>
        <v>0</v>
      </c>
      <c r="CW90">
        <f t="shared" si="58"/>
        <v>0</v>
      </c>
      <c r="CX90">
        <f t="shared" si="59"/>
        <v>0</v>
      </c>
      <c r="CY90">
        <f>0</f>
        <v>0</v>
      </c>
      <c r="CZ90">
        <f>0</f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1010</v>
      </c>
      <c r="DV90" t="s">
        <v>135</v>
      </c>
      <c r="DW90" t="s">
        <v>135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79401762</v>
      </c>
      <c r="EF90">
        <v>8</v>
      </c>
      <c r="EG90" t="s">
        <v>166</v>
      </c>
      <c r="EH90">
        <v>0</v>
      </c>
      <c r="EI90" t="s">
        <v>3</v>
      </c>
      <c r="EJ90">
        <v>1</v>
      </c>
      <c r="EK90">
        <v>500001</v>
      </c>
      <c r="EL90" t="s">
        <v>167</v>
      </c>
      <c r="EM90" t="s">
        <v>168</v>
      </c>
      <c r="EO90" t="s">
        <v>3</v>
      </c>
      <c r="EQ90">
        <v>0</v>
      </c>
      <c r="ER90">
        <v>43.95</v>
      </c>
      <c r="ES90">
        <v>43.95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FQ90">
        <v>0</v>
      </c>
      <c r="FR90">
        <f t="shared" si="62"/>
        <v>0</v>
      </c>
      <c r="FS90">
        <v>0</v>
      </c>
      <c r="FX90">
        <v>0</v>
      </c>
      <c r="FY90">
        <v>0</v>
      </c>
      <c r="GA90" t="s">
        <v>3</v>
      </c>
      <c r="GD90">
        <v>1</v>
      </c>
      <c r="GF90">
        <v>-1794469599</v>
      </c>
      <c r="GG90">
        <v>2</v>
      </c>
      <c r="GH90">
        <v>1</v>
      </c>
      <c r="GI90">
        <v>2</v>
      </c>
      <c r="GJ90">
        <v>0</v>
      </c>
      <c r="GK90">
        <v>0</v>
      </c>
      <c r="GL90">
        <f t="shared" si="63"/>
        <v>0</v>
      </c>
      <c r="GM90">
        <f t="shared" si="64"/>
        <v>874.17</v>
      </c>
      <c r="GN90">
        <f t="shared" si="65"/>
        <v>874.17</v>
      </c>
      <c r="GO90">
        <f t="shared" si="66"/>
        <v>0</v>
      </c>
      <c r="GP90">
        <f t="shared" si="67"/>
        <v>0</v>
      </c>
      <c r="GR90">
        <v>0</v>
      </c>
      <c r="GS90">
        <v>3</v>
      </c>
      <c r="GT90">
        <v>0</v>
      </c>
      <c r="GU90" t="s">
        <v>3</v>
      </c>
      <c r="GV90">
        <f t="shared" si="68"/>
        <v>0</v>
      </c>
      <c r="GW90">
        <v>1</v>
      </c>
      <c r="GX90">
        <f t="shared" si="69"/>
        <v>0</v>
      </c>
      <c r="HA90">
        <v>0</v>
      </c>
      <c r="HB90">
        <v>0</v>
      </c>
      <c r="HC90">
        <f t="shared" si="70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IK90">
        <v>0</v>
      </c>
    </row>
    <row r="91" spans="1:245" x14ac:dyDescent="0.2">
      <c r="A91">
        <v>17</v>
      </c>
      <c r="B91">
        <v>1</v>
      </c>
      <c r="E91" t="s">
        <v>185</v>
      </c>
      <c r="F91" t="s">
        <v>186</v>
      </c>
      <c r="G91" t="s">
        <v>187</v>
      </c>
      <c r="H91" t="s">
        <v>135</v>
      </c>
      <c r="I91">
        <v>3</v>
      </c>
      <c r="J91">
        <v>0</v>
      </c>
      <c r="K91">
        <v>3</v>
      </c>
      <c r="O91">
        <f t="shared" si="31"/>
        <v>2257.6999999999998</v>
      </c>
      <c r="P91">
        <f t="shared" si="32"/>
        <v>2257.6999999999998</v>
      </c>
      <c r="Q91">
        <f t="shared" si="33"/>
        <v>0</v>
      </c>
      <c r="R91">
        <f t="shared" si="34"/>
        <v>0</v>
      </c>
      <c r="S91">
        <f t="shared" si="35"/>
        <v>0</v>
      </c>
      <c r="T91">
        <f t="shared" si="36"/>
        <v>0</v>
      </c>
      <c r="U91">
        <f t="shared" si="37"/>
        <v>0</v>
      </c>
      <c r="V91">
        <f t="shared" si="38"/>
        <v>0</v>
      </c>
      <c r="W91">
        <f t="shared" si="39"/>
        <v>0</v>
      </c>
      <c r="X91">
        <f t="shared" si="40"/>
        <v>0</v>
      </c>
      <c r="Y91">
        <f t="shared" si="41"/>
        <v>0</v>
      </c>
      <c r="AA91">
        <v>84185495</v>
      </c>
      <c r="AB91">
        <f t="shared" si="42"/>
        <v>90.78</v>
      </c>
      <c r="AC91">
        <f t="shared" si="43"/>
        <v>90.78</v>
      </c>
      <c r="AD91">
        <f t="shared" si="44"/>
        <v>0</v>
      </c>
      <c r="AE91">
        <f t="shared" si="45"/>
        <v>0</v>
      </c>
      <c r="AF91">
        <f t="shared" si="46"/>
        <v>0</v>
      </c>
      <c r="AG91">
        <f t="shared" si="47"/>
        <v>0</v>
      </c>
      <c r="AH91">
        <f t="shared" si="48"/>
        <v>0</v>
      </c>
      <c r="AI91">
        <f t="shared" si="49"/>
        <v>0</v>
      </c>
      <c r="AJ91">
        <f t="shared" si="50"/>
        <v>0</v>
      </c>
      <c r="AK91">
        <v>90.78</v>
      </c>
      <c r="AL91">
        <v>90.78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8.2899999999999991</v>
      </c>
      <c r="BD91" t="s">
        <v>3</v>
      </c>
      <c r="BE91" t="s">
        <v>3</v>
      </c>
      <c r="BF91" t="s">
        <v>3</v>
      </c>
      <c r="BG91" t="s">
        <v>3</v>
      </c>
      <c r="BH91">
        <v>3</v>
      </c>
      <c r="BI91">
        <v>2</v>
      </c>
      <c r="BJ91" t="s">
        <v>188</v>
      </c>
      <c r="BM91">
        <v>500002</v>
      </c>
      <c r="BN91">
        <v>0</v>
      </c>
      <c r="BO91" t="s">
        <v>186</v>
      </c>
      <c r="BP91">
        <v>1</v>
      </c>
      <c r="BQ91">
        <v>12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0</v>
      </c>
      <c r="CA91">
        <v>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51"/>
        <v>2257.6999999999998</v>
      </c>
      <c r="CQ91">
        <f t="shared" si="52"/>
        <v>752.56619999999998</v>
      </c>
      <c r="CR91">
        <f t="shared" si="53"/>
        <v>0</v>
      </c>
      <c r="CS91">
        <f t="shared" si="54"/>
        <v>0</v>
      </c>
      <c r="CT91">
        <f t="shared" si="55"/>
        <v>0</v>
      </c>
      <c r="CU91">
        <f t="shared" si="56"/>
        <v>0</v>
      </c>
      <c r="CV91">
        <f t="shared" si="57"/>
        <v>0</v>
      </c>
      <c r="CW91">
        <f t="shared" si="58"/>
        <v>0</v>
      </c>
      <c r="CX91">
        <f t="shared" si="59"/>
        <v>0</v>
      </c>
      <c r="CY91">
        <f>0</f>
        <v>0</v>
      </c>
      <c r="CZ91">
        <f>0</f>
        <v>0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1010</v>
      </c>
      <c r="DV91" t="s">
        <v>135</v>
      </c>
      <c r="DW91" t="s">
        <v>135</v>
      </c>
      <c r="DX91">
        <v>1</v>
      </c>
      <c r="DZ91" t="s">
        <v>3</v>
      </c>
      <c r="EA91" t="s">
        <v>3</v>
      </c>
      <c r="EB91" t="s">
        <v>3</v>
      </c>
      <c r="EC91" t="s">
        <v>3</v>
      </c>
      <c r="EE91">
        <v>79401763</v>
      </c>
      <c r="EF91">
        <v>12</v>
      </c>
      <c r="EG91" t="s">
        <v>189</v>
      </c>
      <c r="EH91">
        <v>0</v>
      </c>
      <c r="EI91" t="s">
        <v>3</v>
      </c>
      <c r="EJ91">
        <v>2</v>
      </c>
      <c r="EK91">
        <v>500002</v>
      </c>
      <c r="EL91" t="s">
        <v>190</v>
      </c>
      <c r="EM91" t="s">
        <v>191</v>
      </c>
      <c r="EO91" t="s">
        <v>3</v>
      </c>
      <c r="EQ91">
        <v>0</v>
      </c>
      <c r="ER91">
        <v>90.78</v>
      </c>
      <c r="ES91">
        <v>90.78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FQ91">
        <v>0</v>
      </c>
      <c r="FR91">
        <f t="shared" si="62"/>
        <v>0</v>
      </c>
      <c r="FS91">
        <v>0</v>
      </c>
      <c r="FX91">
        <v>0</v>
      </c>
      <c r="FY91">
        <v>0</v>
      </c>
      <c r="GA91" t="s">
        <v>3</v>
      </c>
      <c r="GD91">
        <v>1</v>
      </c>
      <c r="GF91">
        <v>1038320011</v>
      </c>
      <c r="GG91">
        <v>2</v>
      </c>
      <c r="GH91">
        <v>1</v>
      </c>
      <c r="GI91">
        <v>2</v>
      </c>
      <c r="GJ91">
        <v>0</v>
      </c>
      <c r="GK91">
        <v>0</v>
      </c>
      <c r="GL91">
        <f t="shared" si="63"/>
        <v>0</v>
      </c>
      <c r="GM91">
        <f t="shared" si="64"/>
        <v>2257.6999999999998</v>
      </c>
      <c r="GN91">
        <f t="shared" si="65"/>
        <v>0</v>
      </c>
      <c r="GO91">
        <f t="shared" si="66"/>
        <v>2257.6999999999998</v>
      </c>
      <c r="GP91">
        <f t="shared" si="67"/>
        <v>0</v>
      </c>
      <c r="GR91">
        <v>0</v>
      </c>
      <c r="GS91">
        <v>3</v>
      </c>
      <c r="GT91">
        <v>0</v>
      </c>
      <c r="GU91" t="s">
        <v>3</v>
      </c>
      <c r="GV91">
        <f t="shared" si="68"/>
        <v>0</v>
      </c>
      <c r="GW91">
        <v>1</v>
      </c>
      <c r="GX91">
        <f t="shared" si="69"/>
        <v>0</v>
      </c>
      <c r="HA91">
        <v>0</v>
      </c>
      <c r="HB91">
        <v>0</v>
      </c>
      <c r="HC91">
        <f t="shared" si="70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IK91">
        <v>0</v>
      </c>
    </row>
    <row r="92" spans="1:245" x14ac:dyDescent="0.2">
      <c r="A92">
        <v>17</v>
      </c>
      <c r="B92">
        <v>1</v>
      </c>
      <c r="E92" t="s">
        <v>192</v>
      </c>
      <c r="F92" t="s">
        <v>193</v>
      </c>
      <c r="G92" t="s">
        <v>194</v>
      </c>
      <c r="H92" t="s">
        <v>135</v>
      </c>
      <c r="I92">
        <v>3</v>
      </c>
      <c r="J92">
        <v>0</v>
      </c>
      <c r="K92">
        <v>3</v>
      </c>
      <c r="O92">
        <f t="shared" si="31"/>
        <v>545.82000000000005</v>
      </c>
      <c r="P92">
        <f t="shared" si="32"/>
        <v>545.82000000000005</v>
      </c>
      <c r="Q92">
        <f t="shared" si="33"/>
        <v>0</v>
      </c>
      <c r="R92">
        <f t="shared" si="34"/>
        <v>0</v>
      </c>
      <c r="S92">
        <f t="shared" si="35"/>
        <v>0</v>
      </c>
      <c r="T92">
        <f t="shared" si="36"/>
        <v>0</v>
      </c>
      <c r="U92">
        <f t="shared" si="37"/>
        <v>0</v>
      </c>
      <c r="V92">
        <f t="shared" si="38"/>
        <v>0</v>
      </c>
      <c r="W92">
        <f t="shared" si="39"/>
        <v>0</v>
      </c>
      <c r="X92">
        <f t="shared" si="40"/>
        <v>0</v>
      </c>
      <c r="Y92">
        <f t="shared" si="41"/>
        <v>0</v>
      </c>
      <c r="AA92">
        <v>84185495</v>
      </c>
      <c r="AB92">
        <f t="shared" si="42"/>
        <v>36.979999999999997</v>
      </c>
      <c r="AC92">
        <f t="shared" si="43"/>
        <v>36.979999999999997</v>
      </c>
      <c r="AD92">
        <f t="shared" si="44"/>
        <v>0</v>
      </c>
      <c r="AE92">
        <f t="shared" si="45"/>
        <v>0</v>
      </c>
      <c r="AF92">
        <f t="shared" si="46"/>
        <v>0</v>
      </c>
      <c r="AG92">
        <f t="shared" si="47"/>
        <v>0</v>
      </c>
      <c r="AH92">
        <f t="shared" si="48"/>
        <v>0</v>
      </c>
      <c r="AI92">
        <f t="shared" si="49"/>
        <v>0</v>
      </c>
      <c r="AJ92">
        <f t="shared" si="50"/>
        <v>0</v>
      </c>
      <c r="AK92">
        <v>36.979999999999997</v>
      </c>
      <c r="AL92">
        <v>36.979999999999997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4.92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1</v>
      </c>
      <c r="BJ92" t="s">
        <v>195</v>
      </c>
      <c r="BM92">
        <v>500001</v>
      </c>
      <c r="BN92">
        <v>0</v>
      </c>
      <c r="BO92" t="s">
        <v>193</v>
      </c>
      <c r="BP92">
        <v>1</v>
      </c>
      <c r="BQ92">
        <v>8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0</v>
      </c>
      <c r="CA92">
        <v>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51"/>
        <v>545.82000000000005</v>
      </c>
      <c r="CQ92">
        <f t="shared" si="52"/>
        <v>181.94159999999999</v>
      </c>
      <c r="CR92">
        <f t="shared" si="53"/>
        <v>0</v>
      </c>
      <c r="CS92">
        <f t="shared" si="54"/>
        <v>0</v>
      </c>
      <c r="CT92">
        <f t="shared" si="55"/>
        <v>0</v>
      </c>
      <c r="CU92">
        <f t="shared" si="56"/>
        <v>0</v>
      </c>
      <c r="CV92">
        <f t="shared" si="57"/>
        <v>0</v>
      </c>
      <c r="CW92">
        <f t="shared" si="58"/>
        <v>0</v>
      </c>
      <c r="CX92">
        <f t="shared" si="59"/>
        <v>0</v>
      </c>
      <c r="CY92">
        <f>0</f>
        <v>0</v>
      </c>
      <c r="CZ92">
        <f>0</f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1010</v>
      </c>
      <c r="DV92" t="s">
        <v>135</v>
      </c>
      <c r="DW92" t="s">
        <v>135</v>
      </c>
      <c r="DX92">
        <v>1</v>
      </c>
      <c r="DZ92" t="s">
        <v>3</v>
      </c>
      <c r="EA92" t="s">
        <v>3</v>
      </c>
      <c r="EB92" t="s">
        <v>3</v>
      </c>
      <c r="EC92" t="s">
        <v>3</v>
      </c>
      <c r="EE92">
        <v>79401762</v>
      </c>
      <c r="EF92">
        <v>8</v>
      </c>
      <c r="EG92" t="s">
        <v>166</v>
      </c>
      <c r="EH92">
        <v>0</v>
      </c>
      <c r="EI92" t="s">
        <v>3</v>
      </c>
      <c r="EJ92">
        <v>1</v>
      </c>
      <c r="EK92">
        <v>500001</v>
      </c>
      <c r="EL92" t="s">
        <v>167</v>
      </c>
      <c r="EM92" t="s">
        <v>168</v>
      </c>
      <c r="EO92" t="s">
        <v>3</v>
      </c>
      <c r="EQ92">
        <v>0</v>
      </c>
      <c r="ER92">
        <v>36.979999999999997</v>
      </c>
      <c r="ES92">
        <v>36.979999999999997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FQ92">
        <v>0</v>
      </c>
      <c r="FR92">
        <f t="shared" si="62"/>
        <v>0</v>
      </c>
      <c r="FS92">
        <v>0</v>
      </c>
      <c r="FX92">
        <v>0</v>
      </c>
      <c r="FY92">
        <v>0</v>
      </c>
      <c r="GA92" t="s">
        <v>3</v>
      </c>
      <c r="GD92">
        <v>1</v>
      </c>
      <c r="GF92">
        <v>-367802843</v>
      </c>
      <c r="GG92">
        <v>2</v>
      </c>
      <c r="GH92">
        <v>1</v>
      </c>
      <c r="GI92">
        <v>2</v>
      </c>
      <c r="GJ92">
        <v>0</v>
      </c>
      <c r="GK92">
        <v>0</v>
      </c>
      <c r="GL92">
        <f t="shared" si="63"/>
        <v>0</v>
      </c>
      <c r="GM92">
        <f t="shared" si="64"/>
        <v>545.82000000000005</v>
      </c>
      <c r="GN92">
        <f t="shared" si="65"/>
        <v>545.82000000000005</v>
      </c>
      <c r="GO92">
        <f t="shared" si="66"/>
        <v>0</v>
      </c>
      <c r="GP92">
        <f t="shared" si="67"/>
        <v>0</v>
      </c>
      <c r="GR92">
        <v>0</v>
      </c>
      <c r="GS92">
        <v>3</v>
      </c>
      <c r="GT92">
        <v>0</v>
      </c>
      <c r="GU92" t="s">
        <v>3</v>
      </c>
      <c r="GV92">
        <f t="shared" si="68"/>
        <v>0</v>
      </c>
      <c r="GW92">
        <v>1</v>
      </c>
      <c r="GX92">
        <f t="shared" si="69"/>
        <v>0</v>
      </c>
      <c r="HA92">
        <v>0</v>
      </c>
      <c r="HB92">
        <v>0</v>
      </c>
      <c r="HC92">
        <f t="shared" si="70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IK92">
        <v>0</v>
      </c>
    </row>
    <row r="93" spans="1:245" x14ac:dyDescent="0.2">
      <c r="A93">
        <v>17</v>
      </c>
      <c r="B93">
        <v>1</v>
      </c>
      <c r="E93" t="s">
        <v>196</v>
      </c>
      <c r="F93" t="s">
        <v>197</v>
      </c>
      <c r="G93" t="s">
        <v>198</v>
      </c>
      <c r="H93" t="s">
        <v>135</v>
      </c>
      <c r="I93">
        <v>3</v>
      </c>
      <c r="J93">
        <v>0</v>
      </c>
      <c r="K93">
        <v>3</v>
      </c>
      <c r="O93">
        <f t="shared" si="31"/>
        <v>538.79</v>
      </c>
      <c r="P93">
        <f t="shared" si="32"/>
        <v>538.79</v>
      </c>
      <c r="Q93">
        <f t="shared" si="33"/>
        <v>0</v>
      </c>
      <c r="R93">
        <f t="shared" si="34"/>
        <v>0</v>
      </c>
      <c r="S93">
        <f t="shared" si="35"/>
        <v>0</v>
      </c>
      <c r="T93">
        <f t="shared" si="36"/>
        <v>0</v>
      </c>
      <c r="U93">
        <f t="shared" si="37"/>
        <v>0</v>
      </c>
      <c r="V93">
        <f t="shared" si="38"/>
        <v>0</v>
      </c>
      <c r="W93">
        <f t="shared" si="39"/>
        <v>0</v>
      </c>
      <c r="X93">
        <f t="shared" si="40"/>
        <v>0</v>
      </c>
      <c r="Y93">
        <f t="shared" si="41"/>
        <v>0</v>
      </c>
      <c r="AA93">
        <v>84185495</v>
      </c>
      <c r="AB93">
        <f t="shared" si="42"/>
        <v>39.909999999999997</v>
      </c>
      <c r="AC93">
        <f t="shared" si="43"/>
        <v>39.909999999999997</v>
      </c>
      <c r="AD93">
        <f t="shared" si="44"/>
        <v>0</v>
      </c>
      <c r="AE93">
        <f t="shared" si="45"/>
        <v>0</v>
      </c>
      <c r="AF93">
        <f t="shared" si="46"/>
        <v>0</v>
      </c>
      <c r="AG93">
        <f t="shared" si="47"/>
        <v>0</v>
      </c>
      <c r="AH93">
        <f t="shared" si="48"/>
        <v>0</v>
      </c>
      <c r="AI93">
        <f t="shared" si="49"/>
        <v>0</v>
      </c>
      <c r="AJ93">
        <f t="shared" si="50"/>
        <v>0</v>
      </c>
      <c r="AK93">
        <v>39.909999999999997</v>
      </c>
      <c r="AL93">
        <v>39.909999999999997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4.5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2</v>
      </c>
      <c r="BJ93" t="s">
        <v>199</v>
      </c>
      <c r="BM93">
        <v>500002</v>
      </c>
      <c r="BN93">
        <v>0</v>
      </c>
      <c r="BO93" t="s">
        <v>197</v>
      </c>
      <c r="BP93">
        <v>1</v>
      </c>
      <c r="BQ93">
        <v>12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0</v>
      </c>
      <c r="CA93">
        <v>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51"/>
        <v>538.79</v>
      </c>
      <c r="CQ93">
        <f t="shared" si="52"/>
        <v>179.59499999999997</v>
      </c>
      <c r="CR93">
        <f t="shared" si="53"/>
        <v>0</v>
      </c>
      <c r="CS93">
        <f t="shared" si="54"/>
        <v>0</v>
      </c>
      <c r="CT93">
        <f t="shared" si="55"/>
        <v>0</v>
      </c>
      <c r="CU93">
        <f t="shared" si="56"/>
        <v>0</v>
      </c>
      <c r="CV93">
        <f t="shared" si="57"/>
        <v>0</v>
      </c>
      <c r="CW93">
        <f t="shared" si="58"/>
        <v>0</v>
      </c>
      <c r="CX93">
        <f t="shared" si="59"/>
        <v>0</v>
      </c>
      <c r="CY93">
        <f>0</f>
        <v>0</v>
      </c>
      <c r="CZ93">
        <f>0</f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1010</v>
      </c>
      <c r="DV93" t="s">
        <v>135</v>
      </c>
      <c r="DW93" t="s">
        <v>135</v>
      </c>
      <c r="DX93">
        <v>1</v>
      </c>
      <c r="DZ93" t="s">
        <v>3</v>
      </c>
      <c r="EA93" t="s">
        <v>3</v>
      </c>
      <c r="EB93" t="s">
        <v>3</v>
      </c>
      <c r="EC93" t="s">
        <v>3</v>
      </c>
      <c r="EE93">
        <v>79401763</v>
      </c>
      <c r="EF93">
        <v>12</v>
      </c>
      <c r="EG93" t="s">
        <v>189</v>
      </c>
      <c r="EH93">
        <v>0</v>
      </c>
      <c r="EI93" t="s">
        <v>3</v>
      </c>
      <c r="EJ93">
        <v>2</v>
      </c>
      <c r="EK93">
        <v>500002</v>
      </c>
      <c r="EL93" t="s">
        <v>190</v>
      </c>
      <c r="EM93" t="s">
        <v>191</v>
      </c>
      <c r="EO93" t="s">
        <v>3</v>
      </c>
      <c r="EQ93">
        <v>0</v>
      </c>
      <c r="ER93">
        <v>39.909999999999997</v>
      </c>
      <c r="ES93">
        <v>39.909999999999997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FQ93">
        <v>0</v>
      </c>
      <c r="FR93">
        <f t="shared" si="62"/>
        <v>0</v>
      </c>
      <c r="FS93">
        <v>0</v>
      </c>
      <c r="FX93">
        <v>0</v>
      </c>
      <c r="FY93">
        <v>0</v>
      </c>
      <c r="GA93" t="s">
        <v>3</v>
      </c>
      <c r="GD93">
        <v>1</v>
      </c>
      <c r="GF93">
        <v>-1642552679</v>
      </c>
      <c r="GG93">
        <v>2</v>
      </c>
      <c r="GH93">
        <v>1</v>
      </c>
      <c r="GI93">
        <v>2</v>
      </c>
      <c r="GJ93">
        <v>0</v>
      </c>
      <c r="GK93">
        <v>0</v>
      </c>
      <c r="GL93">
        <f t="shared" si="63"/>
        <v>0</v>
      </c>
      <c r="GM93">
        <f t="shared" si="64"/>
        <v>538.79</v>
      </c>
      <c r="GN93">
        <f t="shared" si="65"/>
        <v>0</v>
      </c>
      <c r="GO93">
        <f t="shared" si="66"/>
        <v>538.79</v>
      </c>
      <c r="GP93">
        <f t="shared" si="67"/>
        <v>0</v>
      </c>
      <c r="GR93">
        <v>0</v>
      </c>
      <c r="GS93">
        <v>3</v>
      </c>
      <c r="GT93">
        <v>0</v>
      </c>
      <c r="GU93" t="s">
        <v>3</v>
      </c>
      <c r="GV93">
        <f t="shared" si="68"/>
        <v>0</v>
      </c>
      <c r="GW93">
        <v>1</v>
      </c>
      <c r="GX93">
        <f t="shared" si="69"/>
        <v>0</v>
      </c>
      <c r="HA93">
        <v>0</v>
      </c>
      <c r="HB93">
        <v>0</v>
      </c>
      <c r="HC93">
        <f t="shared" si="70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IK93">
        <v>0</v>
      </c>
    </row>
    <row r="94" spans="1:245" x14ac:dyDescent="0.2">
      <c r="A94">
        <v>17</v>
      </c>
      <c r="B94">
        <v>1</v>
      </c>
      <c r="E94" t="s">
        <v>200</v>
      </c>
      <c r="F94" t="s">
        <v>201</v>
      </c>
      <c r="G94" t="s">
        <v>202</v>
      </c>
      <c r="H94" t="s">
        <v>135</v>
      </c>
      <c r="I94">
        <v>6</v>
      </c>
      <c r="J94">
        <v>0</v>
      </c>
      <c r="K94">
        <v>6</v>
      </c>
      <c r="O94">
        <f t="shared" si="31"/>
        <v>10462.01</v>
      </c>
      <c r="P94">
        <f t="shared" si="32"/>
        <v>10462.01</v>
      </c>
      <c r="Q94">
        <f t="shared" si="33"/>
        <v>0</v>
      </c>
      <c r="R94">
        <f t="shared" si="34"/>
        <v>0</v>
      </c>
      <c r="S94">
        <f t="shared" si="35"/>
        <v>0</v>
      </c>
      <c r="T94">
        <f t="shared" si="36"/>
        <v>0</v>
      </c>
      <c r="U94">
        <f t="shared" si="37"/>
        <v>0</v>
      </c>
      <c r="V94">
        <f t="shared" si="38"/>
        <v>0</v>
      </c>
      <c r="W94">
        <f t="shared" si="39"/>
        <v>0</v>
      </c>
      <c r="X94">
        <f t="shared" si="40"/>
        <v>0</v>
      </c>
      <c r="Y94">
        <f t="shared" si="41"/>
        <v>0</v>
      </c>
      <c r="AA94">
        <v>84185495</v>
      </c>
      <c r="AB94">
        <f t="shared" si="42"/>
        <v>171.79</v>
      </c>
      <c r="AC94">
        <f t="shared" si="43"/>
        <v>171.79</v>
      </c>
      <c r="AD94">
        <f t="shared" si="44"/>
        <v>0</v>
      </c>
      <c r="AE94">
        <f t="shared" si="45"/>
        <v>0</v>
      </c>
      <c r="AF94">
        <f t="shared" si="46"/>
        <v>0</v>
      </c>
      <c r="AG94">
        <f t="shared" si="47"/>
        <v>0</v>
      </c>
      <c r="AH94">
        <f t="shared" si="48"/>
        <v>0</v>
      </c>
      <c r="AI94">
        <f t="shared" si="49"/>
        <v>0</v>
      </c>
      <c r="AJ94">
        <f t="shared" si="50"/>
        <v>0</v>
      </c>
      <c r="AK94">
        <v>171.79</v>
      </c>
      <c r="AL94">
        <v>171.79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10.15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1</v>
      </c>
      <c r="BJ94" t="s">
        <v>203</v>
      </c>
      <c r="BM94">
        <v>500001</v>
      </c>
      <c r="BN94">
        <v>0</v>
      </c>
      <c r="BO94" t="s">
        <v>201</v>
      </c>
      <c r="BP94">
        <v>1</v>
      </c>
      <c r="BQ94">
        <v>8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0</v>
      </c>
      <c r="CA94">
        <v>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51"/>
        <v>10462.01</v>
      </c>
      <c r="CQ94">
        <f t="shared" si="52"/>
        <v>1743.6685</v>
      </c>
      <c r="CR94">
        <f t="shared" si="53"/>
        <v>0</v>
      </c>
      <c r="CS94">
        <f t="shared" si="54"/>
        <v>0</v>
      </c>
      <c r="CT94">
        <f t="shared" si="55"/>
        <v>0</v>
      </c>
      <c r="CU94">
        <f t="shared" si="56"/>
        <v>0</v>
      </c>
      <c r="CV94">
        <f t="shared" si="57"/>
        <v>0</v>
      </c>
      <c r="CW94">
        <f t="shared" si="58"/>
        <v>0</v>
      </c>
      <c r="CX94">
        <f t="shared" si="59"/>
        <v>0</v>
      </c>
      <c r="CY94">
        <f>0</f>
        <v>0</v>
      </c>
      <c r="CZ94">
        <f>0</f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135</v>
      </c>
      <c r="DW94" t="s">
        <v>135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79401762</v>
      </c>
      <c r="EF94">
        <v>8</v>
      </c>
      <c r="EG94" t="s">
        <v>166</v>
      </c>
      <c r="EH94">
        <v>0</v>
      </c>
      <c r="EI94" t="s">
        <v>3</v>
      </c>
      <c r="EJ94">
        <v>1</v>
      </c>
      <c r="EK94">
        <v>500001</v>
      </c>
      <c r="EL94" t="s">
        <v>167</v>
      </c>
      <c r="EM94" t="s">
        <v>168</v>
      </c>
      <c r="EO94" t="s">
        <v>3</v>
      </c>
      <c r="EQ94">
        <v>0</v>
      </c>
      <c r="ER94">
        <v>171.79</v>
      </c>
      <c r="ES94">
        <v>171.79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FQ94">
        <v>0</v>
      </c>
      <c r="FR94">
        <f t="shared" si="62"/>
        <v>0</v>
      </c>
      <c r="FS94">
        <v>0</v>
      </c>
      <c r="FX94">
        <v>0</v>
      </c>
      <c r="FY94">
        <v>0</v>
      </c>
      <c r="GA94" t="s">
        <v>3</v>
      </c>
      <c r="GD94">
        <v>1</v>
      </c>
      <c r="GF94">
        <v>-1870749598</v>
      </c>
      <c r="GG94">
        <v>2</v>
      </c>
      <c r="GH94">
        <v>1</v>
      </c>
      <c r="GI94">
        <v>2</v>
      </c>
      <c r="GJ94">
        <v>0</v>
      </c>
      <c r="GK94">
        <v>0</v>
      </c>
      <c r="GL94">
        <f t="shared" si="63"/>
        <v>0</v>
      </c>
      <c r="GM94">
        <f t="shared" si="64"/>
        <v>10462.01</v>
      </c>
      <c r="GN94">
        <f t="shared" si="65"/>
        <v>10462.01</v>
      </c>
      <c r="GO94">
        <f t="shared" si="66"/>
        <v>0</v>
      </c>
      <c r="GP94">
        <f t="shared" si="67"/>
        <v>0</v>
      </c>
      <c r="GR94">
        <v>0</v>
      </c>
      <c r="GS94">
        <v>3</v>
      </c>
      <c r="GT94">
        <v>0</v>
      </c>
      <c r="GU94" t="s">
        <v>3</v>
      </c>
      <c r="GV94">
        <f t="shared" si="68"/>
        <v>0</v>
      </c>
      <c r="GW94">
        <v>1</v>
      </c>
      <c r="GX94">
        <f t="shared" si="69"/>
        <v>0</v>
      </c>
      <c r="HA94">
        <v>0</v>
      </c>
      <c r="HB94">
        <v>0</v>
      </c>
      <c r="HC94">
        <f t="shared" si="70"/>
        <v>0</v>
      </c>
      <c r="HE94" t="s">
        <v>3</v>
      </c>
      <c r="HF94" t="s">
        <v>3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IK94">
        <v>0</v>
      </c>
    </row>
    <row r="95" spans="1:245" x14ac:dyDescent="0.2">
      <c r="A95">
        <v>17</v>
      </c>
      <c r="B95">
        <v>1</v>
      </c>
      <c r="E95" t="s">
        <v>204</v>
      </c>
      <c r="F95" t="s">
        <v>205</v>
      </c>
      <c r="G95" t="s">
        <v>206</v>
      </c>
      <c r="H95" t="s">
        <v>135</v>
      </c>
      <c r="I95">
        <v>6</v>
      </c>
      <c r="J95">
        <v>0</v>
      </c>
      <c r="K95">
        <v>6</v>
      </c>
      <c r="O95">
        <f t="shared" si="31"/>
        <v>871.98</v>
      </c>
      <c r="P95">
        <f t="shared" si="32"/>
        <v>871.98</v>
      </c>
      <c r="Q95">
        <f t="shared" si="33"/>
        <v>0</v>
      </c>
      <c r="R95">
        <f t="shared" si="34"/>
        <v>0</v>
      </c>
      <c r="S95">
        <f t="shared" si="35"/>
        <v>0</v>
      </c>
      <c r="T95">
        <f t="shared" si="36"/>
        <v>0</v>
      </c>
      <c r="U95">
        <f t="shared" si="37"/>
        <v>0</v>
      </c>
      <c r="V95">
        <f t="shared" si="38"/>
        <v>0</v>
      </c>
      <c r="W95">
        <f t="shared" si="39"/>
        <v>0</v>
      </c>
      <c r="X95">
        <f t="shared" si="40"/>
        <v>0</v>
      </c>
      <c r="Y95">
        <f t="shared" si="41"/>
        <v>0</v>
      </c>
      <c r="AA95">
        <v>84185495</v>
      </c>
      <c r="AB95">
        <f t="shared" si="42"/>
        <v>17.260000000000002</v>
      </c>
      <c r="AC95">
        <f t="shared" si="43"/>
        <v>17.260000000000002</v>
      </c>
      <c r="AD95">
        <f t="shared" si="44"/>
        <v>0</v>
      </c>
      <c r="AE95">
        <f t="shared" si="45"/>
        <v>0</v>
      </c>
      <c r="AF95">
        <f t="shared" si="46"/>
        <v>0</v>
      </c>
      <c r="AG95">
        <f t="shared" si="47"/>
        <v>0</v>
      </c>
      <c r="AH95">
        <f t="shared" si="48"/>
        <v>0</v>
      </c>
      <c r="AI95">
        <f t="shared" si="49"/>
        <v>0</v>
      </c>
      <c r="AJ95">
        <f t="shared" si="50"/>
        <v>0</v>
      </c>
      <c r="AK95">
        <v>17.260000000000002</v>
      </c>
      <c r="AL95">
        <v>17.260000000000002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8.42</v>
      </c>
      <c r="BD95" t="s">
        <v>3</v>
      </c>
      <c r="BE95" t="s">
        <v>3</v>
      </c>
      <c r="BF95" t="s">
        <v>3</v>
      </c>
      <c r="BG95" t="s">
        <v>3</v>
      </c>
      <c r="BH95">
        <v>3</v>
      </c>
      <c r="BI95">
        <v>2</v>
      </c>
      <c r="BJ95" t="s">
        <v>207</v>
      </c>
      <c r="BM95">
        <v>500002</v>
      </c>
      <c r="BN95">
        <v>0</v>
      </c>
      <c r="BO95" t="s">
        <v>205</v>
      </c>
      <c r="BP95">
        <v>1</v>
      </c>
      <c r="BQ95">
        <v>12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0</v>
      </c>
      <c r="CA95">
        <v>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51"/>
        <v>871.98</v>
      </c>
      <c r="CQ95">
        <f t="shared" si="52"/>
        <v>145.32920000000001</v>
      </c>
      <c r="CR95">
        <f t="shared" si="53"/>
        <v>0</v>
      </c>
      <c r="CS95">
        <f t="shared" si="54"/>
        <v>0</v>
      </c>
      <c r="CT95">
        <f t="shared" si="55"/>
        <v>0</v>
      </c>
      <c r="CU95">
        <f t="shared" si="56"/>
        <v>0</v>
      </c>
      <c r="CV95">
        <f t="shared" si="57"/>
        <v>0</v>
      </c>
      <c r="CW95">
        <f t="shared" si="58"/>
        <v>0</v>
      </c>
      <c r="CX95">
        <f t="shared" si="59"/>
        <v>0</v>
      </c>
      <c r="CY95">
        <f>0</f>
        <v>0</v>
      </c>
      <c r="CZ95">
        <f>0</f>
        <v>0</v>
      </c>
      <c r="DC95" t="s">
        <v>3</v>
      </c>
      <c r="DD95" t="s">
        <v>3</v>
      </c>
      <c r="DE95" t="s">
        <v>3</v>
      </c>
      <c r="DF95" t="s">
        <v>3</v>
      </c>
      <c r="DG95" t="s">
        <v>3</v>
      </c>
      <c r="DH95" t="s">
        <v>3</v>
      </c>
      <c r="DI95" t="s">
        <v>3</v>
      </c>
      <c r="DJ95" t="s">
        <v>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1010</v>
      </c>
      <c r="DV95" t="s">
        <v>135</v>
      </c>
      <c r="DW95" t="s">
        <v>135</v>
      </c>
      <c r="DX95">
        <v>1</v>
      </c>
      <c r="DZ95" t="s">
        <v>3</v>
      </c>
      <c r="EA95" t="s">
        <v>3</v>
      </c>
      <c r="EB95" t="s">
        <v>3</v>
      </c>
      <c r="EC95" t="s">
        <v>3</v>
      </c>
      <c r="EE95">
        <v>79401763</v>
      </c>
      <c r="EF95">
        <v>12</v>
      </c>
      <c r="EG95" t="s">
        <v>189</v>
      </c>
      <c r="EH95">
        <v>0</v>
      </c>
      <c r="EI95" t="s">
        <v>3</v>
      </c>
      <c r="EJ95">
        <v>2</v>
      </c>
      <c r="EK95">
        <v>500002</v>
      </c>
      <c r="EL95" t="s">
        <v>190</v>
      </c>
      <c r="EM95" t="s">
        <v>191</v>
      </c>
      <c r="EO95" t="s">
        <v>3</v>
      </c>
      <c r="EQ95">
        <v>0</v>
      </c>
      <c r="ER95">
        <v>17.260000000000002</v>
      </c>
      <c r="ES95">
        <v>17.260000000000002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FQ95">
        <v>0</v>
      </c>
      <c r="FR95">
        <f t="shared" si="62"/>
        <v>0</v>
      </c>
      <c r="FS95">
        <v>0</v>
      </c>
      <c r="FX95">
        <v>0</v>
      </c>
      <c r="FY95">
        <v>0</v>
      </c>
      <c r="GA95" t="s">
        <v>3</v>
      </c>
      <c r="GD95">
        <v>1</v>
      </c>
      <c r="GF95">
        <v>-2066277925</v>
      </c>
      <c r="GG95">
        <v>2</v>
      </c>
      <c r="GH95">
        <v>1</v>
      </c>
      <c r="GI95">
        <v>2</v>
      </c>
      <c r="GJ95">
        <v>0</v>
      </c>
      <c r="GK95">
        <v>0</v>
      </c>
      <c r="GL95">
        <f t="shared" si="63"/>
        <v>0</v>
      </c>
      <c r="GM95">
        <f t="shared" si="64"/>
        <v>871.98</v>
      </c>
      <c r="GN95">
        <f t="shared" si="65"/>
        <v>0</v>
      </c>
      <c r="GO95">
        <f t="shared" si="66"/>
        <v>871.98</v>
      </c>
      <c r="GP95">
        <f t="shared" si="67"/>
        <v>0</v>
      </c>
      <c r="GR95">
        <v>0</v>
      </c>
      <c r="GS95">
        <v>3</v>
      </c>
      <c r="GT95">
        <v>0</v>
      </c>
      <c r="GU95" t="s">
        <v>3</v>
      </c>
      <c r="GV95">
        <f t="shared" si="68"/>
        <v>0</v>
      </c>
      <c r="GW95">
        <v>1</v>
      </c>
      <c r="GX95">
        <f t="shared" si="69"/>
        <v>0</v>
      </c>
      <c r="HA95">
        <v>0</v>
      </c>
      <c r="HB95">
        <v>0</v>
      </c>
      <c r="HC95">
        <f t="shared" si="70"/>
        <v>0</v>
      </c>
      <c r="HE95" t="s">
        <v>3</v>
      </c>
      <c r="HF95" t="s">
        <v>3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IK95">
        <v>0</v>
      </c>
    </row>
    <row r="96" spans="1:245" x14ac:dyDescent="0.2">
      <c r="A96">
        <v>17</v>
      </c>
      <c r="B96">
        <v>1</v>
      </c>
      <c r="E96" t="s">
        <v>208</v>
      </c>
      <c r="F96" t="s">
        <v>209</v>
      </c>
      <c r="G96" t="s">
        <v>210</v>
      </c>
      <c r="H96" t="s">
        <v>135</v>
      </c>
      <c r="I96">
        <v>1</v>
      </c>
      <c r="J96">
        <v>0</v>
      </c>
      <c r="K96">
        <v>1</v>
      </c>
      <c r="O96">
        <f t="shared" si="31"/>
        <v>583.33000000000004</v>
      </c>
      <c r="P96">
        <f t="shared" si="32"/>
        <v>583.33000000000004</v>
      </c>
      <c r="Q96">
        <f t="shared" si="33"/>
        <v>0</v>
      </c>
      <c r="R96">
        <f t="shared" si="34"/>
        <v>0</v>
      </c>
      <c r="S96">
        <f t="shared" si="35"/>
        <v>0</v>
      </c>
      <c r="T96">
        <f t="shared" si="36"/>
        <v>0</v>
      </c>
      <c r="U96">
        <f t="shared" si="37"/>
        <v>0</v>
      </c>
      <c r="V96">
        <f t="shared" si="38"/>
        <v>0</v>
      </c>
      <c r="W96">
        <f t="shared" si="39"/>
        <v>0</v>
      </c>
      <c r="X96">
        <f t="shared" si="40"/>
        <v>0</v>
      </c>
      <c r="Y96">
        <f t="shared" si="41"/>
        <v>0</v>
      </c>
      <c r="AA96">
        <v>84185495</v>
      </c>
      <c r="AB96">
        <f t="shared" si="42"/>
        <v>583.33000000000004</v>
      </c>
      <c r="AC96">
        <f t="shared" si="43"/>
        <v>583.33000000000004</v>
      </c>
      <c r="AD96">
        <f t="shared" si="44"/>
        <v>0</v>
      </c>
      <c r="AE96">
        <f t="shared" si="45"/>
        <v>0</v>
      </c>
      <c r="AF96">
        <f t="shared" si="46"/>
        <v>0</v>
      </c>
      <c r="AG96">
        <f t="shared" si="47"/>
        <v>0</v>
      </c>
      <c r="AH96">
        <f t="shared" si="48"/>
        <v>0</v>
      </c>
      <c r="AI96">
        <f t="shared" si="49"/>
        <v>0</v>
      </c>
      <c r="AJ96">
        <f t="shared" si="50"/>
        <v>0</v>
      </c>
      <c r="AK96">
        <v>583.33000000000004</v>
      </c>
      <c r="AL96">
        <v>583.33000000000004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3</v>
      </c>
      <c r="BI96">
        <v>1</v>
      </c>
      <c r="BJ96" t="s">
        <v>3</v>
      </c>
      <c r="BM96">
        <v>1100</v>
      </c>
      <c r="BN96">
        <v>0</v>
      </c>
      <c r="BO96" t="s">
        <v>3</v>
      </c>
      <c r="BP96">
        <v>0</v>
      </c>
      <c r="BQ96">
        <v>8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0</v>
      </c>
      <c r="CA96">
        <v>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51"/>
        <v>583.33000000000004</v>
      </c>
      <c r="CQ96">
        <f t="shared" si="52"/>
        <v>583.33000000000004</v>
      </c>
      <c r="CR96">
        <f t="shared" si="53"/>
        <v>0</v>
      </c>
      <c r="CS96">
        <f t="shared" si="54"/>
        <v>0</v>
      </c>
      <c r="CT96">
        <f t="shared" si="55"/>
        <v>0</v>
      </c>
      <c r="CU96">
        <f t="shared" si="56"/>
        <v>0</v>
      </c>
      <c r="CV96">
        <f t="shared" si="57"/>
        <v>0</v>
      </c>
      <c r="CW96">
        <f t="shared" si="58"/>
        <v>0</v>
      </c>
      <c r="CX96">
        <f t="shared" si="59"/>
        <v>0</v>
      </c>
      <c r="CY96">
        <f t="shared" ref="CY96:CY102" si="71">(((S96+R96)*AT96)/100)</f>
        <v>0</v>
      </c>
      <c r="CZ96">
        <f t="shared" ref="CZ96:CZ102" si="72">(((S96+R96)*AU96)/100)</f>
        <v>0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1010</v>
      </c>
      <c r="DV96" t="s">
        <v>135</v>
      </c>
      <c r="DW96" t="s">
        <v>135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79402089</v>
      </c>
      <c r="EF96">
        <v>8</v>
      </c>
      <c r="EG96" t="s">
        <v>166</v>
      </c>
      <c r="EH96">
        <v>0</v>
      </c>
      <c r="EI96" t="s">
        <v>3</v>
      </c>
      <c r="EJ96">
        <v>1</v>
      </c>
      <c r="EK96">
        <v>1100</v>
      </c>
      <c r="EL96" t="s">
        <v>211</v>
      </c>
      <c r="EM96" t="s">
        <v>212</v>
      </c>
      <c r="EO96" t="s">
        <v>3</v>
      </c>
      <c r="EQ96">
        <v>0</v>
      </c>
      <c r="ER96">
        <v>583.33000000000004</v>
      </c>
      <c r="ES96">
        <v>583.33000000000004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5</v>
      </c>
      <c r="FC96">
        <v>1</v>
      </c>
      <c r="FD96">
        <v>18</v>
      </c>
      <c r="FF96">
        <v>700</v>
      </c>
      <c r="FQ96">
        <v>0</v>
      </c>
      <c r="FR96">
        <f t="shared" si="62"/>
        <v>0</v>
      </c>
      <c r="FS96">
        <v>0</v>
      </c>
      <c r="FX96">
        <v>0</v>
      </c>
      <c r="FY96">
        <v>0</v>
      </c>
      <c r="GA96" t="s">
        <v>213</v>
      </c>
      <c r="GD96">
        <v>1</v>
      </c>
      <c r="GF96">
        <v>-1753609087</v>
      </c>
      <c r="GG96">
        <v>2</v>
      </c>
      <c r="GH96">
        <v>3</v>
      </c>
      <c r="GI96">
        <v>-2</v>
      </c>
      <c r="GJ96">
        <v>0</v>
      </c>
      <c r="GK96">
        <v>0</v>
      </c>
      <c r="GL96">
        <f t="shared" si="63"/>
        <v>0</v>
      </c>
      <c r="GM96">
        <f t="shared" si="64"/>
        <v>583.33000000000004</v>
      </c>
      <c r="GN96">
        <f t="shared" si="65"/>
        <v>583.33000000000004</v>
      </c>
      <c r="GO96">
        <f t="shared" si="66"/>
        <v>0</v>
      </c>
      <c r="GP96">
        <f t="shared" si="67"/>
        <v>0</v>
      </c>
      <c r="GR96">
        <v>1</v>
      </c>
      <c r="GS96">
        <v>1</v>
      </c>
      <c r="GT96">
        <v>0</v>
      </c>
      <c r="GU96" t="s">
        <v>3</v>
      </c>
      <c r="GV96">
        <f t="shared" si="68"/>
        <v>0</v>
      </c>
      <c r="GW96">
        <v>1</v>
      </c>
      <c r="GX96">
        <f t="shared" si="69"/>
        <v>0</v>
      </c>
      <c r="HA96">
        <v>0</v>
      </c>
      <c r="HB96">
        <v>0</v>
      </c>
      <c r="HC96">
        <f t="shared" si="70"/>
        <v>0</v>
      </c>
      <c r="HE96" t="s">
        <v>214</v>
      </c>
      <c r="HF96" t="s">
        <v>214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IK96">
        <v>0</v>
      </c>
    </row>
    <row r="97" spans="1:245" x14ac:dyDescent="0.2">
      <c r="A97">
        <v>17</v>
      </c>
      <c r="B97">
        <v>1</v>
      </c>
      <c r="C97">
        <f>ROW(SmtRes!A56)</f>
        <v>56</v>
      </c>
      <c r="D97">
        <f>ROW(EtalonRes!A56)</f>
        <v>56</v>
      </c>
      <c r="E97" t="s">
        <v>215</v>
      </c>
      <c r="F97" t="s">
        <v>216</v>
      </c>
      <c r="G97" t="s">
        <v>217</v>
      </c>
      <c r="H97" t="s">
        <v>218</v>
      </c>
      <c r="I97">
        <v>1</v>
      </c>
      <c r="J97">
        <v>0</v>
      </c>
      <c r="K97">
        <v>1</v>
      </c>
      <c r="O97">
        <f t="shared" si="31"/>
        <v>2451.5300000000002</v>
      </c>
      <c r="P97">
        <f t="shared" si="32"/>
        <v>40.159999999999997</v>
      </c>
      <c r="Q97">
        <f t="shared" si="33"/>
        <v>1158.58</v>
      </c>
      <c r="R97">
        <f t="shared" si="34"/>
        <v>307.91000000000003</v>
      </c>
      <c r="S97">
        <f t="shared" si="35"/>
        <v>1252.79</v>
      </c>
      <c r="T97">
        <f t="shared" si="36"/>
        <v>0</v>
      </c>
      <c r="U97">
        <f t="shared" si="37"/>
        <v>4.29</v>
      </c>
      <c r="V97">
        <f t="shared" si="38"/>
        <v>0.97</v>
      </c>
      <c r="W97">
        <f t="shared" si="39"/>
        <v>0</v>
      </c>
      <c r="X97">
        <f t="shared" si="40"/>
        <v>1607.52</v>
      </c>
      <c r="Y97">
        <f t="shared" si="41"/>
        <v>936.42</v>
      </c>
      <c r="AA97">
        <v>84185495</v>
      </c>
      <c r="AB97">
        <f t="shared" si="42"/>
        <v>141.72</v>
      </c>
      <c r="AC97">
        <f t="shared" si="43"/>
        <v>2.94</v>
      </c>
      <c r="AD97">
        <f t="shared" si="44"/>
        <v>103.26</v>
      </c>
      <c r="AE97">
        <f t="shared" si="45"/>
        <v>8.73</v>
      </c>
      <c r="AF97">
        <f t="shared" si="46"/>
        <v>35.520000000000003</v>
      </c>
      <c r="AG97">
        <f t="shared" si="47"/>
        <v>0</v>
      </c>
      <c r="AH97">
        <f t="shared" si="48"/>
        <v>4.29</v>
      </c>
      <c r="AI97">
        <f t="shared" si="49"/>
        <v>0.97</v>
      </c>
      <c r="AJ97">
        <f t="shared" si="50"/>
        <v>0</v>
      </c>
      <c r="AK97">
        <v>141.72</v>
      </c>
      <c r="AL97">
        <v>2.94</v>
      </c>
      <c r="AM97">
        <v>103.26</v>
      </c>
      <c r="AN97">
        <v>8.73</v>
      </c>
      <c r="AO97">
        <v>35.520000000000003</v>
      </c>
      <c r="AP97">
        <v>0</v>
      </c>
      <c r="AQ97">
        <v>4.29</v>
      </c>
      <c r="AR97">
        <v>0.97</v>
      </c>
      <c r="AS97">
        <v>0</v>
      </c>
      <c r="AT97">
        <v>103</v>
      </c>
      <c r="AU97">
        <v>60</v>
      </c>
      <c r="AV97">
        <v>1</v>
      </c>
      <c r="AW97">
        <v>1</v>
      </c>
      <c r="AZ97">
        <v>1</v>
      </c>
      <c r="BA97">
        <v>35.270000000000003</v>
      </c>
      <c r="BB97">
        <v>11.22</v>
      </c>
      <c r="BC97">
        <v>13.66</v>
      </c>
      <c r="BD97" t="s">
        <v>3</v>
      </c>
      <c r="BE97" t="s">
        <v>3</v>
      </c>
      <c r="BF97" t="s">
        <v>3</v>
      </c>
      <c r="BG97" t="s">
        <v>3</v>
      </c>
      <c r="BH97">
        <v>0</v>
      </c>
      <c r="BI97">
        <v>1</v>
      </c>
      <c r="BJ97" t="s">
        <v>219</v>
      </c>
      <c r="BM97">
        <v>33001</v>
      </c>
      <c r="BN97">
        <v>0</v>
      </c>
      <c r="BO97" t="s">
        <v>216</v>
      </c>
      <c r="BP97">
        <v>1</v>
      </c>
      <c r="BQ97">
        <v>2</v>
      </c>
      <c r="BR97">
        <v>0</v>
      </c>
      <c r="BS97">
        <v>35.270000000000003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103</v>
      </c>
      <c r="CA97">
        <v>60</v>
      </c>
      <c r="CB97" t="s">
        <v>3</v>
      </c>
      <c r="CE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 t="shared" si="51"/>
        <v>2451.5299999999997</v>
      </c>
      <c r="CQ97">
        <f t="shared" si="52"/>
        <v>40.160400000000003</v>
      </c>
      <c r="CR97">
        <f t="shared" si="53"/>
        <v>1158.5772000000002</v>
      </c>
      <c r="CS97">
        <f t="shared" si="54"/>
        <v>307.90710000000001</v>
      </c>
      <c r="CT97">
        <f t="shared" si="55"/>
        <v>1252.7904000000003</v>
      </c>
      <c r="CU97">
        <f t="shared" si="56"/>
        <v>0</v>
      </c>
      <c r="CV97">
        <f t="shared" si="57"/>
        <v>4.29</v>
      </c>
      <c r="CW97">
        <f t="shared" si="58"/>
        <v>0.97</v>
      </c>
      <c r="CX97">
        <f t="shared" si="59"/>
        <v>0</v>
      </c>
      <c r="CY97">
        <f t="shared" si="71"/>
        <v>1607.521</v>
      </c>
      <c r="CZ97">
        <f t="shared" si="72"/>
        <v>936.42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1013</v>
      </c>
      <c r="DV97" t="s">
        <v>218</v>
      </c>
      <c r="DW97" t="s">
        <v>218</v>
      </c>
      <c r="DX97">
        <v>1</v>
      </c>
      <c r="DZ97" t="s">
        <v>3</v>
      </c>
      <c r="EA97" t="s">
        <v>3</v>
      </c>
      <c r="EB97" t="s">
        <v>3</v>
      </c>
      <c r="EC97" t="s">
        <v>3</v>
      </c>
      <c r="EE97">
        <v>79401925</v>
      </c>
      <c r="EF97">
        <v>2</v>
      </c>
      <c r="EG97" t="s">
        <v>19</v>
      </c>
      <c r="EH97">
        <v>27</v>
      </c>
      <c r="EI97" t="s">
        <v>20</v>
      </c>
      <c r="EJ97">
        <v>1</v>
      </c>
      <c r="EK97">
        <v>33001</v>
      </c>
      <c r="EL97" t="s">
        <v>20</v>
      </c>
      <c r="EM97" t="s">
        <v>21</v>
      </c>
      <c r="EO97" t="s">
        <v>3</v>
      </c>
      <c r="EQ97">
        <v>0</v>
      </c>
      <c r="ER97">
        <v>141.72</v>
      </c>
      <c r="ES97">
        <v>2.94</v>
      </c>
      <c r="ET97">
        <v>103.26</v>
      </c>
      <c r="EU97">
        <v>8.73</v>
      </c>
      <c r="EV97">
        <v>35.520000000000003</v>
      </c>
      <c r="EW97">
        <v>4.29</v>
      </c>
      <c r="EX97">
        <v>0.97</v>
      </c>
      <c r="EY97">
        <v>0</v>
      </c>
      <c r="FQ97">
        <v>0</v>
      </c>
      <c r="FR97">
        <f t="shared" si="62"/>
        <v>0</v>
      </c>
      <c r="FS97">
        <v>0</v>
      </c>
      <c r="FX97">
        <v>103</v>
      </c>
      <c r="FY97">
        <v>60</v>
      </c>
      <c r="GA97" t="s">
        <v>3</v>
      </c>
      <c r="GD97">
        <v>1</v>
      </c>
      <c r="GF97">
        <v>168181678</v>
      </c>
      <c r="GG97">
        <v>2</v>
      </c>
      <c r="GH97">
        <v>1</v>
      </c>
      <c r="GI97">
        <v>2</v>
      </c>
      <c r="GJ97">
        <v>0</v>
      </c>
      <c r="GK97">
        <v>0</v>
      </c>
      <c r="GL97">
        <f t="shared" si="63"/>
        <v>0</v>
      </c>
      <c r="GM97">
        <f t="shared" si="64"/>
        <v>4995.47</v>
      </c>
      <c r="GN97">
        <f t="shared" si="65"/>
        <v>4995.47</v>
      </c>
      <c r="GO97">
        <f t="shared" si="66"/>
        <v>0</v>
      </c>
      <c r="GP97">
        <f t="shared" si="67"/>
        <v>0</v>
      </c>
      <c r="GR97">
        <v>0</v>
      </c>
      <c r="GS97">
        <v>3</v>
      </c>
      <c r="GT97">
        <v>0</v>
      </c>
      <c r="GU97" t="s">
        <v>3</v>
      </c>
      <c r="GV97">
        <f t="shared" si="68"/>
        <v>0</v>
      </c>
      <c r="GW97">
        <v>1</v>
      </c>
      <c r="GX97">
        <f t="shared" si="69"/>
        <v>0</v>
      </c>
      <c r="HA97">
        <v>0</v>
      </c>
      <c r="HB97">
        <v>0</v>
      </c>
      <c r="HC97">
        <f t="shared" si="70"/>
        <v>0</v>
      </c>
      <c r="HE97" t="s">
        <v>3</v>
      </c>
      <c r="HF97" t="s">
        <v>3</v>
      </c>
      <c r="HM97" t="s">
        <v>3</v>
      </c>
      <c r="HN97" t="s">
        <v>22</v>
      </c>
      <c r="HO97" t="s">
        <v>23</v>
      </c>
      <c r="HP97" t="s">
        <v>20</v>
      </c>
      <c r="HQ97" t="s">
        <v>20</v>
      </c>
      <c r="IK97">
        <v>0</v>
      </c>
    </row>
    <row r="98" spans="1:245" x14ac:dyDescent="0.2">
      <c r="A98">
        <v>18</v>
      </c>
      <c r="B98">
        <v>1</v>
      </c>
      <c r="C98">
        <v>49</v>
      </c>
      <c r="E98" t="s">
        <v>220</v>
      </c>
      <c r="F98" t="s">
        <v>124</v>
      </c>
      <c r="G98" t="s">
        <v>125</v>
      </c>
      <c r="H98" t="s">
        <v>126</v>
      </c>
      <c r="I98">
        <f>I97*J98</f>
        <v>0</v>
      </c>
      <c r="J98">
        <v>0</v>
      </c>
      <c r="K98">
        <v>0</v>
      </c>
      <c r="O98">
        <f t="shared" si="31"/>
        <v>0</v>
      </c>
      <c r="P98">
        <f t="shared" si="32"/>
        <v>0</v>
      </c>
      <c r="Q98">
        <f t="shared" si="33"/>
        <v>0</v>
      </c>
      <c r="R98">
        <f t="shared" si="34"/>
        <v>0</v>
      </c>
      <c r="S98">
        <f t="shared" si="35"/>
        <v>0</v>
      </c>
      <c r="T98">
        <f t="shared" si="36"/>
        <v>0</v>
      </c>
      <c r="U98">
        <f t="shared" si="37"/>
        <v>0</v>
      </c>
      <c r="V98">
        <f t="shared" si="38"/>
        <v>0</v>
      </c>
      <c r="W98">
        <f t="shared" si="39"/>
        <v>0</v>
      </c>
      <c r="X98">
        <f t="shared" si="40"/>
        <v>0</v>
      </c>
      <c r="Y98">
        <f t="shared" si="41"/>
        <v>0</v>
      </c>
      <c r="AA98">
        <v>84185495</v>
      </c>
      <c r="AB98">
        <f t="shared" si="42"/>
        <v>9040.01</v>
      </c>
      <c r="AC98">
        <f t="shared" si="43"/>
        <v>9040.01</v>
      </c>
      <c r="AD98">
        <f t="shared" si="44"/>
        <v>0</v>
      </c>
      <c r="AE98">
        <f t="shared" si="45"/>
        <v>0</v>
      </c>
      <c r="AF98">
        <f t="shared" si="46"/>
        <v>0</v>
      </c>
      <c r="AG98">
        <f t="shared" si="47"/>
        <v>0</v>
      </c>
      <c r="AH98">
        <f t="shared" si="48"/>
        <v>0</v>
      </c>
      <c r="AI98">
        <f t="shared" si="49"/>
        <v>0</v>
      </c>
      <c r="AJ98">
        <f t="shared" si="50"/>
        <v>0</v>
      </c>
      <c r="AK98">
        <v>9040.01</v>
      </c>
      <c r="AL98">
        <v>9040.01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103</v>
      </c>
      <c r="AU98">
        <v>60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23.1</v>
      </c>
      <c r="BD98" t="s">
        <v>3</v>
      </c>
      <c r="BE98" t="s">
        <v>3</v>
      </c>
      <c r="BF98" t="s">
        <v>3</v>
      </c>
      <c r="BG98" t="s">
        <v>3</v>
      </c>
      <c r="BH98">
        <v>3</v>
      </c>
      <c r="BI98">
        <v>1</v>
      </c>
      <c r="BJ98" t="s">
        <v>127</v>
      </c>
      <c r="BM98">
        <v>33001</v>
      </c>
      <c r="BN98">
        <v>0</v>
      </c>
      <c r="BO98" t="s">
        <v>124</v>
      </c>
      <c r="BP98">
        <v>1</v>
      </c>
      <c r="BQ98">
        <v>2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103</v>
      </c>
      <c r="CA98">
        <v>60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si="51"/>
        <v>0</v>
      </c>
      <c r="CQ98">
        <f t="shared" si="52"/>
        <v>208824.23100000003</v>
      </c>
      <c r="CR98">
        <f t="shared" si="53"/>
        <v>0</v>
      </c>
      <c r="CS98">
        <f t="shared" si="54"/>
        <v>0</v>
      </c>
      <c r="CT98">
        <f t="shared" si="55"/>
        <v>0</v>
      </c>
      <c r="CU98">
        <f t="shared" si="56"/>
        <v>0</v>
      </c>
      <c r="CV98">
        <f t="shared" si="57"/>
        <v>0</v>
      </c>
      <c r="CW98">
        <f t="shared" si="58"/>
        <v>0</v>
      </c>
      <c r="CX98">
        <f t="shared" si="59"/>
        <v>0</v>
      </c>
      <c r="CY98">
        <f t="shared" si="71"/>
        <v>0</v>
      </c>
      <c r="CZ98">
        <f t="shared" si="72"/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1009</v>
      </c>
      <c r="DV98" t="s">
        <v>126</v>
      </c>
      <c r="DW98" t="s">
        <v>126</v>
      </c>
      <c r="DX98">
        <v>1000</v>
      </c>
      <c r="DZ98" t="s">
        <v>3</v>
      </c>
      <c r="EA98" t="s">
        <v>3</v>
      </c>
      <c r="EB98" t="s">
        <v>3</v>
      </c>
      <c r="EC98" t="s">
        <v>3</v>
      </c>
      <c r="EE98">
        <v>79401925</v>
      </c>
      <c r="EF98">
        <v>2</v>
      </c>
      <c r="EG98" t="s">
        <v>19</v>
      </c>
      <c r="EH98">
        <v>27</v>
      </c>
      <c r="EI98" t="s">
        <v>20</v>
      </c>
      <c r="EJ98">
        <v>1</v>
      </c>
      <c r="EK98">
        <v>33001</v>
      </c>
      <c r="EL98" t="s">
        <v>20</v>
      </c>
      <c r="EM98" t="s">
        <v>21</v>
      </c>
      <c r="EO98" t="s">
        <v>3</v>
      </c>
      <c r="EQ98">
        <v>0</v>
      </c>
      <c r="ER98">
        <v>9040.01</v>
      </c>
      <c r="ES98">
        <v>9040.01</v>
      </c>
      <c r="ET98">
        <v>0</v>
      </c>
      <c r="EU98">
        <v>0</v>
      </c>
      <c r="EV98">
        <v>0</v>
      </c>
      <c r="EW98">
        <v>0</v>
      </c>
      <c r="EX98">
        <v>0</v>
      </c>
      <c r="FQ98">
        <v>0</v>
      </c>
      <c r="FR98">
        <f t="shared" si="62"/>
        <v>0</v>
      </c>
      <c r="FS98">
        <v>0</v>
      </c>
      <c r="FX98">
        <v>103</v>
      </c>
      <c r="FY98">
        <v>60</v>
      </c>
      <c r="GA98" t="s">
        <v>3</v>
      </c>
      <c r="GD98">
        <v>1</v>
      </c>
      <c r="GF98">
        <v>-384985709</v>
      </c>
      <c r="GG98">
        <v>2</v>
      </c>
      <c r="GH98">
        <v>1</v>
      </c>
      <c r="GI98">
        <v>2</v>
      </c>
      <c r="GJ98">
        <v>0</v>
      </c>
      <c r="GK98">
        <v>0</v>
      </c>
      <c r="GL98">
        <f t="shared" si="63"/>
        <v>0</v>
      </c>
      <c r="GM98">
        <f t="shared" si="64"/>
        <v>0</v>
      </c>
      <c r="GN98">
        <f t="shared" si="65"/>
        <v>0</v>
      </c>
      <c r="GO98">
        <f t="shared" si="66"/>
        <v>0</v>
      </c>
      <c r="GP98">
        <f t="shared" si="67"/>
        <v>0</v>
      </c>
      <c r="GR98">
        <v>0</v>
      </c>
      <c r="GS98">
        <v>3</v>
      </c>
      <c r="GT98">
        <v>0</v>
      </c>
      <c r="GU98" t="s">
        <v>3</v>
      </c>
      <c r="GV98">
        <f t="shared" si="68"/>
        <v>0</v>
      </c>
      <c r="GW98">
        <v>1</v>
      </c>
      <c r="GX98">
        <f t="shared" si="69"/>
        <v>0</v>
      </c>
      <c r="HA98">
        <v>0</v>
      </c>
      <c r="HB98">
        <v>0</v>
      </c>
      <c r="HC98">
        <f t="shared" si="70"/>
        <v>0</v>
      </c>
      <c r="HE98" t="s">
        <v>3</v>
      </c>
      <c r="HF98" t="s">
        <v>3</v>
      </c>
      <c r="HM98" t="s">
        <v>3</v>
      </c>
      <c r="HN98" t="s">
        <v>22</v>
      </c>
      <c r="HO98" t="s">
        <v>23</v>
      </c>
      <c r="HP98" t="s">
        <v>20</v>
      </c>
      <c r="HQ98" t="s">
        <v>20</v>
      </c>
      <c r="IK98">
        <v>0</v>
      </c>
    </row>
    <row r="99" spans="1:245" x14ac:dyDescent="0.2">
      <c r="A99">
        <v>18</v>
      </c>
      <c r="B99">
        <v>1</v>
      </c>
      <c r="C99">
        <v>52</v>
      </c>
      <c r="E99" t="s">
        <v>221</v>
      </c>
      <c r="F99" t="s">
        <v>129</v>
      </c>
      <c r="G99" t="s">
        <v>130</v>
      </c>
      <c r="H99" t="s">
        <v>126</v>
      </c>
      <c r="I99">
        <f>I97*J99</f>
        <v>0</v>
      </c>
      <c r="J99">
        <v>0</v>
      </c>
      <c r="K99">
        <v>0</v>
      </c>
      <c r="O99">
        <f t="shared" si="31"/>
        <v>0</v>
      </c>
      <c r="P99">
        <f t="shared" si="32"/>
        <v>0</v>
      </c>
      <c r="Q99">
        <f t="shared" si="33"/>
        <v>0</v>
      </c>
      <c r="R99">
        <f t="shared" si="34"/>
        <v>0</v>
      </c>
      <c r="S99">
        <f t="shared" si="35"/>
        <v>0</v>
      </c>
      <c r="T99">
        <f t="shared" si="36"/>
        <v>0</v>
      </c>
      <c r="U99">
        <f t="shared" si="37"/>
        <v>0</v>
      </c>
      <c r="V99">
        <f t="shared" si="38"/>
        <v>0</v>
      </c>
      <c r="W99">
        <f t="shared" si="39"/>
        <v>0</v>
      </c>
      <c r="X99">
        <f t="shared" si="40"/>
        <v>0</v>
      </c>
      <c r="Y99">
        <f t="shared" si="41"/>
        <v>0</v>
      </c>
      <c r="AA99">
        <v>84185495</v>
      </c>
      <c r="AB99">
        <f t="shared" si="42"/>
        <v>0</v>
      </c>
      <c r="AC99">
        <f t="shared" si="43"/>
        <v>0</v>
      </c>
      <c r="AD99">
        <f t="shared" si="44"/>
        <v>0</v>
      </c>
      <c r="AE99">
        <f t="shared" si="45"/>
        <v>0</v>
      </c>
      <c r="AF99">
        <f t="shared" si="46"/>
        <v>0</v>
      </c>
      <c r="AG99">
        <f t="shared" si="47"/>
        <v>0</v>
      </c>
      <c r="AH99">
        <f t="shared" si="48"/>
        <v>0</v>
      </c>
      <c r="AI99">
        <f t="shared" si="49"/>
        <v>0</v>
      </c>
      <c r="AJ99">
        <f t="shared" si="50"/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103</v>
      </c>
      <c r="AU99">
        <v>60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1</v>
      </c>
      <c r="BJ99" t="s">
        <v>131</v>
      </c>
      <c r="BM99">
        <v>33001</v>
      </c>
      <c r="BN99">
        <v>0</v>
      </c>
      <c r="BO99" t="s">
        <v>3</v>
      </c>
      <c r="BP99">
        <v>0</v>
      </c>
      <c r="BQ99">
        <v>2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103</v>
      </c>
      <c r="CA99">
        <v>60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51"/>
        <v>0</v>
      </c>
      <c r="CQ99">
        <f t="shared" si="52"/>
        <v>0</v>
      </c>
      <c r="CR99">
        <f t="shared" si="53"/>
        <v>0</v>
      </c>
      <c r="CS99">
        <f t="shared" si="54"/>
        <v>0</v>
      </c>
      <c r="CT99">
        <f t="shared" si="55"/>
        <v>0</v>
      </c>
      <c r="CU99">
        <f t="shared" si="56"/>
        <v>0</v>
      </c>
      <c r="CV99">
        <f t="shared" si="57"/>
        <v>0</v>
      </c>
      <c r="CW99">
        <f t="shared" si="58"/>
        <v>0</v>
      </c>
      <c r="CX99">
        <f t="shared" si="59"/>
        <v>0</v>
      </c>
      <c r="CY99">
        <f t="shared" si="71"/>
        <v>0</v>
      </c>
      <c r="CZ99">
        <f t="shared" si="72"/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1009</v>
      </c>
      <c r="DV99" t="s">
        <v>126</v>
      </c>
      <c r="DW99" t="s">
        <v>126</v>
      </c>
      <c r="DX99">
        <v>1000</v>
      </c>
      <c r="DZ99" t="s">
        <v>3</v>
      </c>
      <c r="EA99" t="s">
        <v>3</v>
      </c>
      <c r="EB99" t="s">
        <v>3</v>
      </c>
      <c r="EC99" t="s">
        <v>3</v>
      </c>
      <c r="EE99">
        <v>79401925</v>
      </c>
      <c r="EF99">
        <v>2</v>
      </c>
      <c r="EG99" t="s">
        <v>19</v>
      </c>
      <c r="EH99">
        <v>27</v>
      </c>
      <c r="EI99" t="s">
        <v>20</v>
      </c>
      <c r="EJ99">
        <v>1</v>
      </c>
      <c r="EK99">
        <v>33001</v>
      </c>
      <c r="EL99" t="s">
        <v>20</v>
      </c>
      <c r="EM99" t="s">
        <v>21</v>
      </c>
      <c r="EO99" t="s">
        <v>3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FQ99">
        <v>0</v>
      </c>
      <c r="FR99">
        <f t="shared" si="62"/>
        <v>0</v>
      </c>
      <c r="FS99">
        <v>0</v>
      </c>
      <c r="FX99">
        <v>103</v>
      </c>
      <c r="FY99">
        <v>60</v>
      </c>
      <c r="GA99" t="s">
        <v>3</v>
      </c>
      <c r="GD99">
        <v>1</v>
      </c>
      <c r="GF99">
        <v>361960925</v>
      </c>
      <c r="GG99">
        <v>2</v>
      </c>
      <c r="GH99">
        <v>1</v>
      </c>
      <c r="GI99">
        <v>-2</v>
      </c>
      <c r="GJ99">
        <v>0</v>
      </c>
      <c r="GK99">
        <v>0</v>
      </c>
      <c r="GL99">
        <f t="shared" si="63"/>
        <v>0</v>
      </c>
      <c r="GM99">
        <f t="shared" si="64"/>
        <v>0</v>
      </c>
      <c r="GN99">
        <f t="shared" si="65"/>
        <v>0</v>
      </c>
      <c r="GO99">
        <f t="shared" si="66"/>
        <v>0</v>
      </c>
      <c r="GP99">
        <f t="shared" si="67"/>
        <v>0</v>
      </c>
      <c r="GR99">
        <v>0</v>
      </c>
      <c r="GS99">
        <v>3</v>
      </c>
      <c r="GT99">
        <v>0</v>
      </c>
      <c r="GU99" t="s">
        <v>3</v>
      </c>
      <c r="GV99">
        <f t="shared" si="68"/>
        <v>0</v>
      </c>
      <c r="GW99">
        <v>1</v>
      </c>
      <c r="GX99">
        <f t="shared" si="69"/>
        <v>0</v>
      </c>
      <c r="HA99">
        <v>0</v>
      </c>
      <c r="HB99">
        <v>0</v>
      </c>
      <c r="HC99">
        <f t="shared" si="70"/>
        <v>0</v>
      </c>
      <c r="HE99" t="s">
        <v>3</v>
      </c>
      <c r="HF99" t="s">
        <v>3</v>
      </c>
      <c r="HM99" t="s">
        <v>3</v>
      </c>
      <c r="HN99" t="s">
        <v>22</v>
      </c>
      <c r="HO99" t="s">
        <v>23</v>
      </c>
      <c r="HP99" t="s">
        <v>20</v>
      </c>
      <c r="HQ99" t="s">
        <v>20</v>
      </c>
      <c r="IK99">
        <v>0</v>
      </c>
    </row>
    <row r="100" spans="1:245" x14ac:dyDescent="0.2">
      <c r="A100">
        <v>18</v>
      </c>
      <c r="B100">
        <v>1</v>
      </c>
      <c r="C100">
        <v>53</v>
      </c>
      <c r="E100" t="s">
        <v>222</v>
      </c>
      <c r="F100" t="s">
        <v>133</v>
      </c>
      <c r="G100" t="s">
        <v>134</v>
      </c>
      <c r="H100" t="s">
        <v>135</v>
      </c>
      <c r="I100">
        <f>I97*J100</f>
        <v>0</v>
      </c>
      <c r="J100">
        <v>0</v>
      </c>
      <c r="K100">
        <v>0</v>
      </c>
      <c r="O100">
        <f t="shared" si="31"/>
        <v>0</v>
      </c>
      <c r="P100">
        <f t="shared" si="32"/>
        <v>0</v>
      </c>
      <c r="Q100">
        <f t="shared" si="33"/>
        <v>0</v>
      </c>
      <c r="R100">
        <f t="shared" si="34"/>
        <v>0</v>
      </c>
      <c r="S100">
        <f t="shared" si="35"/>
        <v>0</v>
      </c>
      <c r="T100">
        <f t="shared" si="36"/>
        <v>0</v>
      </c>
      <c r="U100">
        <f t="shared" si="37"/>
        <v>0</v>
      </c>
      <c r="V100">
        <f t="shared" si="38"/>
        <v>0</v>
      </c>
      <c r="W100">
        <f t="shared" si="39"/>
        <v>0</v>
      </c>
      <c r="X100">
        <f t="shared" si="40"/>
        <v>0</v>
      </c>
      <c r="Y100">
        <f t="shared" si="41"/>
        <v>0</v>
      </c>
      <c r="AA100">
        <v>84185495</v>
      </c>
      <c r="AB100">
        <f t="shared" si="42"/>
        <v>0</v>
      </c>
      <c r="AC100">
        <f t="shared" si="43"/>
        <v>0</v>
      </c>
      <c r="AD100">
        <f t="shared" si="44"/>
        <v>0</v>
      </c>
      <c r="AE100">
        <f t="shared" si="45"/>
        <v>0</v>
      </c>
      <c r="AF100">
        <f t="shared" si="46"/>
        <v>0</v>
      </c>
      <c r="AG100">
        <f t="shared" si="47"/>
        <v>0</v>
      </c>
      <c r="AH100">
        <f t="shared" si="48"/>
        <v>0</v>
      </c>
      <c r="AI100">
        <f t="shared" si="49"/>
        <v>0</v>
      </c>
      <c r="AJ100">
        <f t="shared" si="50"/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103</v>
      </c>
      <c r="AU100">
        <v>60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1</v>
      </c>
      <c r="BJ100" t="s">
        <v>136</v>
      </c>
      <c r="BM100">
        <v>33001</v>
      </c>
      <c r="BN100">
        <v>0</v>
      </c>
      <c r="BO100" t="s">
        <v>3</v>
      </c>
      <c r="BP100">
        <v>0</v>
      </c>
      <c r="BQ100">
        <v>2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103</v>
      </c>
      <c r="CA100">
        <v>60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51"/>
        <v>0</v>
      </c>
      <c r="CQ100">
        <f t="shared" si="52"/>
        <v>0</v>
      </c>
      <c r="CR100">
        <f t="shared" si="53"/>
        <v>0</v>
      </c>
      <c r="CS100">
        <f t="shared" si="54"/>
        <v>0</v>
      </c>
      <c r="CT100">
        <f t="shared" si="55"/>
        <v>0</v>
      </c>
      <c r="CU100">
        <f t="shared" si="56"/>
        <v>0</v>
      </c>
      <c r="CV100">
        <f t="shared" si="57"/>
        <v>0</v>
      </c>
      <c r="CW100">
        <f t="shared" si="58"/>
        <v>0</v>
      </c>
      <c r="CX100">
        <f t="shared" si="59"/>
        <v>0</v>
      </c>
      <c r="CY100">
        <f t="shared" si="71"/>
        <v>0</v>
      </c>
      <c r="CZ100">
        <f t="shared" si="72"/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135</v>
      </c>
      <c r="DW100" t="s">
        <v>135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79401925</v>
      </c>
      <c r="EF100">
        <v>2</v>
      </c>
      <c r="EG100" t="s">
        <v>19</v>
      </c>
      <c r="EH100">
        <v>27</v>
      </c>
      <c r="EI100" t="s">
        <v>20</v>
      </c>
      <c r="EJ100">
        <v>1</v>
      </c>
      <c r="EK100">
        <v>33001</v>
      </c>
      <c r="EL100" t="s">
        <v>20</v>
      </c>
      <c r="EM100" t="s">
        <v>21</v>
      </c>
      <c r="EO100" t="s">
        <v>3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FQ100">
        <v>0</v>
      </c>
      <c r="FR100">
        <f t="shared" si="62"/>
        <v>0</v>
      </c>
      <c r="FS100">
        <v>0</v>
      </c>
      <c r="FX100">
        <v>103</v>
      </c>
      <c r="FY100">
        <v>60</v>
      </c>
      <c r="GA100" t="s">
        <v>3</v>
      </c>
      <c r="GD100">
        <v>1</v>
      </c>
      <c r="GF100">
        <v>789151112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si="63"/>
        <v>0</v>
      </c>
      <c r="GM100">
        <f t="shared" si="64"/>
        <v>0</v>
      </c>
      <c r="GN100">
        <f t="shared" si="65"/>
        <v>0</v>
      </c>
      <c r="GO100">
        <f t="shared" si="66"/>
        <v>0</v>
      </c>
      <c r="GP100">
        <f t="shared" si="67"/>
        <v>0</v>
      </c>
      <c r="GR100">
        <v>0</v>
      </c>
      <c r="GS100">
        <v>3</v>
      </c>
      <c r="GT100">
        <v>0</v>
      </c>
      <c r="GU100" t="s">
        <v>3</v>
      </c>
      <c r="GV100">
        <f t="shared" si="68"/>
        <v>0</v>
      </c>
      <c r="GW100">
        <v>1</v>
      </c>
      <c r="GX100">
        <f t="shared" si="69"/>
        <v>0</v>
      </c>
      <c r="HA100">
        <v>0</v>
      </c>
      <c r="HB100">
        <v>0</v>
      </c>
      <c r="HC100">
        <f t="shared" si="70"/>
        <v>0</v>
      </c>
      <c r="HE100" t="s">
        <v>3</v>
      </c>
      <c r="HF100" t="s">
        <v>3</v>
      </c>
      <c r="HM100" t="s">
        <v>3</v>
      </c>
      <c r="HN100" t="s">
        <v>22</v>
      </c>
      <c r="HO100" t="s">
        <v>23</v>
      </c>
      <c r="HP100" t="s">
        <v>20</v>
      </c>
      <c r="HQ100" t="s">
        <v>20</v>
      </c>
      <c r="IK100">
        <v>0</v>
      </c>
    </row>
    <row r="101" spans="1:245" x14ac:dyDescent="0.2">
      <c r="A101">
        <v>18</v>
      </c>
      <c r="B101">
        <v>1</v>
      </c>
      <c r="C101">
        <v>55</v>
      </c>
      <c r="E101" t="s">
        <v>223</v>
      </c>
      <c r="F101" t="s">
        <v>146</v>
      </c>
      <c r="G101" t="s">
        <v>147</v>
      </c>
      <c r="H101" t="s">
        <v>148</v>
      </c>
      <c r="I101">
        <f>I97*J101</f>
        <v>0</v>
      </c>
      <c r="J101">
        <v>0</v>
      </c>
      <c r="K101">
        <v>0</v>
      </c>
      <c r="O101">
        <f t="shared" si="31"/>
        <v>0</v>
      </c>
      <c r="P101">
        <f t="shared" si="32"/>
        <v>0</v>
      </c>
      <c r="Q101">
        <f t="shared" si="33"/>
        <v>0</v>
      </c>
      <c r="R101">
        <f t="shared" si="34"/>
        <v>0</v>
      </c>
      <c r="S101">
        <f t="shared" si="35"/>
        <v>0</v>
      </c>
      <c r="T101">
        <f t="shared" si="36"/>
        <v>0</v>
      </c>
      <c r="U101">
        <f t="shared" si="37"/>
        <v>0</v>
      </c>
      <c r="V101">
        <f t="shared" si="38"/>
        <v>0</v>
      </c>
      <c r="W101">
        <f t="shared" si="39"/>
        <v>0</v>
      </c>
      <c r="X101">
        <f t="shared" si="40"/>
        <v>0</v>
      </c>
      <c r="Y101">
        <f t="shared" si="41"/>
        <v>0</v>
      </c>
      <c r="AA101">
        <v>84185495</v>
      </c>
      <c r="AB101">
        <f t="shared" si="42"/>
        <v>0</v>
      </c>
      <c r="AC101">
        <f t="shared" si="43"/>
        <v>0</v>
      </c>
      <c r="AD101">
        <f t="shared" si="44"/>
        <v>0</v>
      </c>
      <c r="AE101">
        <f t="shared" si="45"/>
        <v>0</v>
      </c>
      <c r="AF101">
        <f t="shared" si="46"/>
        <v>0</v>
      </c>
      <c r="AG101">
        <f t="shared" si="47"/>
        <v>0</v>
      </c>
      <c r="AH101">
        <f t="shared" si="48"/>
        <v>0</v>
      </c>
      <c r="AI101">
        <f t="shared" si="49"/>
        <v>0</v>
      </c>
      <c r="AJ101">
        <f t="shared" si="50"/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103</v>
      </c>
      <c r="AU101">
        <v>60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1</v>
      </c>
      <c r="BJ101" t="s">
        <v>149</v>
      </c>
      <c r="BM101">
        <v>33001</v>
      </c>
      <c r="BN101">
        <v>0</v>
      </c>
      <c r="BO101" t="s">
        <v>3</v>
      </c>
      <c r="BP101">
        <v>0</v>
      </c>
      <c r="BQ101">
        <v>2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103</v>
      </c>
      <c r="CA101">
        <v>60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51"/>
        <v>0</v>
      </c>
      <c r="CQ101">
        <f t="shared" si="52"/>
        <v>0</v>
      </c>
      <c r="CR101">
        <f t="shared" si="53"/>
        <v>0</v>
      </c>
      <c r="CS101">
        <f t="shared" si="54"/>
        <v>0</v>
      </c>
      <c r="CT101">
        <f t="shared" si="55"/>
        <v>0</v>
      </c>
      <c r="CU101">
        <f t="shared" si="56"/>
        <v>0</v>
      </c>
      <c r="CV101">
        <f t="shared" si="57"/>
        <v>0</v>
      </c>
      <c r="CW101">
        <f t="shared" si="58"/>
        <v>0</v>
      </c>
      <c r="CX101">
        <f t="shared" si="59"/>
        <v>0</v>
      </c>
      <c r="CY101">
        <f t="shared" si="71"/>
        <v>0</v>
      </c>
      <c r="CZ101">
        <f t="shared" si="72"/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1009</v>
      </c>
      <c r="DV101" t="s">
        <v>148</v>
      </c>
      <c r="DW101" t="s">
        <v>148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79401925</v>
      </c>
      <c r="EF101">
        <v>2</v>
      </c>
      <c r="EG101" t="s">
        <v>19</v>
      </c>
      <c r="EH101">
        <v>27</v>
      </c>
      <c r="EI101" t="s">
        <v>20</v>
      </c>
      <c r="EJ101">
        <v>1</v>
      </c>
      <c r="EK101">
        <v>33001</v>
      </c>
      <c r="EL101" t="s">
        <v>20</v>
      </c>
      <c r="EM101" t="s">
        <v>21</v>
      </c>
      <c r="EO101" t="s">
        <v>3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FQ101">
        <v>0</v>
      </c>
      <c r="FR101">
        <f t="shared" si="62"/>
        <v>0</v>
      </c>
      <c r="FS101">
        <v>0</v>
      </c>
      <c r="FX101">
        <v>103</v>
      </c>
      <c r="FY101">
        <v>60</v>
      </c>
      <c r="GA101" t="s">
        <v>3</v>
      </c>
      <c r="GD101">
        <v>1</v>
      </c>
      <c r="GF101">
        <v>-1695541033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63"/>
        <v>0</v>
      </c>
      <c r="GM101">
        <f t="shared" si="64"/>
        <v>0</v>
      </c>
      <c r="GN101">
        <f t="shared" si="65"/>
        <v>0</v>
      </c>
      <c r="GO101">
        <f t="shared" si="66"/>
        <v>0</v>
      </c>
      <c r="GP101">
        <f t="shared" si="67"/>
        <v>0</v>
      </c>
      <c r="GR101">
        <v>0</v>
      </c>
      <c r="GS101">
        <v>3</v>
      </c>
      <c r="GT101">
        <v>0</v>
      </c>
      <c r="GU101" t="s">
        <v>3</v>
      </c>
      <c r="GV101">
        <f t="shared" si="68"/>
        <v>0</v>
      </c>
      <c r="GW101">
        <v>1</v>
      </c>
      <c r="GX101">
        <f t="shared" si="69"/>
        <v>0</v>
      </c>
      <c r="HA101">
        <v>0</v>
      </c>
      <c r="HB101">
        <v>0</v>
      </c>
      <c r="HC101">
        <f t="shared" si="70"/>
        <v>0</v>
      </c>
      <c r="HE101" t="s">
        <v>3</v>
      </c>
      <c r="HF101" t="s">
        <v>3</v>
      </c>
      <c r="HM101" t="s">
        <v>3</v>
      </c>
      <c r="HN101" t="s">
        <v>22</v>
      </c>
      <c r="HO101" t="s">
        <v>23</v>
      </c>
      <c r="HP101" t="s">
        <v>20</v>
      </c>
      <c r="HQ101" t="s">
        <v>20</v>
      </c>
      <c r="IK101">
        <v>0</v>
      </c>
    </row>
    <row r="102" spans="1:245" x14ac:dyDescent="0.2">
      <c r="A102">
        <v>18</v>
      </c>
      <c r="B102">
        <v>1</v>
      </c>
      <c r="C102">
        <v>56</v>
      </c>
      <c r="E102" t="s">
        <v>224</v>
      </c>
      <c r="F102" t="s">
        <v>151</v>
      </c>
      <c r="G102" t="s">
        <v>152</v>
      </c>
      <c r="H102" t="s">
        <v>148</v>
      </c>
      <c r="I102">
        <f>I97*J102</f>
        <v>0</v>
      </c>
      <c r="J102">
        <v>0</v>
      </c>
      <c r="K102">
        <v>0</v>
      </c>
      <c r="O102">
        <f t="shared" si="31"/>
        <v>0</v>
      </c>
      <c r="P102">
        <f t="shared" si="32"/>
        <v>0</v>
      </c>
      <c r="Q102">
        <f t="shared" si="33"/>
        <v>0</v>
      </c>
      <c r="R102">
        <f t="shared" si="34"/>
        <v>0</v>
      </c>
      <c r="S102">
        <f t="shared" si="35"/>
        <v>0</v>
      </c>
      <c r="T102">
        <f t="shared" si="36"/>
        <v>0</v>
      </c>
      <c r="U102">
        <f t="shared" si="37"/>
        <v>0</v>
      </c>
      <c r="V102">
        <f t="shared" si="38"/>
        <v>0</v>
      </c>
      <c r="W102">
        <f t="shared" si="39"/>
        <v>0</v>
      </c>
      <c r="X102">
        <f t="shared" si="40"/>
        <v>0</v>
      </c>
      <c r="Y102">
        <f t="shared" si="41"/>
        <v>0</v>
      </c>
      <c r="AA102">
        <v>84185495</v>
      </c>
      <c r="AB102">
        <f t="shared" si="42"/>
        <v>0</v>
      </c>
      <c r="AC102">
        <f t="shared" si="43"/>
        <v>0</v>
      </c>
      <c r="AD102">
        <f t="shared" si="44"/>
        <v>0</v>
      </c>
      <c r="AE102">
        <f t="shared" si="45"/>
        <v>0</v>
      </c>
      <c r="AF102">
        <f t="shared" si="46"/>
        <v>0</v>
      </c>
      <c r="AG102">
        <f t="shared" si="47"/>
        <v>0</v>
      </c>
      <c r="AH102">
        <f t="shared" si="48"/>
        <v>0</v>
      </c>
      <c r="AI102">
        <f t="shared" si="49"/>
        <v>0</v>
      </c>
      <c r="AJ102">
        <f t="shared" si="50"/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103</v>
      </c>
      <c r="AU102">
        <v>60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1</v>
      </c>
      <c r="BJ102" t="s">
        <v>153</v>
      </c>
      <c r="BM102">
        <v>33001</v>
      </c>
      <c r="BN102">
        <v>0</v>
      </c>
      <c r="BO102" t="s">
        <v>3</v>
      </c>
      <c r="BP102">
        <v>0</v>
      </c>
      <c r="BQ102">
        <v>2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103</v>
      </c>
      <c r="CA102">
        <v>60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51"/>
        <v>0</v>
      </c>
      <c r="CQ102">
        <f t="shared" si="52"/>
        <v>0</v>
      </c>
      <c r="CR102">
        <f t="shared" si="53"/>
        <v>0</v>
      </c>
      <c r="CS102">
        <f t="shared" si="54"/>
        <v>0</v>
      </c>
      <c r="CT102">
        <f t="shared" si="55"/>
        <v>0</v>
      </c>
      <c r="CU102">
        <f t="shared" si="56"/>
        <v>0</v>
      </c>
      <c r="CV102">
        <f t="shared" si="57"/>
        <v>0</v>
      </c>
      <c r="CW102">
        <f t="shared" si="58"/>
        <v>0</v>
      </c>
      <c r="CX102">
        <f t="shared" si="59"/>
        <v>0</v>
      </c>
      <c r="CY102">
        <f t="shared" si="71"/>
        <v>0</v>
      </c>
      <c r="CZ102">
        <f t="shared" si="72"/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1009</v>
      </c>
      <c r="DV102" t="s">
        <v>148</v>
      </c>
      <c r="DW102" t="s">
        <v>148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79401925</v>
      </c>
      <c r="EF102">
        <v>2</v>
      </c>
      <c r="EG102" t="s">
        <v>19</v>
      </c>
      <c r="EH102">
        <v>27</v>
      </c>
      <c r="EI102" t="s">
        <v>20</v>
      </c>
      <c r="EJ102">
        <v>1</v>
      </c>
      <c r="EK102">
        <v>33001</v>
      </c>
      <c r="EL102" t="s">
        <v>20</v>
      </c>
      <c r="EM102" t="s">
        <v>21</v>
      </c>
      <c r="EO102" t="s">
        <v>3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FQ102">
        <v>0</v>
      </c>
      <c r="FR102">
        <f t="shared" si="62"/>
        <v>0</v>
      </c>
      <c r="FS102">
        <v>0</v>
      </c>
      <c r="FX102">
        <v>103</v>
      </c>
      <c r="FY102">
        <v>60</v>
      </c>
      <c r="GA102" t="s">
        <v>3</v>
      </c>
      <c r="GD102">
        <v>1</v>
      </c>
      <c r="GF102">
        <v>-2040775826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63"/>
        <v>0</v>
      </c>
      <c r="GM102">
        <f t="shared" si="64"/>
        <v>0</v>
      </c>
      <c r="GN102">
        <f t="shared" si="65"/>
        <v>0</v>
      </c>
      <c r="GO102">
        <f t="shared" si="66"/>
        <v>0</v>
      </c>
      <c r="GP102">
        <f t="shared" si="67"/>
        <v>0</v>
      </c>
      <c r="GR102">
        <v>0</v>
      </c>
      <c r="GS102">
        <v>3</v>
      </c>
      <c r="GT102">
        <v>0</v>
      </c>
      <c r="GU102" t="s">
        <v>3</v>
      </c>
      <c r="GV102">
        <f t="shared" si="68"/>
        <v>0</v>
      </c>
      <c r="GW102">
        <v>1</v>
      </c>
      <c r="GX102">
        <f t="shared" si="69"/>
        <v>0</v>
      </c>
      <c r="HA102">
        <v>0</v>
      </c>
      <c r="HB102">
        <v>0</v>
      </c>
      <c r="HC102">
        <f t="shared" si="70"/>
        <v>0</v>
      </c>
      <c r="HE102" t="s">
        <v>3</v>
      </c>
      <c r="HF102" t="s">
        <v>3</v>
      </c>
      <c r="HM102" t="s">
        <v>3</v>
      </c>
      <c r="HN102" t="s">
        <v>22</v>
      </c>
      <c r="HO102" t="s">
        <v>23</v>
      </c>
      <c r="HP102" t="s">
        <v>20</v>
      </c>
      <c r="HQ102" t="s">
        <v>20</v>
      </c>
      <c r="IK102">
        <v>0</v>
      </c>
    </row>
    <row r="103" spans="1:245" x14ac:dyDescent="0.2">
      <c r="A103">
        <v>17</v>
      </c>
      <c r="B103">
        <v>1</v>
      </c>
      <c r="E103" t="s">
        <v>225</v>
      </c>
      <c r="F103" t="s">
        <v>178</v>
      </c>
      <c r="G103" t="s">
        <v>179</v>
      </c>
      <c r="H103" t="s">
        <v>126</v>
      </c>
      <c r="I103">
        <v>5.169E-3</v>
      </c>
      <c r="J103">
        <v>0</v>
      </c>
      <c r="K103">
        <v>5.169E-3</v>
      </c>
      <c r="O103">
        <f t="shared" si="31"/>
        <v>367.31</v>
      </c>
      <c r="P103">
        <f t="shared" si="32"/>
        <v>367.31</v>
      </c>
      <c r="Q103">
        <f t="shared" si="33"/>
        <v>0</v>
      </c>
      <c r="R103">
        <f t="shared" si="34"/>
        <v>0</v>
      </c>
      <c r="S103">
        <f t="shared" si="35"/>
        <v>0</v>
      </c>
      <c r="T103">
        <f t="shared" si="36"/>
        <v>0</v>
      </c>
      <c r="U103">
        <f t="shared" si="37"/>
        <v>0</v>
      </c>
      <c r="V103">
        <f t="shared" si="38"/>
        <v>0</v>
      </c>
      <c r="W103">
        <f t="shared" si="39"/>
        <v>0</v>
      </c>
      <c r="X103">
        <f t="shared" si="40"/>
        <v>0</v>
      </c>
      <c r="Y103">
        <f t="shared" si="41"/>
        <v>0</v>
      </c>
      <c r="AA103">
        <v>84185495</v>
      </c>
      <c r="AB103">
        <f t="shared" si="42"/>
        <v>6813</v>
      </c>
      <c r="AC103">
        <f t="shared" si="43"/>
        <v>6813</v>
      </c>
      <c r="AD103">
        <f t="shared" si="44"/>
        <v>0</v>
      </c>
      <c r="AE103">
        <f t="shared" si="45"/>
        <v>0</v>
      </c>
      <c r="AF103">
        <f t="shared" si="46"/>
        <v>0</v>
      </c>
      <c r="AG103">
        <f t="shared" si="47"/>
        <v>0</v>
      </c>
      <c r="AH103">
        <f t="shared" si="48"/>
        <v>0</v>
      </c>
      <c r="AI103">
        <f t="shared" si="49"/>
        <v>0</v>
      </c>
      <c r="AJ103">
        <f t="shared" si="50"/>
        <v>0</v>
      </c>
      <c r="AK103">
        <v>6813</v>
      </c>
      <c r="AL103">
        <v>6813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10.43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1</v>
      </c>
      <c r="BJ103" t="s">
        <v>180</v>
      </c>
      <c r="BM103">
        <v>500001</v>
      </c>
      <c r="BN103">
        <v>0</v>
      </c>
      <c r="BO103" t="s">
        <v>178</v>
      </c>
      <c r="BP103">
        <v>1</v>
      </c>
      <c r="BQ103">
        <v>8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0</v>
      </c>
      <c r="CA103">
        <v>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51"/>
        <v>367.31</v>
      </c>
      <c r="CQ103">
        <f t="shared" si="52"/>
        <v>71059.59</v>
      </c>
      <c r="CR103">
        <f t="shared" si="53"/>
        <v>0</v>
      </c>
      <c r="CS103">
        <f t="shared" si="54"/>
        <v>0</v>
      </c>
      <c r="CT103">
        <f t="shared" si="55"/>
        <v>0</v>
      </c>
      <c r="CU103">
        <f t="shared" si="56"/>
        <v>0</v>
      </c>
      <c r="CV103">
        <f t="shared" si="57"/>
        <v>0</v>
      </c>
      <c r="CW103">
        <f t="shared" si="58"/>
        <v>0</v>
      </c>
      <c r="CX103">
        <f t="shared" si="59"/>
        <v>0</v>
      </c>
      <c r="CY103">
        <f>0</f>
        <v>0</v>
      </c>
      <c r="CZ103">
        <f>0</f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1009</v>
      </c>
      <c r="DV103" t="s">
        <v>126</v>
      </c>
      <c r="DW103" t="s">
        <v>126</v>
      </c>
      <c r="DX103">
        <v>1000</v>
      </c>
      <c r="DZ103" t="s">
        <v>3</v>
      </c>
      <c r="EA103" t="s">
        <v>3</v>
      </c>
      <c r="EB103" t="s">
        <v>3</v>
      </c>
      <c r="EC103" t="s">
        <v>3</v>
      </c>
      <c r="EE103">
        <v>79401762</v>
      </c>
      <c r="EF103">
        <v>8</v>
      </c>
      <c r="EG103" t="s">
        <v>166</v>
      </c>
      <c r="EH103">
        <v>0</v>
      </c>
      <c r="EI103" t="s">
        <v>3</v>
      </c>
      <c r="EJ103">
        <v>1</v>
      </c>
      <c r="EK103">
        <v>500001</v>
      </c>
      <c r="EL103" t="s">
        <v>167</v>
      </c>
      <c r="EM103" t="s">
        <v>168</v>
      </c>
      <c r="EO103" t="s">
        <v>3</v>
      </c>
      <c r="EQ103">
        <v>0</v>
      </c>
      <c r="ER103">
        <v>6813</v>
      </c>
      <c r="ES103">
        <v>6813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FQ103">
        <v>0</v>
      </c>
      <c r="FR103">
        <f t="shared" si="62"/>
        <v>0</v>
      </c>
      <c r="FS103">
        <v>0</v>
      </c>
      <c r="FX103">
        <v>0</v>
      </c>
      <c r="FY103">
        <v>0</v>
      </c>
      <c r="GA103" t="s">
        <v>3</v>
      </c>
      <c r="GD103">
        <v>1</v>
      </c>
      <c r="GF103">
        <v>-1375793846</v>
      </c>
      <c r="GG103">
        <v>2</v>
      </c>
      <c r="GH103">
        <v>1</v>
      </c>
      <c r="GI103">
        <v>2</v>
      </c>
      <c r="GJ103">
        <v>0</v>
      </c>
      <c r="GK103">
        <v>0</v>
      </c>
      <c r="GL103">
        <f t="shared" si="63"/>
        <v>0</v>
      </c>
      <c r="GM103">
        <f t="shared" si="64"/>
        <v>367.31</v>
      </c>
      <c r="GN103">
        <f t="shared" si="65"/>
        <v>367.31</v>
      </c>
      <c r="GO103">
        <f t="shared" si="66"/>
        <v>0</v>
      </c>
      <c r="GP103">
        <f t="shared" si="67"/>
        <v>0</v>
      </c>
      <c r="GR103">
        <v>0</v>
      </c>
      <c r="GS103">
        <v>3</v>
      </c>
      <c r="GT103">
        <v>0</v>
      </c>
      <c r="GU103" t="s">
        <v>3</v>
      </c>
      <c r="GV103">
        <f t="shared" si="68"/>
        <v>0</v>
      </c>
      <c r="GW103">
        <v>1</v>
      </c>
      <c r="GX103">
        <f t="shared" si="69"/>
        <v>0</v>
      </c>
      <c r="HA103">
        <v>0</v>
      </c>
      <c r="HB103">
        <v>0</v>
      </c>
      <c r="HC103">
        <f t="shared" si="70"/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">
      <c r="A104">
        <v>17</v>
      </c>
      <c r="B104">
        <v>1</v>
      </c>
      <c r="C104">
        <f>ROW(SmtRes!A63)</f>
        <v>63</v>
      </c>
      <c r="D104">
        <f>ROW(EtalonRes!A63)</f>
        <v>63</v>
      </c>
      <c r="E104" t="s">
        <v>226</v>
      </c>
      <c r="F104" t="s">
        <v>227</v>
      </c>
      <c r="G104" t="s">
        <v>228</v>
      </c>
      <c r="H104" t="s">
        <v>229</v>
      </c>
      <c r="I104">
        <v>2</v>
      </c>
      <c r="J104">
        <v>0</v>
      </c>
      <c r="K104">
        <v>2</v>
      </c>
      <c r="O104">
        <f t="shared" si="31"/>
        <v>2988.38</v>
      </c>
      <c r="P104">
        <f t="shared" si="32"/>
        <v>701.79</v>
      </c>
      <c r="Q104">
        <f t="shared" si="33"/>
        <v>1835.13</v>
      </c>
      <c r="R104">
        <f t="shared" si="34"/>
        <v>387.26</v>
      </c>
      <c r="S104">
        <f t="shared" si="35"/>
        <v>451.46</v>
      </c>
      <c r="T104">
        <f t="shared" si="36"/>
        <v>0</v>
      </c>
      <c r="U104">
        <f t="shared" si="37"/>
        <v>1.62</v>
      </c>
      <c r="V104">
        <f t="shared" si="38"/>
        <v>1.22</v>
      </c>
      <c r="W104">
        <f t="shared" si="39"/>
        <v>0</v>
      </c>
      <c r="X104">
        <f t="shared" si="40"/>
        <v>863.88</v>
      </c>
      <c r="Y104">
        <f t="shared" si="41"/>
        <v>503.23</v>
      </c>
      <c r="AA104">
        <v>84185495</v>
      </c>
      <c r="AB104">
        <f t="shared" si="42"/>
        <v>140.05000000000001</v>
      </c>
      <c r="AC104">
        <f t="shared" si="43"/>
        <v>33.26</v>
      </c>
      <c r="AD104">
        <f t="shared" si="44"/>
        <v>100.39</v>
      </c>
      <c r="AE104">
        <f t="shared" si="45"/>
        <v>5.49</v>
      </c>
      <c r="AF104">
        <f t="shared" si="46"/>
        <v>6.4</v>
      </c>
      <c r="AG104">
        <f t="shared" si="47"/>
        <v>0</v>
      </c>
      <c r="AH104">
        <f t="shared" si="48"/>
        <v>0.81</v>
      </c>
      <c r="AI104">
        <f t="shared" si="49"/>
        <v>0.61</v>
      </c>
      <c r="AJ104">
        <f t="shared" si="50"/>
        <v>0</v>
      </c>
      <c r="AK104">
        <v>140.05000000000001</v>
      </c>
      <c r="AL104">
        <v>33.26</v>
      </c>
      <c r="AM104">
        <v>100.39</v>
      </c>
      <c r="AN104">
        <v>5.49</v>
      </c>
      <c r="AO104">
        <v>6.4</v>
      </c>
      <c r="AP104">
        <v>0</v>
      </c>
      <c r="AQ104">
        <v>0.81</v>
      </c>
      <c r="AR104">
        <v>0.61</v>
      </c>
      <c r="AS104">
        <v>0</v>
      </c>
      <c r="AT104">
        <v>103</v>
      </c>
      <c r="AU104">
        <v>60</v>
      </c>
      <c r="AV104">
        <v>1</v>
      </c>
      <c r="AW104">
        <v>1</v>
      </c>
      <c r="AZ104">
        <v>1</v>
      </c>
      <c r="BA104">
        <v>35.270000000000003</v>
      </c>
      <c r="BB104">
        <v>9.14</v>
      </c>
      <c r="BC104">
        <v>10.55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230</v>
      </c>
      <c r="BM104">
        <v>33001</v>
      </c>
      <c r="BN104">
        <v>0</v>
      </c>
      <c r="BO104" t="s">
        <v>227</v>
      </c>
      <c r="BP104">
        <v>1</v>
      </c>
      <c r="BQ104">
        <v>2</v>
      </c>
      <c r="BR104">
        <v>0</v>
      </c>
      <c r="BS104">
        <v>35.270000000000003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103</v>
      </c>
      <c r="CA104">
        <v>60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51"/>
        <v>2988.38</v>
      </c>
      <c r="CQ104">
        <f t="shared" si="52"/>
        <v>350.89300000000003</v>
      </c>
      <c r="CR104">
        <f t="shared" si="53"/>
        <v>917.56460000000004</v>
      </c>
      <c r="CS104">
        <f t="shared" si="54"/>
        <v>193.63230000000001</v>
      </c>
      <c r="CT104">
        <f t="shared" si="55"/>
        <v>225.72800000000004</v>
      </c>
      <c r="CU104">
        <f t="shared" si="56"/>
        <v>0</v>
      </c>
      <c r="CV104">
        <f t="shared" si="57"/>
        <v>0.81</v>
      </c>
      <c r="CW104">
        <f t="shared" si="58"/>
        <v>0.61</v>
      </c>
      <c r="CX104">
        <f t="shared" si="59"/>
        <v>0</v>
      </c>
      <c r="CY104">
        <f>(((S104+R104)*AT104)/100)</f>
        <v>863.88160000000005</v>
      </c>
      <c r="CZ104">
        <f>(((S104+R104)*AU104)/100)</f>
        <v>503.23200000000003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229</v>
      </c>
      <c r="DW104" t="s">
        <v>229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79401925</v>
      </c>
      <c r="EF104">
        <v>2</v>
      </c>
      <c r="EG104" t="s">
        <v>19</v>
      </c>
      <c r="EH104">
        <v>27</v>
      </c>
      <c r="EI104" t="s">
        <v>20</v>
      </c>
      <c r="EJ104">
        <v>1</v>
      </c>
      <c r="EK104">
        <v>33001</v>
      </c>
      <c r="EL104" t="s">
        <v>20</v>
      </c>
      <c r="EM104" t="s">
        <v>21</v>
      </c>
      <c r="EO104" t="s">
        <v>3</v>
      </c>
      <c r="EQ104">
        <v>0</v>
      </c>
      <c r="ER104">
        <v>140.05000000000001</v>
      </c>
      <c r="ES104">
        <v>33.26</v>
      </c>
      <c r="ET104">
        <v>100.39</v>
      </c>
      <c r="EU104">
        <v>5.49</v>
      </c>
      <c r="EV104">
        <v>6.4</v>
      </c>
      <c r="EW104">
        <v>0.81</v>
      </c>
      <c r="EX104">
        <v>0.61</v>
      </c>
      <c r="EY104">
        <v>0</v>
      </c>
      <c r="FQ104">
        <v>0</v>
      </c>
      <c r="FR104">
        <f t="shared" si="62"/>
        <v>0</v>
      </c>
      <c r="FS104">
        <v>0</v>
      </c>
      <c r="FX104">
        <v>103</v>
      </c>
      <c r="FY104">
        <v>60</v>
      </c>
      <c r="GA104" t="s">
        <v>3</v>
      </c>
      <c r="GD104">
        <v>1</v>
      </c>
      <c r="GF104">
        <v>-1716539149</v>
      </c>
      <c r="GG104">
        <v>2</v>
      </c>
      <c r="GH104">
        <v>1</v>
      </c>
      <c r="GI104">
        <v>2</v>
      </c>
      <c r="GJ104">
        <v>0</v>
      </c>
      <c r="GK104">
        <v>0</v>
      </c>
      <c r="GL104">
        <f t="shared" si="63"/>
        <v>0</v>
      </c>
      <c r="GM104">
        <f t="shared" si="64"/>
        <v>4355.49</v>
      </c>
      <c r="GN104">
        <f t="shared" si="65"/>
        <v>4355.49</v>
      </c>
      <c r="GO104">
        <f t="shared" si="66"/>
        <v>0</v>
      </c>
      <c r="GP104">
        <f t="shared" si="67"/>
        <v>0</v>
      </c>
      <c r="GR104">
        <v>0</v>
      </c>
      <c r="GS104">
        <v>3</v>
      </c>
      <c r="GT104">
        <v>0</v>
      </c>
      <c r="GU104" t="s">
        <v>3</v>
      </c>
      <c r="GV104">
        <f t="shared" si="68"/>
        <v>0</v>
      </c>
      <c r="GW104">
        <v>1</v>
      </c>
      <c r="GX104">
        <f t="shared" si="69"/>
        <v>0</v>
      </c>
      <c r="HA104">
        <v>0</v>
      </c>
      <c r="HB104">
        <v>0</v>
      </c>
      <c r="HC104">
        <f t="shared" si="70"/>
        <v>0</v>
      </c>
      <c r="HE104" t="s">
        <v>3</v>
      </c>
      <c r="HF104" t="s">
        <v>3</v>
      </c>
      <c r="HM104" t="s">
        <v>3</v>
      </c>
      <c r="HN104" t="s">
        <v>22</v>
      </c>
      <c r="HO104" t="s">
        <v>23</v>
      </c>
      <c r="HP104" t="s">
        <v>20</v>
      </c>
      <c r="HQ104" t="s">
        <v>20</v>
      </c>
      <c r="IK104">
        <v>0</v>
      </c>
    </row>
    <row r="105" spans="1:245" x14ac:dyDescent="0.2">
      <c r="A105">
        <v>18</v>
      </c>
      <c r="B105">
        <v>1</v>
      </c>
      <c r="C105">
        <v>63</v>
      </c>
      <c r="E105" t="s">
        <v>231</v>
      </c>
      <c r="F105" t="s">
        <v>232</v>
      </c>
      <c r="G105" t="s">
        <v>233</v>
      </c>
      <c r="H105" t="s">
        <v>126</v>
      </c>
      <c r="I105">
        <f>I104*J105</f>
        <v>-0.01</v>
      </c>
      <c r="J105">
        <v>-5.0000000000000001E-3</v>
      </c>
      <c r="K105">
        <v>-5.0000000000000001E-3</v>
      </c>
      <c r="O105">
        <f t="shared" si="31"/>
        <v>-694.35</v>
      </c>
      <c r="P105">
        <f t="shared" si="32"/>
        <v>-694.35</v>
      </c>
      <c r="Q105">
        <f t="shared" si="33"/>
        <v>0</v>
      </c>
      <c r="R105">
        <f t="shared" si="34"/>
        <v>0</v>
      </c>
      <c r="S105">
        <f t="shared" si="35"/>
        <v>0</v>
      </c>
      <c r="T105">
        <f t="shared" si="36"/>
        <v>0</v>
      </c>
      <c r="U105">
        <f t="shared" si="37"/>
        <v>0</v>
      </c>
      <c r="V105">
        <f t="shared" si="38"/>
        <v>0</v>
      </c>
      <c r="W105">
        <f t="shared" si="39"/>
        <v>0</v>
      </c>
      <c r="X105">
        <f t="shared" si="40"/>
        <v>0</v>
      </c>
      <c r="Y105">
        <f t="shared" si="41"/>
        <v>0</v>
      </c>
      <c r="AA105">
        <v>84185495</v>
      </c>
      <c r="AB105">
        <f t="shared" si="42"/>
        <v>6594</v>
      </c>
      <c r="AC105">
        <f t="shared" si="43"/>
        <v>6594</v>
      </c>
      <c r="AD105">
        <f t="shared" si="44"/>
        <v>0</v>
      </c>
      <c r="AE105">
        <f t="shared" si="45"/>
        <v>0</v>
      </c>
      <c r="AF105">
        <f t="shared" si="46"/>
        <v>0</v>
      </c>
      <c r="AG105">
        <f t="shared" si="47"/>
        <v>0</v>
      </c>
      <c r="AH105">
        <f t="shared" si="48"/>
        <v>0</v>
      </c>
      <c r="AI105">
        <f t="shared" si="49"/>
        <v>0</v>
      </c>
      <c r="AJ105">
        <f t="shared" si="50"/>
        <v>0</v>
      </c>
      <c r="AK105">
        <v>6594</v>
      </c>
      <c r="AL105">
        <v>6594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103</v>
      </c>
      <c r="AU105">
        <v>60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10.53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1</v>
      </c>
      <c r="BJ105" t="s">
        <v>234</v>
      </c>
      <c r="BM105">
        <v>33001</v>
      </c>
      <c r="BN105">
        <v>0</v>
      </c>
      <c r="BO105" t="s">
        <v>232</v>
      </c>
      <c r="BP105">
        <v>1</v>
      </c>
      <c r="BQ105">
        <v>2</v>
      </c>
      <c r="BR105">
        <v>1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103</v>
      </c>
      <c r="CA105">
        <v>60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51"/>
        <v>-694.35</v>
      </c>
      <c r="CQ105">
        <f t="shared" si="52"/>
        <v>69434.819999999992</v>
      </c>
      <c r="CR105">
        <f t="shared" si="53"/>
        <v>0</v>
      </c>
      <c r="CS105">
        <f t="shared" si="54"/>
        <v>0</v>
      </c>
      <c r="CT105">
        <f t="shared" si="55"/>
        <v>0</v>
      </c>
      <c r="CU105">
        <f t="shared" si="56"/>
        <v>0</v>
      </c>
      <c r="CV105">
        <f t="shared" si="57"/>
        <v>0</v>
      </c>
      <c r="CW105">
        <f t="shared" si="58"/>
        <v>0</v>
      </c>
      <c r="CX105">
        <f t="shared" si="59"/>
        <v>0</v>
      </c>
      <c r="CY105">
        <f>(((S105+R105)*AT105)/100)</f>
        <v>0</v>
      </c>
      <c r="CZ105">
        <f>(((S105+R105)*AU105)/100)</f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1009</v>
      </c>
      <c r="DV105" t="s">
        <v>126</v>
      </c>
      <c r="DW105" t="s">
        <v>126</v>
      </c>
      <c r="DX105">
        <v>1000</v>
      </c>
      <c r="DZ105" t="s">
        <v>3</v>
      </c>
      <c r="EA105" t="s">
        <v>3</v>
      </c>
      <c r="EB105" t="s">
        <v>3</v>
      </c>
      <c r="EC105" t="s">
        <v>3</v>
      </c>
      <c r="EE105">
        <v>79401925</v>
      </c>
      <c r="EF105">
        <v>2</v>
      </c>
      <c r="EG105" t="s">
        <v>19</v>
      </c>
      <c r="EH105">
        <v>27</v>
      </c>
      <c r="EI105" t="s">
        <v>20</v>
      </c>
      <c r="EJ105">
        <v>1</v>
      </c>
      <c r="EK105">
        <v>33001</v>
      </c>
      <c r="EL105" t="s">
        <v>20</v>
      </c>
      <c r="EM105" t="s">
        <v>21</v>
      </c>
      <c r="EO105" t="s">
        <v>3</v>
      </c>
      <c r="EQ105">
        <v>0</v>
      </c>
      <c r="ER105">
        <v>6594</v>
      </c>
      <c r="ES105">
        <v>6594</v>
      </c>
      <c r="ET105">
        <v>0</v>
      </c>
      <c r="EU105">
        <v>0</v>
      </c>
      <c r="EV105">
        <v>0</v>
      </c>
      <c r="EW105">
        <v>0</v>
      </c>
      <c r="EX105">
        <v>0</v>
      </c>
      <c r="FQ105">
        <v>0</v>
      </c>
      <c r="FR105">
        <f t="shared" si="62"/>
        <v>0</v>
      </c>
      <c r="FS105">
        <v>0</v>
      </c>
      <c r="FX105">
        <v>103</v>
      </c>
      <c r="FY105">
        <v>60</v>
      </c>
      <c r="GA105" t="s">
        <v>3</v>
      </c>
      <c r="GD105">
        <v>1</v>
      </c>
      <c r="GF105">
        <v>1308337192</v>
      </c>
      <c r="GG105">
        <v>2</v>
      </c>
      <c r="GH105">
        <v>1</v>
      </c>
      <c r="GI105">
        <v>2</v>
      </c>
      <c r="GJ105">
        <v>0</v>
      </c>
      <c r="GK105">
        <v>0</v>
      </c>
      <c r="GL105">
        <f t="shared" si="63"/>
        <v>0</v>
      </c>
      <c r="GM105">
        <f t="shared" si="64"/>
        <v>-694.35</v>
      </c>
      <c r="GN105">
        <f t="shared" si="65"/>
        <v>-694.35</v>
      </c>
      <c r="GO105">
        <f t="shared" si="66"/>
        <v>0</v>
      </c>
      <c r="GP105">
        <f t="shared" si="67"/>
        <v>0</v>
      </c>
      <c r="GR105">
        <v>0</v>
      </c>
      <c r="GS105">
        <v>3</v>
      </c>
      <c r="GT105">
        <v>0</v>
      </c>
      <c r="GU105" t="s">
        <v>3</v>
      </c>
      <c r="GV105">
        <f t="shared" si="68"/>
        <v>0</v>
      </c>
      <c r="GW105">
        <v>1</v>
      </c>
      <c r="GX105">
        <f t="shared" si="69"/>
        <v>0</v>
      </c>
      <c r="HA105">
        <v>0</v>
      </c>
      <c r="HB105">
        <v>0</v>
      </c>
      <c r="HC105">
        <f t="shared" si="70"/>
        <v>0</v>
      </c>
      <c r="HE105" t="s">
        <v>3</v>
      </c>
      <c r="HF105" t="s">
        <v>3</v>
      </c>
      <c r="HM105" t="s">
        <v>3</v>
      </c>
      <c r="HN105" t="s">
        <v>22</v>
      </c>
      <c r="HO105" t="s">
        <v>23</v>
      </c>
      <c r="HP105" t="s">
        <v>20</v>
      </c>
      <c r="HQ105" t="s">
        <v>20</v>
      </c>
      <c r="IK105">
        <v>0</v>
      </c>
    </row>
    <row r="106" spans="1:245" x14ac:dyDescent="0.2">
      <c r="A106">
        <v>17</v>
      </c>
      <c r="B106">
        <v>1</v>
      </c>
      <c r="E106" t="s">
        <v>235</v>
      </c>
      <c r="F106" t="s">
        <v>236</v>
      </c>
      <c r="G106" t="s">
        <v>237</v>
      </c>
      <c r="H106" t="s">
        <v>126</v>
      </c>
      <c r="I106">
        <f>ROUND(0.011115*2,9)</f>
        <v>2.223E-2</v>
      </c>
      <c r="J106">
        <v>0</v>
      </c>
      <c r="K106">
        <f>ROUND(0.011115*2,9)</f>
        <v>2.223E-2</v>
      </c>
      <c r="O106">
        <f t="shared" si="31"/>
        <v>1845.79</v>
      </c>
      <c r="P106">
        <f t="shared" si="32"/>
        <v>1845.79</v>
      </c>
      <c r="Q106">
        <f t="shared" si="33"/>
        <v>0</v>
      </c>
      <c r="R106">
        <f t="shared" si="34"/>
        <v>0</v>
      </c>
      <c r="S106">
        <f t="shared" si="35"/>
        <v>0</v>
      </c>
      <c r="T106">
        <f t="shared" si="36"/>
        <v>0</v>
      </c>
      <c r="U106">
        <f t="shared" si="37"/>
        <v>0</v>
      </c>
      <c r="V106">
        <f t="shared" si="38"/>
        <v>0</v>
      </c>
      <c r="W106">
        <f t="shared" si="39"/>
        <v>0</v>
      </c>
      <c r="X106">
        <f t="shared" si="40"/>
        <v>0</v>
      </c>
      <c r="Y106">
        <f t="shared" si="41"/>
        <v>0</v>
      </c>
      <c r="AA106">
        <v>84185495</v>
      </c>
      <c r="AB106">
        <f t="shared" si="42"/>
        <v>6074</v>
      </c>
      <c r="AC106">
        <f t="shared" si="43"/>
        <v>6074</v>
      </c>
      <c r="AD106">
        <f t="shared" si="44"/>
        <v>0</v>
      </c>
      <c r="AE106">
        <f t="shared" si="45"/>
        <v>0</v>
      </c>
      <c r="AF106">
        <f t="shared" si="46"/>
        <v>0</v>
      </c>
      <c r="AG106">
        <f t="shared" si="47"/>
        <v>0</v>
      </c>
      <c r="AH106">
        <f t="shared" si="48"/>
        <v>0</v>
      </c>
      <c r="AI106">
        <f t="shared" si="49"/>
        <v>0</v>
      </c>
      <c r="AJ106">
        <f t="shared" si="50"/>
        <v>0</v>
      </c>
      <c r="AK106">
        <v>6074</v>
      </c>
      <c r="AL106">
        <v>6074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13.67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1</v>
      </c>
      <c r="BJ106" t="s">
        <v>238</v>
      </c>
      <c r="BM106">
        <v>500001</v>
      </c>
      <c r="BN106">
        <v>0</v>
      </c>
      <c r="BO106" t="s">
        <v>236</v>
      </c>
      <c r="BP106">
        <v>1</v>
      </c>
      <c r="BQ106">
        <v>8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0</v>
      </c>
      <c r="CA106">
        <v>0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51"/>
        <v>1845.79</v>
      </c>
      <c r="CQ106">
        <f t="shared" si="52"/>
        <v>83031.58</v>
      </c>
      <c r="CR106">
        <f t="shared" si="53"/>
        <v>0</v>
      </c>
      <c r="CS106">
        <f t="shared" si="54"/>
        <v>0</v>
      </c>
      <c r="CT106">
        <f t="shared" si="55"/>
        <v>0</v>
      </c>
      <c r="CU106">
        <f t="shared" si="56"/>
        <v>0</v>
      </c>
      <c r="CV106">
        <f t="shared" si="57"/>
        <v>0</v>
      </c>
      <c r="CW106">
        <f t="shared" si="58"/>
        <v>0</v>
      </c>
      <c r="CX106">
        <f t="shared" si="59"/>
        <v>0</v>
      </c>
      <c r="CY106">
        <f>0</f>
        <v>0</v>
      </c>
      <c r="CZ106">
        <f>0</f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1009</v>
      </c>
      <c r="DV106" t="s">
        <v>126</v>
      </c>
      <c r="DW106" t="s">
        <v>126</v>
      </c>
      <c r="DX106">
        <v>1000</v>
      </c>
      <c r="DZ106" t="s">
        <v>3</v>
      </c>
      <c r="EA106" t="s">
        <v>3</v>
      </c>
      <c r="EB106" t="s">
        <v>3</v>
      </c>
      <c r="EC106" t="s">
        <v>3</v>
      </c>
      <c r="EE106">
        <v>79401762</v>
      </c>
      <c r="EF106">
        <v>8</v>
      </c>
      <c r="EG106" t="s">
        <v>166</v>
      </c>
      <c r="EH106">
        <v>0</v>
      </c>
      <c r="EI106" t="s">
        <v>3</v>
      </c>
      <c r="EJ106">
        <v>1</v>
      </c>
      <c r="EK106">
        <v>500001</v>
      </c>
      <c r="EL106" t="s">
        <v>167</v>
      </c>
      <c r="EM106" t="s">
        <v>168</v>
      </c>
      <c r="EO106" t="s">
        <v>3</v>
      </c>
      <c r="EQ106">
        <v>0</v>
      </c>
      <c r="ER106">
        <v>6074</v>
      </c>
      <c r="ES106">
        <v>6074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FQ106">
        <v>0</v>
      </c>
      <c r="FR106">
        <f t="shared" si="62"/>
        <v>0</v>
      </c>
      <c r="FS106">
        <v>0</v>
      </c>
      <c r="FX106">
        <v>0</v>
      </c>
      <c r="FY106">
        <v>0</v>
      </c>
      <c r="GA106" t="s">
        <v>3</v>
      </c>
      <c r="GD106">
        <v>1</v>
      </c>
      <c r="GF106">
        <v>-362657570</v>
      </c>
      <c r="GG106">
        <v>2</v>
      </c>
      <c r="GH106">
        <v>1</v>
      </c>
      <c r="GI106">
        <v>2</v>
      </c>
      <c r="GJ106">
        <v>0</v>
      </c>
      <c r="GK106">
        <v>0</v>
      </c>
      <c r="GL106">
        <f t="shared" si="63"/>
        <v>0</v>
      </c>
      <c r="GM106">
        <f t="shared" si="64"/>
        <v>1845.79</v>
      </c>
      <c r="GN106">
        <f t="shared" si="65"/>
        <v>1845.79</v>
      </c>
      <c r="GO106">
        <f t="shared" si="66"/>
        <v>0</v>
      </c>
      <c r="GP106">
        <f t="shared" si="67"/>
        <v>0</v>
      </c>
      <c r="GR106">
        <v>0</v>
      </c>
      <c r="GS106">
        <v>3</v>
      </c>
      <c r="GT106">
        <v>0</v>
      </c>
      <c r="GU106" t="s">
        <v>3</v>
      </c>
      <c r="GV106">
        <f t="shared" si="68"/>
        <v>0</v>
      </c>
      <c r="GW106">
        <v>1</v>
      </c>
      <c r="GX106">
        <f t="shared" si="69"/>
        <v>0</v>
      </c>
      <c r="HA106">
        <v>0</v>
      </c>
      <c r="HB106">
        <v>0</v>
      </c>
      <c r="HC106">
        <f t="shared" si="70"/>
        <v>0</v>
      </c>
      <c r="HE106" t="s">
        <v>3</v>
      </c>
      <c r="HF106" t="s">
        <v>3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IK106">
        <v>0</v>
      </c>
    </row>
    <row r="107" spans="1:245" x14ac:dyDescent="0.2">
      <c r="A107">
        <v>17</v>
      </c>
      <c r="B107">
        <v>1</v>
      </c>
      <c r="C107">
        <f>ROW(SmtRes!A69)</f>
        <v>69</v>
      </c>
      <c r="D107">
        <f>ROW(EtalonRes!A69)</f>
        <v>69</v>
      </c>
      <c r="E107" t="s">
        <v>239</v>
      </c>
      <c r="F107" t="s">
        <v>240</v>
      </c>
      <c r="G107" t="s">
        <v>241</v>
      </c>
      <c r="H107" t="s">
        <v>242</v>
      </c>
      <c r="I107">
        <v>1</v>
      </c>
      <c r="J107">
        <v>0</v>
      </c>
      <c r="K107">
        <v>1</v>
      </c>
      <c r="O107">
        <f t="shared" si="31"/>
        <v>20011.27</v>
      </c>
      <c r="P107">
        <f t="shared" si="32"/>
        <v>0</v>
      </c>
      <c r="Q107">
        <f t="shared" si="33"/>
        <v>10946.17</v>
      </c>
      <c r="R107">
        <f t="shared" si="34"/>
        <v>2974.32</v>
      </c>
      <c r="S107">
        <f t="shared" si="35"/>
        <v>9065.1</v>
      </c>
      <c r="T107">
        <f t="shared" si="36"/>
        <v>0</v>
      </c>
      <c r="U107">
        <f t="shared" si="37"/>
        <v>28.59</v>
      </c>
      <c r="V107">
        <f t="shared" si="38"/>
        <v>8.4499999999999993</v>
      </c>
      <c r="W107">
        <f t="shared" si="39"/>
        <v>0</v>
      </c>
      <c r="X107">
        <f t="shared" si="40"/>
        <v>12400.6</v>
      </c>
      <c r="Y107">
        <f t="shared" si="41"/>
        <v>7223.65</v>
      </c>
      <c r="AA107">
        <v>84185495</v>
      </c>
      <c r="AB107">
        <f t="shared" si="42"/>
        <v>1214.69</v>
      </c>
      <c r="AC107">
        <f t="shared" si="43"/>
        <v>0</v>
      </c>
      <c r="AD107">
        <f t="shared" si="44"/>
        <v>957.67</v>
      </c>
      <c r="AE107">
        <f t="shared" si="45"/>
        <v>84.33</v>
      </c>
      <c r="AF107">
        <f t="shared" si="46"/>
        <v>257.02</v>
      </c>
      <c r="AG107">
        <f t="shared" si="47"/>
        <v>0</v>
      </c>
      <c r="AH107">
        <f t="shared" si="48"/>
        <v>28.59</v>
      </c>
      <c r="AI107">
        <f t="shared" si="49"/>
        <v>8.4499999999999993</v>
      </c>
      <c r="AJ107">
        <f t="shared" si="50"/>
        <v>0</v>
      </c>
      <c r="AK107">
        <v>1214.69</v>
      </c>
      <c r="AL107">
        <v>0</v>
      </c>
      <c r="AM107">
        <v>957.67</v>
      </c>
      <c r="AN107">
        <v>84.33</v>
      </c>
      <c r="AO107">
        <v>257.02</v>
      </c>
      <c r="AP107">
        <v>0</v>
      </c>
      <c r="AQ107">
        <v>28.59</v>
      </c>
      <c r="AR107">
        <v>8.4499999999999993</v>
      </c>
      <c r="AS107">
        <v>0</v>
      </c>
      <c r="AT107">
        <v>103</v>
      </c>
      <c r="AU107">
        <v>60</v>
      </c>
      <c r="AV107">
        <v>1</v>
      </c>
      <c r="AW107">
        <v>1</v>
      </c>
      <c r="AZ107">
        <v>1</v>
      </c>
      <c r="BA107">
        <v>35.270000000000003</v>
      </c>
      <c r="BB107">
        <v>11.43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1</v>
      </c>
      <c r="BJ107" t="s">
        <v>243</v>
      </c>
      <c r="BM107">
        <v>33001</v>
      </c>
      <c r="BN107">
        <v>0</v>
      </c>
      <c r="BO107" t="s">
        <v>240</v>
      </c>
      <c r="BP107">
        <v>1</v>
      </c>
      <c r="BQ107">
        <v>2</v>
      </c>
      <c r="BR107">
        <v>0</v>
      </c>
      <c r="BS107">
        <v>35.270000000000003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103</v>
      </c>
      <c r="CA107">
        <v>60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51"/>
        <v>20011.27</v>
      </c>
      <c r="CQ107">
        <f t="shared" si="52"/>
        <v>0</v>
      </c>
      <c r="CR107">
        <f t="shared" si="53"/>
        <v>10946.168099999999</v>
      </c>
      <c r="CS107">
        <f t="shared" si="54"/>
        <v>2974.3191000000002</v>
      </c>
      <c r="CT107">
        <f t="shared" si="55"/>
        <v>9065.0954000000002</v>
      </c>
      <c r="CU107">
        <f t="shared" si="56"/>
        <v>0</v>
      </c>
      <c r="CV107">
        <f t="shared" si="57"/>
        <v>28.59</v>
      </c>
      <c r="CW107">
        <f t="shared" si="58"/>
        <v>8.4499999999999993</v>
      </c>
      <c r="CX107">
        <f t="shared" si="59"/>
        <v>0</v>
      </c>
      <c r="CY107">
        <f>(((S107+R107)*AT107)/100)</f>
        <v>12400.6026</v>
      </c>
      <c r="CZ107">
        <f>(((S107+R107)*AU107)/100)</f>
        <v>7223.6519999999991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1013</v>
      </c>
      <c r="DV107" t="s">
        <v>242</v>
      </c>
      <c r="DW107" t="s">
        <v>242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79401925</v>
      </c>
      <c r="EF107">
        <v>2</v>
      </c>
      <c r="EG107" t="s">
        <v>19</v>
      </c>
      <c r="EH107">
        <v>27</v>
      </c>
      <c r="EI107" t="s">
        <v>20</v>
      </c>
      <c r="EJ107">
        <v>1</v>
      </c>
      <c r="EK107">
        <v>33001</v>
      </c>
      <c r="EL107" t="s">
        <v>20</v>
      </c>
      <c r="EM107" t="s">
        <v>21</v>
      </c>
      <c r="EO107" t="s">
        <v>3</v>
      </c>
      <c r="EQ107">
        <v>0</v>
      </c>
      <c r="ER107">
        <v>1214.69</v>
      </c>
      <c r="ES107">
        <v>0</v>
      </c>
      <c r="ET107">
        <v>957.67</v>
      </c>
      <c r="EU107">
        <v>84.33</v>
      </c>
      <c r="EV107">
        <v>257.02</v>
      </c>
      <c r="EW107">
        <v>28.59</v>
      </c>
      <c r="EX107">
        <v>8.4499999999999993</v>
      </c>
      <c r="EY107">
        <v>0</v>
      </c>
      <c r="FQ107">
        <v>0</v>
      </c>
      <c r="FR107">
        <f t="shared" si="62"/>
        <v>0</v>
      </c>
      <c r="FS107">
        <v>0</v>
      </c>
      <c r="FX107">
        <v>103</v>
      </c>
      <c r="FY107">
        <v>60</v>
      </c>
      <c r="GA107" t="s">
        <v>3</v>
      </c>
      <c r="GD107">
        <v>1</v>
      </c>
      <c r="GF107">
        <v>1771872970</v>
      </c>
      <c r="GG107">
        <v>2</v>
      </c>
      <c r="GH107">
        <v>1</v>
      </c>
      <c r="GI107">
        <v>2</v>
      </c>
      <c r="GJ107">
        <v>0</v>
      </c>
      <c r="GK107">
        <v>0</v>
      </c>
      <c r="GL107">
        <f t="shared" si="63"/>
        <v>0</v>
      </c>
      <c r="GM107">
        <f t="shared" si="64"/>
        <v>39635.519999999997</v>
      </c>
      <c r="GN107">
        <f t="shared" si="65"/>
        <v>39635.519999999997</v>
      </c>
      <c r="GO107">
        <f t="shared" si="66"/>
        <v>0</v>
      </c>
      <c r="GP107">
        <f t="shared" si="67"/>
        <v>0</v>
      </c>
      <c r="GR107">
        <v>0</v>
      </c>
      <c r="GS107">
        <v>3</v>
      </c>
      <c r="GT107">
        <v>0</v>
      </c>
      <c r="GU107" t="s">
        <v>3</v>
      </c>
      <c r="GV107">
        <f t="shared" si="68"/>
        <v>0</v>
      </c>
      <c r="GW107">
        <v>1</v>
      </c>
      <c r="GX107">
        <f t="shared" si="69"/>
        <v>0</v>
      </c>
      <c r="HA107">
        <v>0</v>
      </c>
      <c r="HB107">
        <v>0</v>
      </c>
      <c r="HC107">
        <f t="shared" si="70"/>
        <v>0</v>
      </c>
      <c r="HE107" t="s">
        <v>3</v>
      </c>
      <c r="HF107" t="s">
        <v>3</v>
      </c>
      <c r="HM107" t="s">
        <v>3</v>
      </c>
      <c r="HN107" t="s">
        <v>22</v>
      </c>
      <c r="HO107" t="s">
        <v>23</v>
      </c>
      <c r="HP107" t="s">
        <v>20</v>
      </c>
      <c r="HQ107" t="s">
        <v>20</v>
      </c>
      <c r="IK107">
        <v>0</v>
      </c>
    </row>
    <row r="108" spans="1:245" x14ac:dyDescent="0.2">
      <c r="A108">
        <v>18</v>
      </c>
      <c r="B108">
        <v>1</v>
      </c>
      <c r="C108">
        <v>69</v>
      </c>
      <c r="E108" t="s">
        <v>244</v>
      </c>
      <c r="F108" t="s">
        <v>146</v>
      </c>
      <c r="G108" t="s">
        <v>147</v>
      </c>
      <c r="H108" t="s">
        <v>148</v>
      </c>
      <c r="I108">
        <f>I107*J108</f>
        <v>0</v>
      </c>
      <c r="J108">
        <v>0</v>
      </c>
      <c r="K108">
        <v>0</v>
      </c>
      <c r="O108">
        <f t="shared" si="31"/>
        <v>0</v>
      </c>
      <c r="P108">
        <f t="shared" si="32"/>
        <v>0</v>
      </c>
      <c r="Q108">
        <f t="shared" si="33"/>
        <v>0</v>
      </c>
      <c r="R108">
        <f t="shared" si="34"/>
        <v>0</v>
      </c>
      <c r="S108">
        <f t="shared" si="35"/>
        <v>0</v>
      </c>
      <c r="T108">
        <f t="shared" si="36"/>
        <v>0</v>
      </c>
      <c r="U108">
        <f t="shared" si="37"/>
        <v>0</v>
      </c>
      <c r="V108">
        <f t="shared" si="38"/>
        <v>0</v>
      </c>
      <c r="W108">
        <f t="shared" si="39"/>
        <v>0</v>
      </c>
      <c r="X108">
        <f t="shared" si="40"/>
        <v>0</v>
      </c>
      <c r="Y108">
        <f t="shared" si="41"/>
        <v>0</v>
      </c>
      <c r="AA108">
        <v>84185495</v>
      </c>
      <c r="AB108">
        <f t="shared" si="42"/>
        <v>0</v>
      </c>
      <c r="AC108">
        <f t="shared" si="43"/>
        <v>0</v>
      </c>
      <c r="AD108">
        <f t="shared" si="44"/>
        <v>0</v>
      </c>
      <c r="AE108">
        <f t="shared" si="45"/>
        <v>0</v>
      </c>
      <c r="AF108">
        <f t="shared" si="46"/>
        <v>0</v>
      </c>
      <c r="AG108">
        <f t="shared" si="47"/>
        <v>0</v>
      </c>
      <c r="AH108">
        <f t="shared" si="48"/>
        <v>0</v>
      </c>
      <c r="AI108">
        <f t="shared" si="49"/>
        <v>0</v>
      </c>
      <c r="AJ108">
        <f t="shared" si="50"/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103</v>
      </c>
      <c r="AU108">
        <v>60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1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1</v>
      </c>
      <c r="BJ108" t="s">
        <v>149</v>
      </c>
      <c r="BM108">
        <v>33001</v>
      </c>
      <c r="BN108">
        <v>0</v>
      </c>
      <c r="BO108" t="s">
        <v>3</v>
      </c>
      <c r="BP108">
        <v>0</v>
      </c>
      <c r="BQ108">
        <v>2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103</v>
      </c>
      <c r="CA108">
        <v>60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51"/>
        <v>0</v>
      </c>
      <c r="CQ108">
        <f t="shared" si="52"/>
        <v>0</v>
      </c>
      <c r="CR108">
        <f t="shared" si="53"/>
        <v>0</v>
      </c>
      <c r="CS108">
        <f t="shared" si="54"/>
        <v>0</v>
      </c>
      <c r="CT108">
        <f t="shared" si="55"/>
        <v>0</v>
      </c>
      <c r="CU108">
        <f t="shared" si="56"/>
        <v>0</v>
      </c>
      <c r="CV108">
        <f t="shared" si="57"/>
        <v>0</v>
      </c>
      <c r="CW108">
        <f t="shared" si="58"/>
        <v>0</v>
      </c>
      <c r="CX108">
        <f t="shared" si="59"/>
        <v>0</v>
      </c>
      <c r="CY108">
        <f>(((S108+R108)*AT108)/100)</f>
        <v>0</v>
      </c>
      <c r="CZ108">
        <f>(((S108+R108)*AU108)/100)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1009</v>
      </c>
      <c r="DV108" t="s">
        <v>148</v>
      </c>
      <c r="DW108" t="s">
        <v>148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79401925</v>
      </c>
      <c r="EF108">
        <v>2</v>
      </c>
      <c r="EG108" t="s">
        <v>19</v>
      </c>
      <c r="EH108">
        <v>27</v>
      </c>
      <c r="EI108" t="s">
        <v>20</v>
      </c>
      <c r="EJ108">
        <v>1</v>
      </c>
      <c r="EK108">
        <v>33001</v>
      </c>
      <c r="EL108" t="s">
        <v>20</v>
      </c>
      <c r="EM108" t="s">
        <v>21</v>
      </c>
      <c r="EO108" t="s">
        <v>3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FQ108">
        <v>0</v>
      </c>
      <c r="FR108">
        <f t="shared" si="62"/>
        <v>0</v>
      </c>
      <c r="FS108">
        <v>0</v>
      </c>
      <c r="FX108">
        <v>103</v>
      </c>
      <c r="FY108">
        <v>60</v>
      </c>
      <c r="GA108" t="s">
        <v>3</v>
      </c>
      <c r="GD108">
        <v>1</v>
      </c>
      <c r="GF108">
        <v>-1695541033</v>
      </c>
      <c r="GG108">
        <v>2</v>
      </c>
      <c r="GH108">
        <v>1</v>
      </c>
      <c r="GI108">
        <v>-2</v>
      </c>
      <c r="GJ108">
        <v>0</v>
      </c>
      <c r="GK108">
        <v>0</v>
      </c>
      <c r="GL108">
        <f t="shared" si="63"/>
        <v>0</v>
      </c>
      <c r="GM108">
        <f t="shared" si="64"/>
        <v>0</v>
      </c>
      <c r="GN108">
        <f t="shared" si="65"/>
        <v>0</v>
      </c>
      <c r="GO108">
        <f t="shared" si="66"/>
        <v>0</v>
      </c>
      <c r="GP108">
        <f t="shared" si="67"/>
        <v>0</v>
      </c>
      <c r="GR108">
        <v>0</v>
      </c>
      <c r="GS108">
        <v>3</v>
      </c>
      <c r="GT108">
        <v>0</v>
      </c>
      <c r="GU108" t="s">
        <v>3</v>
      </c>
      <c r="GV108">
        <f t="shared" si="68"/>
        <v>0</v>
      </c>
      <c r="GW108">
        <v>1</v>
      </c>
      <c r="GX108">
        <f t="shared" si="69"/>
        <v>0</v>
      </c>
      <c r="HA108">
        <v>0</v>
      </c>
      <c r="HB108">
        <v>0</v>
      </c>
      <c r="HC108">
        <f t="shared" si="70"/>
        <v>0</v>
      </c>
      <c r="HE108" t="s">
        <v>3</v>
      </c>
      <c r="HF108" t="s">
        <v>3</v>
      </c>
      <c r="HM108" t="s">
        <v>3</v>
      </c>
      <c r="HN108" t="s">
        <v>22</v>
      </c>
      <c r="HO108" t="s">
        <v>23</v>
      </c>
      <c r="HP108" t="s">
        <v>20</v>
      </c>
      <c r="HQ108" t="s">
        <v>20</v>
      </c>
      <c r="IK108">
        <v>0</v>
      </c>
    </row>
    <row r="109" spans="1:245" x14ac:dyDescent="0.2">
      <c r="A109">
        <v>17</v>
      </c>
      <c r="B109">
        <v>1</v>
      </c>
      <c r="E109" t="s">
        <v>245</v>
      </c>
      <c r="F109" t="s">
        <v>246</v>
      </c>
      <c r="G109" t="s">
        <v>247</v>
      </c>
      <c r="H109" t="s">
        <v>248</v>
      </c>
      <c r="I109">
        <v>1</v>
      </c>
      <c r="J109">
        <v>0</v>
      </c>
      <c r="K109">
        <v>1</v>
      </c>
      <c r="O109">
        <f t="shared" si="31"/>
        <v>0</v>
      </c>
      <c r="P109">
        <f t="shared" si="32"/>
        <v>0</v>
      </c>
      <c r="Q109">
        <f t="shared" si="33"/>
        <v>0</v>
      </c>
      <c r="R109">
        <f t="shared" si="34"/>
        <v>0</v>
      </c>
      <c r="S109">
        <f t="shared" si="35"/>
        <v>0</v>
      </c>
      <c r="T109">
        <f t="shared" si="36"/>
        <v>0</v>
      </c>
      <c r="U109">
        <f t="shared" si="37"/>
        <v>0</v>
      </c>
      <c r="V109">
        <f t="shared" si="38"/>
        <v>0</v>
      </c>
      <c r="W109">
        <f t="shared" si="39"/>
        <v>0</v>
      </c>
      <c r="X109">
        <f t="shared" si="40"/>
        <v>0</v>
      </c>
      <c r="Y109">
        <f t="shared" si="41"/>
        <v>0</v>
      </c>
      <c r="AA109">
        <v>84185495</v>
      </c>
      <c r="AB109">
        <f t="shared" si="42"/>
        <v>0</v>
      </c>
      <c r="AC109">
        <f t="shared" si="43"/>
        <v>0</v>
      </c>
      <c r="AD109">
        <f t="shared" si="44"/>
        <v>0</v>
      </c>
      <c r="AE109">
        <f t="shared" si="45"/>
        <v>0</v>
      </c>
      <c r="AF109">
        <f t="shared" si="46"/>
        <v>0</v>
      </c>
      <c r="AG109">
        <f t="shared" si="47"/>
        <v>0</v>
      </c>
      <c r="AH109">
        <f t="shared" si="48"/>
        <v>0</v>
      </c>
      <c r="AI109">
        <f t="shared" si="49"/>
        <v>0</v>
      </c>
      <c r="AJ109">
        <f t="shared" si="50"/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3</v>
      </c>
      <c r="BJ109" t="s">
        <v>3</v>
      </c>
      <c r="BM109">
        <v>100</v>
      </c>
      <c r="BN109">
        <v>0</v>
      </c>
      <c r="BO109" t="s">
        <v>3</v>
      </c>
      <c r="BP109">
        <v>0</v>
      </c>
      <c r="BQ109">
        <v>5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0</v>
      </c>
      <c r="CA109">
        <v>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51"/>
        <v>0</v>
      </c>
      <c r="CQ109">
        <f t="shared" si="52"/>
        <v>0</v>
      </c>
      <c r="CR109">
        <f t="shared" si="53"/>
        <v>0</v>
      </c>
      <c r="CS109">
        <f t="shared" si="54"/>
        <v>0</v>
      </c>
      <c r="CT109">
        <f t="shared" si="55"/>
        <v>0</v>
      </c>
      <c r="CU109">
        <f t="shared" si="56"/>
        <v>0</v>
      </c>
      <c r="CV109">
        <f t="shared" si="57"/>
        <v>0</v>
      </c>
      <c r="CW109">
        <f t="shared" si="58"/>
        <v>0</v>
      </c>
      <c r="CX109">
        <f t="shared" si="59"/>
        <v>0</v>
      </c>
      <c r="CY109">
        <f>0</f>
        <v>0</v>
      </c>
      <c r="CZ109">
        <f>0</f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248</v>
      </c>
      <c r="DW109" t="s">
        <v>248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79402077</v>
      </c>
      <c r="EF109">
        <v>5</v>
      </c>
      <c r="EG109" t="s">
        <v>249</v>
      </c>
      <c r="EH109">
        <v>0</v>
      </c>
      <c r="EI109" t="s">
        <v>3</v>
      </c>
      <c r="EJ109">
        <v>3</v>
      </c>
      <c r="EK109">
        <v>100</v>
      </c>
      <c r="EL109" t="s">
        <v>250</v>
      </c>
      <c r="EM109" t="s">
        <v>251</v>
      </c>
      <c r="EO109" t="s">
        <v>3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FQ109">
        <v>0</v>
      </c>
      <c r="FR109">
        <f t="shared" si="62"/>
        <v>0</v>
      </c>
      <c r="FS109">
        <v>1</v>
      </c>
      <c r="FX109">
        <v>0</v>
      </c>
      <c r="FY109">
        <v>0</v>
      </c>
      <c r="GA109" t="s">
        <v>3</v>
      </c>
      <c r="GD109">
        <v>1</v>
      </c>
      <c r="GF109">
        <v>564497582</v>
      </c>
      <c r="GG109">
        <v>2</v>
      </c>
      <c r="GH109">
        <v>0</v>
      </c>
      <c r="GI109">
        <v>-2</v>
      </c>
      <c r="GJ109">
        <v>0</v>
      </c>
      <c r="GK109">
        <v>0</v>
      </c>
      <c r="GL109">
        <f t="shared" si="63"/>
        <v>0</v>
      </c>
      <c r="GM109">
        <f t="shared" si="64"/>
        <v>0</v>
      </c>
      <c r="GN109">
        <f t="shared" si="65"/>
        <v>0</v>
      </c>
      <c r="GO109">
        <f t="shared" si="66"/>
        <v>0</v>
      </c>
      <c r="GP109">
        <f t="shared" si="67"/>
        <v>0</v>
      </c>
      <c r="GR109">
        <v>0</v>
      </c>
      <c r="GS109">
        <v>0</v>
      </c>
      <c r="GT109">
        <v>0</v>
      </c>
      <c r="GU109" t="s">
        <v>3</v>
      </c>
      <c r="GV109">
        <f t="shared" si="68"/>
        <v>0</v>
      </c>
      <c r="GW109">
        <v>1</v>
      </c>
      <c r="GX109">
        <f t="shared" si="69"/>
        <v>0</v>
      </c>
      <c r="HA109">
        <v>0</v>
      </c>
      <c r="HB109">
        <v>0</v>
      </c>
      <c r="HC109">
        <f t="shared" si="70"/>
        <v>0</v>
      </c>
      <c r="HE109" t="s">
        <v>3</v>
      </c>
      <c r="HF109" t="s">
        <v>3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IK109">
        <v>0</v>
      </c>
    </row>
    <row r="110" spans="1:245" x14ac:dyDescent="0.2">
      <c r="A110">
        <v>19</v>
      </c>
      <c r="B110">
        <v>1</v>
      </c>
      <c r="F110" t="s">
        <v>3</v>
      </c>
      <c r="G110" t="s">
        <v>252</v>
      </c>
      <c r="H110" t="s">
        <v>3</v>
      </c>
      <c r="AA110">
        <v>1</v>
      </c>
      <c r="IK110">
        <v>0</v>
      </c>
    </row>
    <row r="111" spans="1:245" x14ac:dyDescent="0.2">
      <c r="A111">
        <v>17</v>
      </c>
      <c r="B111">
        <v>1</v>
      </c>
      <c r="C111">
        <f>ROW(SmtRes!A70)</f>
        <v>70</v>
      </c>
      <c r="D111">
        <f>ROW(EtalonRes!A70)</f>
        <v>70</v>
      </c>
      <c r="E111" t="s">
        <v>253</v>
      </c>
      <c r="F111" t="s">
        <v>254</v>
      </c>
      <c r="G111" t="s">
        <v>255</v>
      </c>
      <c r="H111" t="s">
        <v>256</v>
      </c>
      <c r="I111">
        <f>ROUND(2.5/100,9)</f>
        <v>2.5000000000000001E-2</v>
      </c>
      <c r="J111">
        <v>0</v>
      </c>
      <c r="K111">
        <f>ROUND(2.5/100,9)</f>
        <v>2.5000000000000001E-2</v>
      </c>
      <c r="O111">
        <f t="shared" ref="O111:O119" si="73">ROUND(CP111,2)</f>
        <v>989.91</v>
      </c>
      <c r="P111">
        <f t="shared" ref="P111:P119" si="74">ROUND(CQ111*I111,2)</f>
        <v>0</v>
      </c>
      <c r="Q111">
        <f t="shared" ref="Q111:Q119" si="75">ROUND(CR111*I111,2)</f>
        <v>0</v>
      </c>
      <c r="R111">
        <f t="shared" ref="R111:R119" si="76">ROUND(CS111*I111,2)</f>
        <v>0</v>
      </c>
      <c r="S111">
        <f t="shared" ref="S111:S119" si="77">ROUND(CT111*I111,2)</f>
        <v>989.91</v>
      </c>
      <c r="T111">
        <f t="shared" ref="T111:T119" si="78">ROUND(CU111*I111,2)</f>
        <v>0</v>
      </c>
      <c r="U111">
        <f t="shared" ref="U111:U119" si="79">CV111*I111</f>
        <v>3.85</v>
      </c>
      <c r="V111">
        <f t="shared" ref="V111:V119" si="80">CW111*I111</f>
        <v>0</v>
      </c>
      <c r="W111">
        <f t="shared" ref="W111:W119" si="81">ROUND(CX111*I111,2)</f>
        <v>0</v>
      </c>
      <c r="X111">
        <f t="shared" ref="X111:X119" si="82">ROUND(CY111,2)</f>
        <v>881.02</v>
      </c>
      <c r="Y111">
        <f t="shared" ref="Y111:Y119" si="83">ROUND(CZ111,2)</f>
        <v>395.96</v>
      </c>
      <c r="AA111">
        <v>84185495</v>
      </c>
      <c r="AB111">
        <f t="shared" ref="AB111:AB119" si="84">ROUND((AC111+AD111+AF111),2)</f>
        <v>1122.6600000000001</v>
      </c>
      <c r="AC111">
        <f t="shared" ref="AC111:AC119" si="85">ROUND((ES111),2)</f>
        <v>0</v>
      </c>
      <c r="AD111">
        <f t="shared" ref="AD111:AD119" si="86">ROUND((((ET111)-(EU111))+AE111),2)</f>
        <v>0</v>
      </c>
      <c r="AE111">
        <f t="shared" ref="AE111:AE119" si="87">ROUND((EU111),2)</f>
        <v>0</v>
      </c>
      <c r="AF111">
        <f t="shared" ref="AF111:AF119" si="88">ROUND((EV111),2)</f>
        <v>1122.6600000000001</v>
      </c>
      <c r="AG111">
        <f t="shared" ref="AG111:AG119" si="89">ROUND((AP111),2)</f>
        <v>0</v>
      </c>
      <c r="AH111">
        <f t="shared" ref="AH111:AH119" si="90">(EW111)</f>
        <v>154</v>
      </c>
      <c r="AI111">
        <f t="shared" ref="AI111:AI119" si="91">(EX111)</f>
        <v>0</v>
      </c>
      <c r="AJ111">
        <f t="shared" ref="AJ111:AJ119" si="92">(AS111)</f>
        <v>0</v>
      </c>
      <c r="AK111">
        <v>1122.6600000000001</v>
      </c>
      <c r="AL111">
        <v>0</v>
      </c>
      <c r="AM111">
        <v>0</v>
      </c>
      <c r="AN111">
        <v>0</v>
      </c>
      <c r="AO111">
        <v>1122.6600000000001</v>
      </c>
      <c r="AP111">
        <v>0</v>
      </c>
      <c r="AQ111">
        <v>154</v>
      </c>
      <c r="AR111">
        <v>0</v>
      </c>
      <c r="AS111">
        <v>0</v>
      </c>
      <c r="AT111">
        <v>89</v>
      </c>
      <c r="AU111">
        <v>40</v>
      </c>
      <c r="AV111">
        <v>1</v>
      </c>
      <c r="AW111">
        <v>1</v>
      </c>
      <c r="AZ111">
        <v>1</v>
      </c>
      <c r="BA111">
        <v>35.270000000000003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257</v>
      </c>
      <c r="BM111">
        <v>1003</v>
      </c>
      <c r="BN111">
        <v>0</v>
      </c>
      <c r="BO111" t="s">
        <v>254</v>
      </c>
      <c r="BP111">
        <v>1</v>
      </c>
      <c r="BQ111">
        <v>2</v>
      </c>
      <c r="BR111">
        <v>0</v>
      </c>
      <c r="BS111">
        <v>35.270000000000003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89</v>
      </c>
      <c r="CA111">
        <v>40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ref="CP111:CP119" si="93">(P111+Q111+S111)</f>
        <v>989.91</v>
      </c>
      <c r="CQ111">
        <f t="shared" ref="CQ111:CQ119" si="94">AC111*BC111</f>
        <v>0</v>
      </c>
      <c r="CR111">
        <f t="shared" ref="CR111:CR119" si="95">(((ET111)*BB111-(EU111)*BS111)+AE111*BS111)</f>
        <v>0</v>
      </c>
      <c r="CS111">
        <f t="shared" ref="CS111:CS119" si="96">AE111*BS111</f>
        <v>0</v>
      </c>
      <c r="CT111">
        <f t="shared" ref="CT111:CT119" si="97">AF111*BA111</f>
        <v>39596.218200000003</v>
      </c>
      <c r="CU111">
        <f t="shared" ref="CU111:CU119" si="98">AG111</f>
        <v>0</v>
      </c>
      <c r="CV111">
        <f t="shared" ref="CV111:CV119" si="99">AH111</f>
        <v>154</v>
      </c>
      <c r="CW111">
        <f t="shared" ref="CW111:CW119" si="100">AI111</f>
        <v>0</v>
      </c>
      <c r="CX111">
        <f t="shared" ref="CX111:CX119" si="101">AJ111</f>
        <v>0</v>
      </c>
      <c r="CY111">
        <f>(((S111+R111)*AT111)/100)</f>
        <v>881.01989999999989</v>
      </c>
      <c r="CZ111">
        <f>(((S111+R111)*AU111)/100)</f>
        <v>395.964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256</v>
      </c>
      <c r="DW111" t="s">
        <v>256</v>
      </c>
      <c r="DX111">
        <v>1</v>
      </c>
      <c r="DZ111" t="s">
        <v>3</v>
      </c>
      <c r="EA111" t="s">
        <v>3</v>
      </c>
      <c r="EB111" t="s">
        <v>3</v>
      </c>
      <c r="EC111" t="s">
        <v>3</v>
      </c>
      <c r="EE111">
        <v>79401808</v>
      </c>
      <c r="EF111">
        <v>2</v>
      </c>
      <c r="EG111" t="s">
        <v>19</v>
      </c>
      <c r="EH111">
        <v>1</v>
      </c>
      <c r="EI111" t="s">
        <v>258</v>
      </c>
      <c r="EJ111">
        <v>1</v>
      </c>
      <c r="EK111">
        <v>1003</v>
      </c>
      <c r="EL111" t="s">
        <v>259</v>
      </c>
      <c r="EM111" t="s">
        <v>260</v>
      </c>
      <c r="EO111" t="s">
        <v>3</v>
      </c>
      <c r="EQ111">
        <v>0</v>
      </c>
      <c r="ER111">
        <v>1122.6600000000001</v>
      </c>
      <c r="ES111">
        <v>0</v>
      </c>
      <c r="ET111">
        <v>0</v>
      </c>
      <c r="EU111">
        <v>0</v>
      </c>
      <c r="EV111">
        <v>1122.6600000000001</v>
      </c>
      <c r="EW111">
        <v>154</v>
      </c>
      <c r="EX111">
        <v>0</v>
      </c>
      <c r="EY111">
        <v>0</v>
      </c>
      <c r="FQ111">
        <v>0</v>
      </c>
      <c r="FR111">
        <f t="shared" ref="FR111:FR119" si="102">ROUND(IF(BI111=3,GM111,0),2)</f>
        <v>0</v>
      </c>
      <c r="FS111">
        <v>0</v>
      </c>
      <c r="FX111">
        <v>89</v>
      </c>
      <c r="FY111">
        <v>40</v>
      </c>
      <c r="GA111" t="s">
        <v>3</v>
      </c>
      <c r="GD111">
        <v>1</v>
      </c>
      <c r="GF111">
        <v>1907499899</v>
      </c>
      <c r="GG111">
        <v>2</v>
      </c>
      <c r="GH111">
        <v>1</v>
      </c>
      <c r="GI111">
        <v>2</v>
      </c>
      <c r="GJ111">
        <v>0</v>
      </c>
      <c r="GK111">
        <v>0</v>
      </c>
      <c r="GL111">
        <f t="shared" ref="GL111:GL119" si="103">ROUND(IF(AND(BH111=3,BI111=3,FS111&lt;&gt;0),P111,0),2)</f>
        <v>0</v>
      </c>
      <c r="GM111">
        <f t="shared" ref="GM111:GM119" si="104">ROUND(O111+X111+Y111,2)+GX111</f>
        <v>2266.89</v>
      </c>
      <c r="GN111">
        <f t="shared" ref="GN111:GN119" si="105">IF(OR(BI111=0,BI111=1),GM111,0)</f>
        <v>2266.89</v>
      </c>
      <c r="GO111">
        <f t="shared" ref="GO111:GO119" si="106">IF(BI111=2,GM111,0)</f>
        <v>0</v>
      </c>
      <c r="GP111">
        <f t="shared" ref="GP111:GP119" si="107">IF(BI111=4,GM111+GX111,0)</f>
        <v>0</v>
      </c>
      <c r="GR111">
        <v>0</v>
      </c>
      <c r="GS111">
        <v>3</v>
      </c>
      <c r="GT111">
        <v>0</v>
      </c>
      <c r="GU111" t="s">
        <v>3</v>
      </c>
      <c r="GV111">
        <f t="shared" ref="GV111:GV119" si="108">ROUND((GT111),2)</f>
        <v>0</v>
      </c>
      <c r="GW111">
        <v>1</v>
      </c>
      <c r="GX111">
        <f t="shared" ref="GX111:GX119" si="109">ROUND(HC111*I111,2)</f>
        <v>0</v>
      </c>
      <c r="HA111">
        <v>0</v>
      </c>
      <c r="HB111">
        <v>0</v>
      </c>
      <c r="HC111">
        <f t="shared" ref="HC111:HC119" si="110">GV111*GW111</f>
        <v>0</v>
      </c>
      <c r="HE111" t="s">
        <v>3</v>
      </c>
      <c r="HF111" t="s">
        <v>3</v>
      </c>
      <c r="HM111" t="s">
        <v>3</v>
      </c>
      <c r="HN111" t="s">
        <v>261</v>
      </c>
      <c r="HO111" t="s">
        <v>262</v>
      </c>
      <c r="HP111" t="s">
        <v>259</v>
      </c>
      <c r="HQ111" t="s">
        <v>259</v>
      </c>
      <c r="IK111">
        <v>0</v>
      </c>
    </row>
    <row r="112" spans="1:245" x14ac:dyDescent="0.2">
      <c r="A112">
        <v>17</v>
      </c>
      <c r="B112">
        <v>1</v>
      </c>
      <c r="C112">
        <f>ROW(SmtRes!A71)</f>
        <v>71</v>
      </c>
      <c r="D112">
        <f>ROW(EtalonRes!A71)</f>
        <v>71</v>
      </c>
      <c r="E112" t="s">
        <v>263</v>
      </c>
      <c r="F112" t="s">
        <v>264</v>
      </c>
      <c r="G112" t="s">
        <v>265</v>
      </c>
      <c r="H112" t="s">
        <v>256</v>
      </c>
      <c r="I112">
        <f>ROUND(2.5/100,9)</f>
        <v>2.5000000000000001E-2</v>
      </c>
      <c r="J112">
        <v>0</v>
      </c>
      <c r="K112">
        <f>ROUND(2.5/100,9)</f>
        <v>2.5000000000000001E-2</v>
      </c>
      <c r="O112">
        <f t="shared" si="73"/>
        <v>600.79999999999995</v>
      </c>
      <c r="P112">
        <f t="shared" si="74"/>
        <v>0</v>
      </c>
      <c r="Q112">
        <f t="shared" si="75"/>
        <v>0</v>
      </c>
      <c r="R112">
        <f t="shared" si="76"/>
        <v>0</v>
      </c>
      <c r="S112">
        <f t="shared" si="77"/>
        <v>600.79999999999995</v>
      </c>
      <c r="T112">
        <f t="shared" si="78"/>
        <v>0</v>
      </c>
      <c r="U112">
        <f t="shared" si="79"/>
        <v>2.4300000000000002</v>
      </c>
      <c r="V112">
        <f t="shared" si="80"/>
        <v>0</v>
      </c>
      <c r="W112">
        <f t="shared" si="81"/>
        <v>0</v>
      </c>
      <c r="X112">
        <f t="shared" si="82"/>
        <v>534.71</v>
      </c>
      <c r="Y112">
        <f t="shared" si="83"/>
        <v>240.32</v>
      </c>
      <c r="AA112">
        <v>84185495</v>
      </c>
      <c r="AB112">
        <f t="shared" si="84"/>
        <v>681.37</v>
      </c>
      <c r="AC112">
        <f t="shared" si="85"/>
        <v>0</v>
      </c>
      <c r="AD112">
        <f t="shared" si="86"/>
        <v>0</v>
      </c>
      <c r="AE112">
        <f t="shared" si="87"/>
        <v>0</v>
      </c>
      <c r="AF112">
        <f t="shared" si="88"/>
        <v>681.37</v>
      </c>
      <c r="AG112">
        <f t="shared" si="89"/>
        <v>0</v>
      </c>
      <c r="AH112">
        <f t="shared" si="90"/>
        <v>97.2</v>
      </c>
      <c r="AI112">
        <f t="shared" si="91"/>
        <v>0</v>
      </c>
      <c r="AJ112">
        <f t="shared" si="92"/>
        <v>0</v>
      </c>
      <c r="AK112">
        <v>681.37</v>
      </c>
      <c r="AL112">
        <v>0</v>
      </c>
      <c r="AM112">
        <v>0</v>
      </c>
      <c r="AN112">
        <v>0</v>
      </c>
      <c r="AO112">
        <v>681.37</v>
      </c>
      <c r="AP112">
        <v>0</v>
      </c>
      <c r="AQ112">
        <v>97.2</v>
      </c>
      <c r="AR112">
        <v>0</v>
      </c>
      <c r="AS112">
        <v>0</v>
      </c>
      <c r="AT112">
        <v>89</v>
      </c>
      <c r="AU112">
        <v>40</v>
      </c>
      <c r="AV112">
        <v>1</v>
      </c>
      <c r="AW112">
        <v>1</v>
      </c>
      <c r="AZ112">
        <v>1</v>
      </c>
      <c r="BA112">
        <v>35.270000000000003</v>
      </c>
      <c r="BB112">
        <v>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266</v>
      </c>
      <c r="BM112">
        <v>1003</v>
      </c>
      <c r="BN112">
        <v>0</v>
      </c>
      <c r="BO112" t="s">
        <v>264</v>
      </c>
      <c r="BP112">
        <v>1</v>
      </c>
      <c r="BQ112">
        <v>2</v>
      </c>
      <c r="BR112">
        <v>0</v>
      </c>
      <c r="BS112">
        <v>35.270000000000003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89</v>
      </c>
      <c r="CA112">
        <v>40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93"/>
        <v>600.79999999999995</v>
      </c>
      <c r="CQ112">
        <f t="shared" si="94"/>
        <v>0</v>
      </c>
      <c r="CR112">
        <f t="shared" si="95"/>
        <v>0</v>
      </c>
      <c r="CS112">
        <f t="shared" si="96"/>
        <v>0</v>
      </c>
      <c r="CT112">
        <f t="shared" si="97"/>
        <v>24031.919900000001</v>
      </c>
      <c r="CU112">
        <f t="shared" si="98"/>
        <v>0</v>
      </c>
      <c r="CV112">
        <f t="shared" si="99"/>
        <v>97.2</v>
      </c>
      <c r="CW112">
        <f t="shared" si="100"/>
        <v>0</v>
      </c>
      <c r="CX112">
        <f t="shared" si="101"/>
        <v>0</v>
      </c>
      <c r="CY112">
        <f>(((S112+R112)*AT112)/100)</f>
        <v>534.71199999999999</v>
      </c>
      <c r="CZ112">
        <f>(((S112+R112)*AU112)/100)</f>
        <v>240.32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256</v>
      </c>
      <c r="DW112" t="s">
        <v>256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79401808</v>
      </c>
      <c r="EF112">
        <v>2</v>
      </c>
      <c r="EG112" t="s">
        <v>19</v>
      </c>
      <c r="EH112">
        <v>1</v>
      </c>
      <c r="EI112" t="s">
        <v>258</v>
      </c>
      <c r="EJ112">
        <v>1</v>
      </c>
      <c r="EK112">
        <v>1003</v>
      </c>
      <c r="EL112" t="s">
        <v>259</v>
      </c>
      <c r="EM112" t="s">
        <v>260</v>
      </c>
      <c r="EO112" t="s">
        <v>3</v>
      </c>
      <c r="EQ112">
        <v>0</v>
      </c>
      <c r="ER112">
        <v>681.37</v>
      </c>
      <c r="ES112">
        <v>0</v>
      </c>
      <c r="ET112">
        <v>0</v>
      </c>
      <c r="EU112">
        <v>0</v>
      </c>
      <c r="EV112">
        <v>681.37</v>
      </c>
      <c r="EW112">
        <v>97.2</v>
      </c>
      <c r="EX112">
        <v>0</v>
      </c>
      <c r="EY112">
        <v>0</v>
      </c>
      <c r="FQ112">
        <v>0</v>
      </c>
      <c r="FR112">
        <f t="shared" si="102"/>
        <v>0</v>
      </c>
      <c r="FS112">
        <v>0</v>
      </c>
      <c r="FX112">
        <v>89</v>
      </c>
      <c r="FY112">
        <v>40</v>
      </c>
      <c r="GA112" t="s">
        <v>3</v>
      </c>
      <c r="GD112">
        <v>1</v>
      </c>
      <c r="GF112">
        <v>-570049592</v>
      </c>
      <c r="GG112">
        <v>2</v>
      </c>
      <c r="GH112">
        <v>1</v>
      </c>
      <c r="GI112">
        <v>2</v>
      </c>
      <c r="GJ112">
        <v>0</v>
      </c>
      <c r="GK112">
        <v>0</v>
      </c>
      <c r="GL112">
        <f t="shared" si="103"/>
        <v>0</v>
      </c>
      <c r="GM112">
        <f t="shared" si="104"/>
        <v>1375.83</v>
      </c>
      <c r="GN112">
        <f t="shared" si="105"/>
        <v>1375.83</v>
      </c>
      <c r="GO112">
        <f t="shared" si="106"/>
        <v>0</v>
      </c>
      <c r="GP112">
        <f t="shared" si="107"/>
        <v>0</v>
      </c>
      <c r="GR112">
        <v>0</v>
      </c>
      <c r="GS112">
        <v>3</v>
      </c>
      <c r="GT112">
        <v>0</v>
      </c>
      <c r="GU112" t="s">
        <v>3</v>
      </c>
      <c r="GV112">
        <f t="shared" si="108"/>
        <v>0</v>
      </c>
      <c r="GW112">
        <v>1</v>
      </c>
      <c r="GX112">
        <f t="shared" si="109"/>
        <v>0</v>
      </c>
      <c r="HA112">
        <v>0</v>
      </c>
      <c r="HB112">
        <v>0</v>
      </c>
      <c r="HC112">
        <f t="shared" si="110"/>
        <v>0</v>
      </c>
      <c r="HE112" t="s">
        <v>3</v>
      </c>
      <c r="HF112" t="s">
        <v>3</v>
      </c>
      <c r="HM112" t="s">
        <v>3</v>
      </c>
      <c r="HN112" t="s">
        <v>261</v>
      </c>
      <c r="HO112" t="s">
        <v>262</v>
      </c>
      <c r="HP112" t="s">
        <v>259</v>
      </c>
      <c r="HQ112" t="s">
        <v>259</v>
      </c>
      <c r="IK112">
        <v>0</v>
      </c>
    </row>
    <row r="113" spans="1:245" x14ac:dyDescent="0.2">
      <c r="A113">
        <v>17</v>
      </c>
      <c r="B113">
        <v>1</v>
      </c>
      <c r="C113">
        <f>ROW(SmtRes!A79)</f>
        <v>79</v>
      </c>
      <c r="D113">
        <f>ROW(EtalonRes!A79)</f>
        <v>79</v>
      </c>
      <c r="E113" t="s">
        <v>267</v>
      </c>
      <c r="F113" t="s">
        <v>268</v>
      </c>
      <c r="G113" t="s">
        <v>269</v>
      </c>
      <c r="H113" t="s">
        <v>270</v>
      </c>
      <c r="I113">
        <f>ROUND(9/100,9)</f>
        <v>0.09</v>
      </c>
      <c r="J113">
        <v>0</v>
      </c>
      <c r="K113">
        <f>ROUND(9/100,9)</f>
        <v>0.09</v>
      </c>
      <c r="O113">
        <f t="shared" si="73"/>
        <v>577.73</v>
      </c>
      <c r="P113">
        <f t="shared" si="74"/>
        <v>44.96</v>
      </c>
      <c r="Q113">
        <f t="shared" si="75"/>
        <v>69.61</v>
      </c>
      <c r="R113">
        <f t="shared" si="76"/>
        <v>8.44</v>
      </c>
      <c r="S113">
        <f t="shared" si="77"/>
        <v>463.16</v>
      </c>
      <c r="T113">
        <f t="shared" si="78"/>
        <v>0</v>
      </c>
      <c r="U113">
        <f t="shared" si="79"/>
        <v>1.494</v>
      </c>
      <c r="V113">
        <f t="shared" si="80"/>
        <v>1.9799999999999998E-2</v>
      </c>
      <c r="W113">
        <f t="shared" si="81"/>
        <v>0</v>
      </c>
      <c r="X113">
        <f t="shared" si="82"/>
        <v>457.45</v>
      </c>
      <c r="Y113">
        <f t="shared" si="83"/>
        <v>240.52</v>
      </c>
      <c r="AA113">
        <v>84185495</v>
      </c>
      <c r="AB113">
        <f t="shared" si="84"/>
        <v>269.77</v>
      </c>
      <c r="AC113">
        <f t="shared" si="85"/>
        <v>49.56</v>
      </c>
      <c r="AD113">
        <f t="shared" si="86"/>
        <v>74.3</v>
      </c>
      <c r="AE113">
        <f t="shared" si="87"/>
        <v>2.66</v>
      </c>
      <c r="AF113">
        <f t="shared" si="88"/>
        <v>145.91</v>
      </c>
      <c r="AG113">
        <f t="shared" si="89"/>
        <v>0</v>
      </c>
      <c r="AH113">
        <f t="shared" si="90"/>
        <v>16.600000000000001</v>
      </c>
      <c r="AI113">
        <f t="shared" si="91"/>
        <v>0.22</v>
      </c>
      <c r="AJ113">
        <f t="shared" si="92"/>
        <v>0</v>
      </c>
      <c r="AK113">
        <v>269.77</v>
      </c>
      <c r="AL113">
        <v>49.56</v>
      </c>
      <c r="AM113">
        <v>74.3</v>
      </c>
      <c r="AN113">
        <v>2.66</v>
      </c>
      <c r="AO113">
        <v>145.91</v>
      </c>
      <c r="AP113">
        <v>0</v>
      </c>
      <c r="AQ113">
        <v>16.600000000000001</v>
      </c>
      <c r="AR113">
        <v>0.22</v>
      </c>
      <c r="AS113">
        <v>0</v>
      </c>
      <c r="AT113">
        <v>97</v>
      </c>
      <c r="AU113">
        <v>51</v>
      </c>
      <c r="AV113">
        <v>1</v>
      </c>
      <c r="AW113">
        <v>1</v>
      </c>
      <c r="AZ113">
        <v>1</v>
      </c>
      <c r="BA113">
        <v>35.270000000000003</v>
      </c>
      <c r="BB113">
        <v>10.41</v>
      </c>
      <c r="BC113">
        <v>10.08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2</v>
      </c>
      <c r="BJ113" t="s">
        <v>271</v>
      </c>
      <c r="BM113">
        <v>108001</v>
      </c>
      <c r="BN113">
        <v>0</v>
      </c>
      <c r="BO113" t="s">
        <v>268</v>
      </c>
      <c r="BP113">
        <v>1</v>
      </c>
      <c r="BQ113">
        <v>3</v>
      </c>
      <c r="BR113">
        <v>0</v>
      </c>
      <c r="BS113">
        <v>35.270000000000003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97</v>
      </c>
      <c r="CA113">
        <v>51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93"/>
        <v>577.73</v>
      </c>
      <c r="CQ113">
        <f t="shared" si="94"/>
        <v>499.56480000000005</v>
      </c>
      <c r="CR113">
        <f t="shared" si="95"/>
        <v>773.46299999999997</v>
      </c>
      <c r="CS113">
        <f t="shared" si="96"/>
        <v>93.818200000000019</v>
      </c>
      <c r="CT113">
        <f t="shared" si="97"/>
        <v>5146.2457000000004</v>
      </c>
      <c r="CU113">
        <f t="shared" si="98"/>
        <v>0</v>
      </c>
      <c r="CV113">
        <f t="shared" si="99"/>
        <v>16.600000000000001</v>
      </c>
      <c r="CW113">
        <f t="shared" si="100"/>
        <v>0.22</v>
      </c>
      <c r="CX113">
        <f t="shared" si="101"/>
        <v>0</v>
      </c>
      <c r="CY113">
        <f>(((S113+R113)*AT113)/100)</f>
        <v>457.45200000000006</v>
      </c>
      <c r="CZ113">
        <f>(((S113+R113)*AU113)/100)</f>
        <v>240.51600000000002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1003</v>
      </c>
      <c r="DV113" t="s">
        <v>270</v>
      </c>
      <c r="DW113" t="s">
        <v>270</v>
      </c>
      <c r="DX113">
        <v>100</v>
      </c>
      <c r="DZ113" t="s">
        <v>3</v>
      </c>
      <c r="EA113" t="s">
        <v>3</v>
      </c>
      <c r="EB113" t="s">
        <v>3</v>
      </c>
      <c r="EC113" t="s">
        <v>3</v>
      </c>
      <c r="EE113">
        <v>79401673</v>
      </c>
      <c r="EF113">
        <v>3</v>
      </c>
      <c r="EG113" t="s">
        <v>32</v>
      </c>
      <c r="EH113">
        <v>0</v>
      </c>
      <c r="EI113" t="s">
        <v>3</v>
      </c>
      <c r="EJ113">
        <v>2</v>
      </c>
      <c r="EK113">
        <v>108001</v>
      </c>
      <c r="EL113" t="s">
        <v>33</v>
      </c>
      <c r="EM113" t="s">
        <v>34</v>
      </c>
      <c r="EO113" t="s">
        <v>3</v>
      </c>
      <c r="EQ113">
        <v>0</v>
      </c>
      <c r="ER113">
        <v>269.77</v>
      </c>
      <c r="ES113">
        <v>49.56</v>
      </c>
      <c r="ET113">
        <v>74.3</v>
      </c>
      <c r="EU113">
        <v>2.66</v>
      </c>
      <c r="EV113">
        <v>145.91</v>
      </c>
      <c r="EW113">
        <v>16.600000000000001</v>
      </c>
      <c r="EX113">
        <v>0.22</v>
      </c>
      <c r="EY113">
        <v>0</v>
      </c>
      <c r="FQ113">
        <v>0</v>
      </c>
      <c r="FR113">
        <f t="shared" si="102"/>
        <v>0</v>
      </c>
      <c r="FS113">
        <v>0</v>
      </c>
      <c r="FX113">
        <v>97</v>
      </c>
      <c r="FY113">
        <v>51</v>
      </c>
      <c r="GA113" t="s">
        <v>3</v>
      </c>
      <c r="GD113">
        <v>1</v>
      </c>
      <c r="GF113">
        <v>-704351292</v>
      </c>
      <c r="GG113">
        <v>2</v>
      </c>
      <c r="GH113">
        <v>1</v>
      </c>
      <c r="GI113">
        <v>2</v>
      </c>
      <c r="GJ113">
        <v>0</v>
      </c>
      <c r="GK113">
        <v>0</v>
      </c>
      <c r="GL113">
        <f t="shared" si="103"/>
        <v>0</v>
      </c>
      <c r="GM113">
        <f t="shared" si="104"/>
        <v>1275.7</v>
      </c>
      <c r="GN113">
        <f t="shared" si="105"/>
        <v>0</v>
      </c>
      <c r="GO113">
        <f t="shared" si="106"/>
        <v>1275.7</v>
      </c>
      <c r="GP113">
        <f t="shared" si="107"/>
        <v>0</v>
      </c>
      <c r="GR113">
        <v>0</v>
      </c>
      <c r="GS113">
        <v>3</v>
      </c>
      <c r="GT113">
        <v>0</v>
      </c>
      <c r="GU113" t="s">
        <v>3</v>
      </c>
      <c r="GV113">
        <f t="shared" si="108"/>
        <v>0</v>
      </c>
      <c r="GW113">
        <v>1</v>
      </c>
      <c r="GX113">
        <f t="shared" si="109"/>
        <v>0</v>
      </c>
      <c r="HA113">
        <v>0</v>
      </c>
      <c r="HB113">
        <v>0</v>
      </c>
      <c r="HC113">
        <f t="shared" si="110"/>
        <v>0</v>
      </c>
      <c r="HE113" t="s">
        <v>3</v>
      </c>
      <c r="HF113" t="s">
        <v>3</v>
      </c>
      <c r="HM113" t="s">
        <v>3</v>
      </c>
      <c r="HN113" t="s">
        <v>36</v>
      </c>
      <c r="HO113" t="s">
        <v>37</v>
      </c>
      <c r="HP113" t="s">
        <v>33</v>
      </c>
      <c r="HQ113" t="s">
        <v>33</v>
      </c>
      <c r="IK113">
        <v>0</v>
      </c>
    </row>
    <row r="114" spans="1:245" x14ac:dyDescent="0.2">
      <c r="A114">
        <v>17</v>
      </c>
      <c r="B114">
        <v>1</v>
      </c>
      <c r="E114" t="s">
        <v>272</v>
      </c>
      <c r="F114" t="s">
        <v>273</v>
      </c>
      <c r="G114" t="s">
        <v>274</v>
      </c>
      <c r="H114" t="s">
        <v>126</v>
      </c>
      <c r="I114">
        <v>3.3345E-2</v>
      </c>
      <c r="J114">
        <v>0</v>
      </c>
      <c r="K114">
        <v>3.3345E-2</v>
      </c>
      <c r="O114">
        <f t="shared" si="73"/>
        <v>2948.93</v>
      </c>
      <c r="P114">
        <f t="shared" si="74"/>
        <v>2948.93</v>
      </c>
      <c r="Q114">
        <f t="shared" si="75"/>
        <v>0</v>
      </c>
      <c r="R114">
        <f t="shared" si="76"/>
        <v>0</v>
      </c>
      <c r="S114">
        <f t="shared" si="77"/>
        <v>0</v>
      </c>
      <c r="T114">
        <f t="shared" si="78"/>
        <v>0</v>
      </c>
      <c r="U114">
        <f t="shared" si="79"/>
        <v>0</v>
      </c>
      <c r="V114">
        <f t="shared" si="80"/>
        <v>0</v>
      </c>
      <c r="W114">
        <f t="shared" si="81"/>
        <v>0</v>
      </c>
      <c r="X114">
        <f t="shared" si="82"/>
        <v>0</v>
      </c>
      <c r="Y114">
        <f t="shared" si="83"/>
        <v>0</v>
      </c>
      <c r="AA114">
        <v>84185495</v>
      </c>
      <c r="AB114">
        <f t="shared" si="84"/>
        <v>6258.8</v>
      </c>
      <c r="AC114">
        <f t="shared" si="85"/>
        <v>6258.8</v>
      </c>
      <c r="AD114">
        <f t="shared" si="86"/>
        <v>0</v>
      </c>
      <c r="AE114">
        <f t="shared" si="87"/>
        <v>0</v>
      </c>
      <c r="AF114">
        <f t="shared" si="88"/>
        <v>0</v>
      </c>
      <c r="AG114">
        <f t="shared" si="89"/>
        <v>0</v>
      </c>
      <c r="AH114">
        <f t="shared" si="90"/>
        <v>0</v>
      </c>
      <c r="AI114">
        <f t="shared" si="91"/>
        <v>0</v>
      </c>
      <c r="AJ114">
        <f t="shared" si="92"/>
        <v>0</v>
      </c>
      <c r="AK114">
        <v>6258.8</v>
      </c>
      <c r="AL114">
        <v>6258.8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14.13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1</v>
      </c>
      <c r="BJ114" t="s">
        <v>275</v>
      </c>
      <c r="BM114">
        <v>500001</v>
      </c>
      <c r="BN114">
        <v>0</v>
      </c>
      <c r="BO114" t="s">
        <v>273</v>
      </c>
      <c r="BP114">
        <v>1</v>
      </c>
      <c r="BQ114">
        <v>8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93"/>
        <v>2948.93</v>
      </c>
      <c r="CQ114">
        <f t="shared" si="94"/>
        <v>88436.844000000012</v>
      </c>
      <c r="CR114">
        <f t="shared" si="95"/>
        <v>0</v>
      </c>
      <c r="CS114">
        <f t="shared" si="96"/>
        <v>0</v>
      </c>
      <c r="CT114">
        <f t="shared" si="97"/>
        <v>0</v>
      </c>
      <c r="CU114">
        <f t="shared" si="98"/>
        <v>0</v>
      </c>
      <c r="CV114">
        <f t="shared" si="99"/>
        <v>0</v>
      </c>
      <c r="CW114">
        <f t="shared" si="100"/>
        <v>0</v>
      </c>
      <c r="CX114">
        <f t="shared" si="101"/>
        <v>0</v>
      </c>
      <c r="CY114">
        <f>0</f>
        <v>0</v>
      </c>
      <c r="CZ114">
        <f>0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1009</v>
      </c>
      <c r="DV114" t="s">
        <v>126</v>
      </c>
      <c r="DW114" t="s">
        <v>126</v>
      </c>
      <c r="DX114">
        <v>1000</v>
      </c>
      <c r="DZ114" t="s">
        <v>3</v>
      </c>
      <c r="EA114" t="s">
        <v>3</v>
      </c>
      <c r="EB114" t="s">
        <v>3</v>
      </c>
      <c r="EC114" t="s">
        <v>3</v>
      </c>
      <c r="EE114">
        <v>79401762</v>
      </c>
      <c r="EF114">
        <v>8</v>
      </c>
      <c r="EG114" t="s">
        <v>166</v>
      </c>
      <c r="EH114">
        <v>0</v>
      </c>
      <c r="EI114" t="s">
        <v>3</v>
      </c>
      <c r="EJ114">
        <v>1</v>
      </c>
      <c r="EK114">
        <v>500001</v>
      </c>
      <c r="EL114" t="s">
        <v>167</v>
      </c>
      <c r="EM114" t="s">
        <v>168</v>
      </c>
      <c r="EO114" t="s">
        <v>3</v>
      </c>
      <c r="EQ114">
        <v>0</v>
      </c>
      <c r="ER114">
        <v>6258.8</v>
      </c>
      <c r="ES114">
        <v>6258.8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102"/>
        <v>0</v>
      </c>
      <c r="FS114">
        <v>0</v>
      </c>
      <c r="FX114">
        <v>0</v>
      </c>
      <c r="FY114">
        <v>0</v>
      </c>
      <c r="GA114" t="s">
        <v>3</v>
      </c>
      <c r="GD114">
        <v>1</v>
      </c>
      <c r="GF114">
        <v>1445180807</v>
      </c>
      <c r="GG114">
        <v>2</v>
      </c>
      <c r="GH114">
        <v>1</v>
      </c>
      <c r="GI114">
        <v>2</v>
      </c>
      <c r="GJ114">
        <v>0</v>
      </c>
      <c r="GK114">
        <v>0</v>
      </c>
      <c r="GL114">
        <f t="shared" si="103"/>
        <v>0</v>
      </c>
      <c r="GM114">
        <f t="shared" si="104"/>
        <v>2948.93</v>
      </c>
      <c r="GN114">
        <f t="shared" si="105"/>
        <v>2948.93</v>
      </c>
      <c r="GO114">
        <f t="shared" si="106"/>
        <v>0</v>
      </c>
      <c r="GP114">
        <f t="shared" si="107"/>
        <v>0</v>
      </c>
      <c r="GR114">
        <v>0</v>
      </c>
      <c r="GS114">
        <v>3</v>
      </c>
      <c r="GT114">
        <v>0</v>
      </c>
      <c r="GU114" t="s">
        <v>3</v>
      </c>
      <c r="GV114">
        <f t="shared" si="108"/>
        <v>0</v>
      </c>
      <c r="GW114">
        <v>1</v>
      </c>
      <c r="GX114">
        <f t="shared" si="109"/>
        <v>0</v>
      </c>
      <c r="HA114">
        <v>0</v>
      </c>
      <c r="HB114">
        <v>0</v>
      </c>
      <c r="HC114">
        <f t="shared" si="110"/>
        <v>0</v>
      </c>
      <c r="HE114" t="s">
        <v>3</v>
      </c>
      <c r="HF114" t="s">
        <v>3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IK114">
        <v>0</v>
      </c>
    </row>
    <row r="115" spans="1:245" x14ac:dyDescent="0.2">
      <c r="A115">
        <v>17</v>
      </c>
      <c r="B115">
        <v>1</v>
      </c>
      <c r="C115">
        <f>ROW(SmtRes!A86)</f>
        <v>86</v>
      </c>
      <c r="D115">
        <f>ROW(EtalonRes!A86)</f>
        <v>86</v>
      </c>
      <c r="E115" t="s">
        <v>276</v>
      </c>
      <c r="F115" t="s">
        <v>227</v>
      </c>
      <c r="G115" t="s">
        <v>228</v>
      </c>
      <c r="H115" t="s">
        <v>229</v>
      </c>
      <c r="I115">
        <v>3</v>
      </c>
      <c r="J115">
        <v>0</v>
      </c>
      <c r="K115">
        <v>3</v>
      </c>
      <c r="O115">
        <f t="shared" si="73"/>
        <v>4482.55</v>
      </c>
      <c r="P115">
        <f t="shared" si="74"/>
        <v>1052.68</v>
      </c>
      <c r="Q115">
        <f t="shared" si="75"/>
        <v>2752.69</v>
      </c>
      <c r="R115">
        <f t="shared" si="76"/>
        <v>580.9</v>
      </c>
      <c r="S115">
        <f t="shared" si="77"/>
        <v>677.18</v>
      </c>
      <c r="T115">
        <f t="shared" si="78"/>
        <v>0</v>
      </c>
      <c r="U115">
        <f t="shared" si="79"/>
        <v>2.4300000000000002</v>
      </c>
      <c r="V115">
        <f t="shared" si="80"/>
        <v>1.83</v>
      </c>
      <c r="W115">
        <f t="shared" si="81"/>
        <v>0</v>
      </c>
      <c r="X115">
        <f t="shared" si="82"/>
        <v>1295.82</v>
      </c>
      <c r="Y115">
        <f t="shared" si="83"/>
        <v>754.85</v>
      </c>
      <c r="AA115">
        <v>84185495</v>
      </c>
      <c r="AB115">
        <f t="shared" si="84"/>
        <v>140.05000000000001</v>
      </c>
      <c r="AC115">
        <f t="shared" si="85"/>
        <v>33.26</v>
      </c>
      <c r="AD115">
        <f t="shared" si="86"/>
        <v>100.39</v>
      </c>
      <c r="AE115">
        <f t="shared" si="87"/>
        <v>5.49</v>
      </c>
      <c r="AF115">
        <f t="shared" si="88"/>
        <v>6.4</v>
      </c>
      <c r="AG115">
        <f t="shared" si="89"/>
        <v>0</v>
      </c>
      <c r="AH115">
        <f t="shared" si="90"/>
        <v>0.81</v>
      </c>
      <c r="AI115">
        <f t="shared" si="91"/>
        <v>0.61</v>
      </c>
      <c r="AJ115">
        <f t="shared" si="92"/>
        <v>0</v>
      </c>
      <c r="AK115">
        <v>140.05000000000001</v>
      </c>
      <c r="AL115">
        <v>33.26</v>
      </c>
      <c r="AM115">
        <v>100.39</v>
      </c>
      <c r="AN115">
        <v>5.49</v>
      </c>
      <c r="AO115">
        <v>6.4</v>
      </c>
      <c r="AP115">
        <v>0</v>
      </c>
      <c r="AQ115">
        <v>0.81</v>
      </c>
      <c r="AR115">
        <v>0.61</v>
      </c>
      <c r="AS115">
        <v>0</v>
      </c>
      <c r="AT115">
        <v>103</v>
      </c>
      <c r="AU115">
        <v>60</v>
      </c>
      <c r="AV115">
        <v>1</v>
      </c>
      <c r="AW115">
        <v>1</v>
      </c>
      <c r="AZ115">
        <v>1</v>
      </c>
      <c r="BA115">
        <v>35.270000000000003</v>
      </c>
      <c r="BB115">
        <v>9.14</v>
      </c>
      <c r="BC115">
        <v>10.55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230</v>
      </c>
      <c r="BM115">
        <v>33001</v>
      </c>
      <c r="BN115">
        <v>0</v>
      </c>
      <c r="BO115" t="s">
        <v>227</v>
      </c>
      <c r="BP115">
        <v>1</v>
      </c>
      <c r="BQ115">
        <v>2</v>
      </c>
      <c r="BR115">
        <v>0</v>
      </c>
      <c r="BS115">
        <v>35.270000000000003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103</v>
      </c>
      <c r="CA115">
        <v>60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93"/>
        <v>4482.55</v>
      </c>
      <c r="CQ115">
        <f t="shared" si="94"/>
        <v>350.89300000000003</v>
      </c>
      <c r="CR115">
        <f t="shared" si="95"/>
        <v>917.56460000000004</v>
      </c>
      <c r="CS115">
        <f t="shared" si="96"/>
        <v>193.63230000000001</v>
      </c>
      <c r="CT115">
        <f t="shared" si="97"/>
        <v>225.72800000000004</v>
      </c>
      <c r="CU115">
        <f t="shared" si="98"/>
        <v>0</v>
      </c>
      <c r="CV115">
        <f t="shared" si="99"/>
        <v>0.81</v>
      </c>
      <c r="CW115">
        <f t="shared" si="100"/>
        <v>0.61</v>
      </c>
      <c r="CX115">
        <f t="shared" si="101"/>
        <v>0</v>
      </c>
      <c r="CY115">
        <f>(((S115+R115)*AT115)/100)</f>
        <v>1295.8224</v>
      </c>
      <c r="CZ115">
        <f>(((S115+R115)*AU115)/100)</f>
        <v>754.84799999999984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229</v>
      </c>
      <c r="DW115" t="s">
        <v>229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79401925</v>
      </c>
      <c r="EF115">
        <v>2</v>
      </c>
      <c r="EG115" t="s">
        <v>19</v>
      </c>
      <c r="EH115">
        <v>27</v>
      </c>
      <c r="EI115" t="s">
        <v>20</v>
      </c>
      <c r="EJ115">
        <v>1</v>
      </c>
      <c r="EK115">
        <v>33001</v>
      </c>
      <c r="EL115" t="s">
        <v>20</v>
      </c>
      <c r="EM115" t="s">
        <v>21</v>
      </c>
      <c r="EO115" t="s">
        <v>3</v>
      </c>
      <c r="EQ115">
        <v>0</v>
      </c>
      <c r="ER115">
        <v>140.05000000000001</v>
      </c>
      <c r="ES115">
        <v>33.26</v>
      </c>
      <c r="ET115">
        <v>100.39</v>
      </c>
      <c r="EU115">
        <v>5.49</v>
      </c>
      <c r="EV115">
        <v>6.4</v>
      </c>
      <c r="EW115">
        <v>0.81</v>
      </c>
      <c r="EX115">
        <v>0.61</v>
      </c>
      <c r="EY115">
        <v>0</v>
      </c>
      <c r="FQ115">
        <v>0</v>
      </c>
      <c r="FR115">
        <f t="shared" si="102"/>
        <v>0</v>
      </c>
      <c r="FS115">
        <v>0</v>
      </c>
      <c r="FX115">
        <v>103</v>
      </c>
      <c r="FY115">
        <v>60</v>
      </c>
      <c r="GA115" t="s">
        <v>3</v>
      </c>
      <c r="GD115">
        <v>1</v>
      </c>
      <c r="GF115">
        <v>-1716539149</v>
      </c>
      <c r="GG115">
        <v>2</v>
      </c>
      <c r="GH115">
        <v>1</v>
      </c>
      <c r="GI115">
        <v>2</v>
      </c>
      <c r="GJ115">
        <v>0</v>
      </c>
      <c r="GK115">
        <v>0</v>
      </c>
      <c r="GL115">
        <f t="shared" si="103"/>
        <v>0</v>
      </c>
      <c r="GM115">
        <f t="shared" si="104"/>
        <v>6533.22</v>
      </c>
      <c r="GN115">
        <f t="shared" si="105"/>
        <v>6533.22</v>
      </c>
      <c r="GO115">
        <f t="shared" si="106"/>
        <v>0</v>
      </c>
      <c r="GP115">
        <f t="shared" si="107"/>
        <v>0</v>
      </c>
      <c r="GR115">
        <v>0</v>
      </c>
      <c r="GS115">
        <v>3</v>
      </c>
      <c r="GT115">
        <v>0</v>
      </c>
      <c r="GU115" t="s">
        <v>3</v>
      </c>
      <c r="GV115">
        <f t="shared" si="108"/>
        <v>0</v>
      </c>
      <c r="GW115">
        <v>1</v>
      </c>
      <c r="GX115">
        <f t="shared" si="109"/>
        <v>0</v>
      </c>
      <c r="HA115">
        <v>0</v>
      </c>
      <c r="HB115">
        <v>0</v>
      </c>
      <c r="HC115">
        <f t="shared" si="110"/>
        <v>0</v>
      </c>
      <c r="HE115" t="s">
        <v>3</v>
      </c>
      <c r="HF115" t="s">
        <v>3</v>
      </c>
      <c r="HM115" t="s">
        <v>3</v>
      </c>
      <c r="HN115" t="s">
        <v>22</v>
      </c>
      <c r="HO115" t="s">
        <v>23</v>
      </c>
      <c r="HP115" t="s">
        <v>20</v>
      </c>
      <c r="HQ115" t="s">
        <v>20</v>
      </c>
      <c r="IK115">
        <v>0</v>
      </c>
    </row>
    <row r="116" spans="1:245" x14ac:dyDescent="0.2">
      <c r="A116">
        <v>18</v>
      </c>
      <c r="B116">
        <v>1</v>
      </c>
      <c r="C116">
        <v>86</v>
      </c>
      <c r="E116" t="s">
        <v>277</v>
      </c>
      <c r="F116" t="s">
        <v>232</v>
      </c>
      <c r="G116" t="s">
        <v>233</v>
      </c>
      <c r="H116" t="s">
        <v>126</v>
      </c>
      <c r="I116">
        <f>I115*J116</f>
        <v>-1.4999999999999999E-2</v>
      </c>
      <c r="J116">
        <v>-5.0000000000000001E-3</v>
      </c>
      <c r="K116">
        <v>-5.0000000000000001E-3</v>
      </c>
      <c r="O116">
        <f t="shared" si="73"/>
        <v>-1041.52</v>
      </c>
      <c r="P116">
        <f t="shared" si="74"/>
        <v>-1041.52</v>
      </c>
      <c r="Q116">
        <f t="shared" si="75"/>
        <v>0</v>
      </c>
      <c r="R116">
        <f t="shared" si="76"/>
        <v>0</v>
      </c>
      <c r="S116">
        <f t="shared" si="77"/>
        <v>0</v>
      </c>
      <c r="T116">
        <f t="shared" si="78"/>
        <v>0</v>
      </c>
      <c r="U116">
        <f t="shared" si="79"/>
        <v>0</v>
      </c>
      <c r="V116">
        <f t="shared" si="80"/>
        <v>0</v>
      </c>
      <c r="W116">
        <f t="shared" si="81"/>
        <v>0</v>
      </c>
      <c r="X116">
        <f t="shared" si="82"/>
        <v>0</v>
      </c>
      <c r="Y116">
        <f t="shared" si="83"/>
        <v>0</v>
      </c>
      <c r="AA116">
        <v>84185495</v>
      </c>
      <c r="AB116">
        <f t="shared" si="84"/>
        <v>6594</v>
      </c>
      <c r="AC116">
        <f t="shared" si="85"/>
        <v>6594</v>
      </c>
      <c r="AD116">
        <f t="shared" si="86"/>
        <v>0</v>
      </c>
      <c r="AE116">
        <f t="shared" si="87"/>
        <v>0</v>
      </c>
      <c r="AF116">
        <f t="shared" si="88"/>
        <v>0</v>
      </c>
      <c r="AG116">
        <f t="shared" si="89"/>
        <v>0</v>
      </c>
      <c r="AH116">
        <f t="shared" si="90"/>
        <v>0</v>
      </c>
      <c r="AI116">
        <f t="shared" si="91"/>
        <v>0</v>
      </c>
      <c r="AJ116">
        <f t="shared" si="92"/>
        <v>0</v>
      </c>
      <c r="AK116">
        <v>6594</v>
      </c>
      <c r="AL116">
        <v>6594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103</v>
      </c>
      <c r="AU116">
        <v>60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10.53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1</v>
      </c>
      <c r="BJ116" t="s">
        <v>234</v>
      </c>
      <c r="BM116">
        <v>33001</v>
      </c>
      <c r="BN116">
        <v>0</v>
      </c>
      <c r="BO116" t="s">
        <v>232</v>
      </c>
      <c r="BP116">
        <v>1</v>
      </c>
      <c r="BQ116">
        <v>2</v>
      </c>
      <c r="BR116">
        <v>1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103</v>
      </c>
      <c r="CA116">
        <v>60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93"/>
        <v>-1041.52</v>
      </c>
      <c r="CQ116">
        <f t="shared" si="94"/>
        <v>69434.819999999992</v>
      </c>
      <c r="CR116">
        <f t="shared" si="95"/>
        <v>0</v>
      </c>
      <c r="CS116">
        <f t="shared" si="96"/>
        <v>0</v>
      </c>
      <c r="CT116">
        <f t="shared" si="97"/>
        <v>0</v>
      </c>
      <c r="CU116">
        <f t="shared" si="98"/>
        <v>0</v>
      </c>
      <c r="CV116">
        <f t="shared" si="99"/>
        <v>0</v>
      </c>
      <c r="CW116">
        <f t="shared" si="100"/>
        <v>0</v>
      </c>
      <c r="CX116">
        <f t="shared" si="101"/>
        <v>0</v>
      </c>
      <c r="CY116">
        <f>(((S116+R116)*AT116)/100)</f>
        <v>0</v>
      </c>
      <c r="CZ116">
        <f>(((S116+R116)*AU116)/100)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1009</v>
      </c>
      <c r="DV116" t="s">
        <v>126</v>
      </c>
      <c r="DW116" t="s">
        <v>126</v>
      </c>
      <c r="DX116">
        <v>1000</v>
      </c>
      <c r="DZ116" t="s">
        <v>3</v>
      </c>
      <c r="EA116" t="s">
        <v>3</v>
      </c>
      <c r="EB116" t="s">
        <v>3</v>
      </c>
      <c r="EC116" t="s">
        <v>3</v>
      </c>
      <c r="EE116">
        <v>79401925</v>
      </c>
      <c r="EF116">
        <v>2</v>
      </c>
      <c r="EG116" t="s">
        <v>19</v>
      </c>
      <c r="EH116">
        <v>27</v>
      </c>
      <c r="EI116" t="s">
        <v>20</v>
      </c>
      <c r="EJ116">
        <v>1</v>
      </c>
      <c r="EK116">
        <v>33001</v>
      </c>
      <c r="EL116" t="s">
        <v>20</v>
      </c>
      <c r="EM116" t="s">
        <v>21</v>
      </c>
      <c r="EO116" t="s">
        <v>3</v>
      </c>
      <c r="EQ116">
        <v>32768</v>
      </c>
      <c r="ER116">
        <v>6594</v>
      </c>
      <c r="ES116">
        <v>6594</v>
      </c>
      <c r="ET116">
        <v>0</v>
      </c>
      <c r="EU116">
        <v>0</v>
      </c>
      <c r="EV116">
        <v>0</v>
      </c>
      <c r="EW116">
        <v>0</v>
      </c>
      <c r="EX116">
        <v>0</v>
      </c>
      <c r="FQ116">
        <v>0</v>
      </c>
      <c r="FR116">
        <f t="shared" si="102"/>
        <v>0</v>
      </c>
      <c r="FS116">
        <v>0</v>
      </c>
      <c r="FX116">
        <v>103</v>
      </c>
      <c r="FY116">
        <v>60</v>
      </c>
      <c r="GA116" t="s">
        <v>3</v>
      </c>
      <c r="GD116">
        <v>1</v>
      </c>
      <c r="GF116">
        <v>1308337192</v>
      </c>
      <c r="GG116">
        <v>2</v>
      </c>
      <c r="GH116">
        <v>1</v>
      </c>
      <c r="GI116">
        <v>2</v>
      </c>
      <c r="GJ116">
        <v>0</v>
      </c>
      <c r="GK116">
        <v>0</v>
      </c>
      <c r="GL116">
        <f t="shared" si="103"/>
        <v>0</v>
      </c>
      <c r="GM116">
        <f t="shared" si="104"/>
        <v>-1041.52</v>
      </c>
      <c r="GN116">
        <f t="shared" si="105"/>
        <v>-1041.52</v>
      </c>
      <c r="GO116">
        <f t="shared" si="106"/>
        <v>0</v>
      </c>
      <c r="GP116">
        <f t="shared" si="107"/>
        <v>0</v>
      </c>
      <c r="GR116">
        <v>0</v>
      </c>
      <c r="GS116">
        <v>3</v>
      </c>
      <c r="GT116">
        <v>0</v>
      </c>
      <c r="GU116" t="s">
        <v>3</v>
      </c>
      <c r="GV116">
        <f t="shared" si="108"/>
        <v>0</v>
      </c>
      <c r="GW116">
        <v>1</v>
      </c>
      <c r="GX116">
        <f t="shared" si="109"/>
        <v>0</v>
      </c>
      <c r="HA116">
        <v>0</v>
      </c>
      <c r="HB116">
        <v>0</v>
      </c>
      <c r="HC116">
        <f t="shared" si="110"/>
        <v>0</v>
      </c>
      <c r="HE116" t="s">
        <v>3</v>
      </c>
      <c r="HF116" t="s">
        <v>3</v>
      </c>
      <c r="HM116" t="s">
        <v>3</v>
      </c>
      <c r="HN116" t="s">
        <v>22</v>
      </c>
      <c r="HO116" t="s">
        <v>23</v>
      </c>
      <c r="HP116" t="s">
        <v>20</v>
      </c>
      <c r="HQ116" t="s">
        <v>20</v>
      </c>
      <c r="IK116">
        <v>0</v>
      </c>
    </row>
    <row r="117" spans="1:245" x14ac:dyDescent="0.2">
      <c r="A117">
        <v>17</v>
      </c>
      <c r="B117">
        <v>1</v>
      </c>
      <c r="E117" t="s">
        <v>278</v>
      </c>
      <c r="F117" t="s">
        <v>236</v>
      </c>
      <c r="G117" t="s">
        <v>237</v>
      </c>
      <c r="H117" t="s">
        <v>126</v>
      </c>
      <c r="I117">
        <f>ROUND(0.011115*3,9)</f>
        <v>3.3345E-2</v>
      </c>
      <c r="J117">
        <v>0</v>
      </c>
      <c r="K117">
        <f>ROUND(0.011115*3,9)</f>
        <v>3.3345E-2</v>
      </c>
      <c r="O117">
        <f t="shared" si="73"/>
        <v>2768.69</v>
      </c>
      <c r="P117">
        <f t="shared" si="74"/>
        <v>2768.69</v>
      </c>
      <c r="Q117">
        <f t="shared" si="75"/>
        <v>0</v>
      </c>
      <c r="R117">
        <f t="shared" si="76"/>
        <v>0</v>
      </c>
      <c r="S117">
        <f t="shared" si="77"/>
        <v>0</v>
      </c>
      <c r="T117">
        <f t="shared" si="78"/>
        <v>0</v>
      </c>
      <c r="U117">
        <f t="shared" si="79"/>
        <v>0</v>
      </c>
      <c r="V117">
        <f t="shared" si="80"/>
        <v>0</v>
      </c>
      <c r="W117">
        <f t="shared" si="81"/>
        <v>0</v>
      </c>
      <c r="X117">
        <f t="shared" si="82"/>
        <v>0</v>
      </c>
      <c r="Y117">
        <f t="shared" si="83"/>
        <v>0</v>
      </c>
      <c r="AA117">
        <v>84185495</v>
      </c>
      <c r="AB117">
        <f t="shared" si="84"/>
        <v>6074</v>
      </c>
      <c r="AC117">
        <f t="shared" si="85"/>
        <v>6074</v>
      </c>
      <c r="AD117">
        <f t="shared" si="86"/>
        <v>0</v>
      </c>
      <c r="AE117">
        <f t="shared" si="87"/>
        <v>0</v>
      </c>
      <c r="AF117">
        <f t="shared" si="88"/>
        <v>0</v>
      </c>
      <c r="AG117">
        <f t="shared" si="89"/>
        <v>0</v>
      </c>
      <c r="AH117">
        <f t="shared" si="90"/>
        <v>0</v>
      </c>
      <c r="AI117">
        <f t="shared" si="91"/>
        <v>0</v>
      </c>
      <c r="AJ117">
        <f t="shared" si="92"/>
        <v>0</v>
      </c>
      <c r="AK117">
        <v>6074</v>
      </c>
      <c r="AL117">
        <v>6074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13.67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238</v>
      </c>
      <c r="BM117">
        <v>500001</v>
      </c>
      <c r="BN117">
        <v>0</v>
      </c>
      <c r="BO117" t="s">
        <v>236</v>
      </c>
      <c r="BP117">
        <v>1</v>
      </c>
      <c r="BQ117">
        <v>8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93"/>
        <v>2768.69</v>
      </c>
      <c r="CQ117">
        <f t="shared" si="94"/>
        <v>83031.58</v>
      </c>
      <c r="CR117">
        <f t="shared" si="95"/>
        <v>0</v>
      </c>
      <c r="CS117">
        <f t="shared" si="96"/>
        <v>0</v>
      </c>
      <c r="CT117">
        <f t="shared" si="97"/>
        <v>0</v>
      </c>
      <c r="CU117">
        <f t="shared" si="98"/>
        <v>0</v>
      </c>
      <c r="CV117">
        <f t="shared" si="99"/>
        <v>0</v>
      </c>
      <c r="CW117">
        <f t="shared" si="100"/>
        <v>0</v>
      </c>
      <c r="CX117">
        <f t="shared" si="101"/>
        <v>0</v>
      </c>
      <c r="CY117">
        <f>0</f>
        <v>0</v>
      </c>
      <c r="CZ117">
        <f>0</f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1009</v>
      </c>
      <c r="DV117" t="s">
        <v>126</v>
      </c>
      <c r="DW117" t="s">
        <v>126</v>
      </c>
      <c r="DX117">
        <v>1000</v>
      </c>
      <c r="DZ117" t="s">
        <v>3</v>
      </c>
      <c r="EA117" t="s">
        <v>3</v>
      </c>
      <c r="EB117" t="s">
        <v>3</v>
      </c>
      <c r="EC117" t="s">
        <v>3</v>
      </c>
      <c r="EE117">
        <v>79401762</v>
      </c>
      <c r="EF117">
        <v>8</v>
      </c>
      <c r="EG117" t="s">
        <v>166</v>
      </c>
      <c r="EH117">
        <v>0</v>
      </c>
      <c r="EI117" t="s">
        <v>3</v>
      </c>
      <c r="EJ117">
        <v>1</v>
      </c>
      <c r="EK117">
        <v>500001</v>
      </c>
      <c r="EL117" t="s">
        <v>167</v>
      </c>
      <c r="EM117" t="s">
        <v>168</v>
      </c>
      <c r="EO117" t="s">
        <v>3</v>
      </c>
      <c r="EQ117">
        <v>0</v>
      </c>
      <c r="ER117">
        <v>6074</v>
      </c>
      <c r="ES117">
        <v>6074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102"/>
        <v>0</v>
      </c>
      <c r="FS117">
        <v>0</v>
      </c>
      <c r="FX117">
        <v>0</v>
      </c>
      <c r="FY117">
        <v>0</v>
      </c>
      <c r="GA117" t="s">
        <v>3</v>
      </c>
      <c r="GD117">
        <v>1</v>
      </c>
      <c r="GF117">
        <v>-362657570</v>
      </c>
      <c r="GG117">
        <v>2</v>
      </c>
      <c r="GH117">
        <v>1</v>
      </c>
      <c r="GI117">
        <v>2</v>
      </c>
      <c r="GJ117">
        <v>0</v>
      </c>
      <c r="GK117">
        <v>0</v>
      </c>
      <c r="GL117">
        <f t="shared" si="103"/>
        <v>0</v>
      </c>
      <c r="GM117">
        <f t="shared" si="104"/>
        <v>2768.69</v>
      </c>
      <c r="GN117">
        <f t="shared" si="105"/>
        <v>2768.69</v>
      </c>
      <c r="GO117">
        <f t="shared" si="106"/>
        <v>0</v>
      </c>
      <c r="GP117">
        <f t="shared" si="107"/>
        <v>0</v>
      </c>
      <c r="GR117">
        <v>0</v>
      </c>
      <c r="GS117">
        <v>3</v>
      </c>
      <c r="GT117">
        <v>0</v>
      </c>
      <c r="GU117" t="s">
        <v>3</v>
      </c>
      <c r="GV117">
        <f t="shared" si="108"/>
        <v>0</v>
      </c>
      <c r="GW117">
        <v>1</v>
      </c>
      <c r="GX117">
        <f t="shared" si="109"/>
        <v>0</v>
      </c>
      <c r="HA117">
        <v>0</v>
      </c>
      <c r="HB117">
        <v>0</v>
      </c>
      <c r="HC117">
        <f t="shared" si="110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IK117">
        <v>0</v>
      </c>
    </row>
    <row r="118" spans="1:245" x14ac:dyDescent="0.2">
      <c r="A118">
        <v>17</v>
      </c>
      <c r="B118">
        <v>1</v>
      </c>
      <c r="C118">
        <f>ROW(SmtRes!A88)</f>
        <v>88</v>
      </c>
      <c r="D118">
        <f>ROW(EtalonRes!A88)</f>
        <v>88</v>
      </c>
      <c r="E118" t="s">
        <v>279</v>
      </c>
      <c r="F118" t="s">
        <v>280</v>
      </c>
      <c r="G118" t="s">
        <v>281</v>
      </c>
      <c r="H118" t="s">
        <v>282</v>
      </c>
      <c r="I118">
        <v>6</v>
      </c>
      <c r="J118">
        <v>0</v>
      </c>
      <c r="K118">
        <v>6</v>
      </c>
      <c r="O118">
        <f t="shared" si="73"/>
        <v>3089.65</v>
      </c>
      <c r="P118">
        <f t="shared" si="74"/>
        <v>0</v>
      </c>
      <c r="Q118">
        <f t="shared" si="75"/>
        <v>0</v>
      </c>
      <c r="R118">
        <f t="shared" si="76"/>
        <v>0</v>
      </c>
      <c r="S118">
        <f t="shared" si="77"/>
        <v>3089.65</v>
      </c>
      <c r="T118">
        <f t="shared" si="78"/>
        <v>0</v>
      </c>
      <c r="U118">
        <f t="shared" si="79"/>
        <v>7.32</v>
      </c>
      <c r="V118">
        <f t="shared" si="80"/>
        <v>0</v>
      </c>
      <c r="W118">
        <f t="shared" si="81"/>
        <v>0</v>
      </c>
      <c r="X118">
        <f t="shared" si="82"/>
        <v>2286.34</v>
      </c>
      <c r="Y118">
        <f t="shared" si="83"/>
        <v>1112.27</v>
      </c>
      <c r="AA118">
        <v>84185495</v>
      </c>
      <c r="AB118">
        <f t="shared" si="84"/>
        <v>14.6</v>
      </c>
      <c r="AC118">
        <f t="shared" si="85"/>
        <v>0</v>
      </c>
      <c r="AD118">
        <f t="shared" si="86"/>
        <v>0</v>
      </c>
      <c r="AE118">
        <f t="shared" si="87"/>
        <v>0</v>
      </c>
      <c r="AF118">
        <f t="shared" si="88"/>
        <v>14.6</v>
      </c>
      <c r="AG118">
        <f t="shared" si="89"/>
        <v>0</v>
      </c>
      <c r="AH118">
        <f t="shared" si="90"/>
        <v>1.22</v>
      </c>
      <c r="AI118">
        <f t="shared" si="91"/>
        <v>0</v>
      </c>
      <c r="AJ118">
        <f t="shared" si="92"/>
        <v>0</v>
      </c>
      <c r="AK118">
        <v>14.6</v>
      </c>
      <c r="AL118">
        <v>0</v>
      </c>
      <c r="AM118">
        <v>0</v>
      </c>
      <c r="AN118">
        <v>0</v>
      </c>
      <c r="AO118">
        <v>14.6</v>
      </c>
      <c r="AP118">
        <v>0</v>
      </c>
      <c r="AQ118">
        <v>1.22</v>
      </c>
      <c r="AR118">
        <v>0</v>
      </c>
      <c r="AS118">
        <v>0</v>
      </c>
      <c r="AT118">
        <v>74</v>
      </c>
      <c r="AU118">
        <v>36</v>
      </c>
      <c r="AV118">
        <v>1</v>
      </c>
      <c r="AW118">
        <v>1</v>
      </c>
      <c r="AZ118">
        <v>1</v>
      </c>
      <c r="BA118">
        <v>35.270000000000003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283</v>
      </c>
      <c r="BM118">
        <v>200001</v>
      </c>
      <c r="BN118">
        <v>0</v>
      </c>
      <c r="BO118" t="s">
        <v>3</v>
      </c>
      <c r="BP118">
        <v>0</v>
      </c>
      <c r="BQ118">
        <v>4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74</v>
      </c>
      <c r="CA118">
        <v>36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3"/>
        <v>3089.65</v>
      </c>
      <c r="CQ118">
        <f t="shared" si="94"/>
        <v>0</v>
      </c>
      <c r="CR118">
        <f t="shared" si="95"/>
        <v>0</v>
      </c>
      <c r="CS118">
        <f t="shared" si="96"/>
        <v>0</v>
      </c>
      <c r="CT118">
        <f t="shared" si="97"/>
        <v>514.94200000000001</v>
      </c>
      <c r="CU118">
        <f t="shared" si="98"/>
        <v>0</v>
      </c>
      <c r="CV118">
        <f t="shared" si="99"/>
        <v>1.22</v>
      </c>
      <c r="CW118">
        <f t="shared" si="100"/>
        <v>0</v>
      </c>
      <c r="CX118">
        <f t="shared" si="101"/>
        <v>0</v>
      </c>
      <c r="CY118">
        <f>(((S118+R118)*AT118)/100)</f>
        <v>2286.3409999999999</v>
      </c>
      <c r="CZ118">
        <f>(((S118+R118)*AU118)/100)</f>
        <v>1112.2740000000001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282</v>
      </c>
      <c r="DW118" t="s">
        <v>282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79401751</v>
      </c>
      <c r="EF118">
        <v>4</v>
      </c>
      <c r="EG118" t="s">
        <v>284</v>
      </c>
      <c r="EH118">
        <v>83</v>
      </c>
      <c r="EI118" t="s">
        <v>284</v>
      </c>
      <c r="EJ118">
        <v>4</v>
      </c>
      <c r="EK118">
        <v>200001</v>
      </c>
      <c r="EL118" t="s">
        <v>285</v>
      </c>
      <c r="EM118" t="s">
        <v>286</v>
      </c>
      <c r="EO118" t="s">
        <v>3</v>
      </c>
      <c r="EQ118">
        <v>0</v>
      </c>
      <c r="ER118">
        <v>14.6</v>
      </c>
      <c r="ES118">
        <v>0</v>
      </c>
      <c r="ET118">
        <v>0</v>
      </c>
      <c r="EU118">
        <v>0</v>
      </c>
      <c r="EV118">
        <v>14.6</v>
      </c>
      <c r="EW118">
        <v>1.22</v>
      </c>
      <c r="EX118">
        <v>0</v>
      </c>
      <c r="EY118">
        <v>0</v>
      </c>
      <c r="FQ118">
        <v>0</v>
      </c>
      <c r="FR118">
        <f t="shared" si="102"/>
        <v>0</v>
      </c>
      <c r="FS118">
        <v>0</v>
      </c>
      <c r="FX118">
        <v>74</v>
      </c>
      <c r="FY118">
        <v>36</v>
      </c>
      <c r="GA118" t="s">
        <v>3</v>
      </c>
      <c r="GD118">
        <v>1</v>
      </c>
      <c r="GF118">
        <v>-1564589165</v>
      </c>
      <c r="GG118">
        <v>2</v>
      </c>
      <c r="GH118">
        <v>1</v>
      </c>
      <c r="GI118">
        <v>2</v>
      </c>
      <c r="GJ118">
        <v>0</v>
      </c>
      <c r="GK118">
        <v>0</v>
      </c>
      <c r="GL118">
        <f t="shared" si="103"/>
        <v>0</v>
      </c>
      <c r="GM118">
        <f t="shared" si="104"/>
        <v>6488.26</v>
      </c>
      <c r="GN118">
        <f t="shared" si="105"/>
        <v>0</v>
      </c>
      <c r="GO118">
        <f t="shared" si="106"/>
        <v>0</v>
      </c>
      <c r="GP118">
        <f t="shared" si="107"/>
        <v>6488.26</v>
      </c>
      <c r="GR118">
        <v>0</v>
      </c>
      <c r="GS118">
        <v>3</v>
      </c>
      <c r="GT118">
        <v>0</v>
      </c>
      <c r="GU118" t="s">
        <v>3</v>
      </c>
      <c r="GV118">
        <f t="shared" si="108"/>
        <v>0</v>
      </c>
      <c r="GW118">
        <v>1</v>
      </c>
      <c r="GX118">
        <f t="shared" si="109"/>
        <v>0</v>
      </c>
      <c r="HA118">
        <v>0</v>
      </c>
      <c r="HB118">
        <v>0</v>
      </c>
      <c r="HC118">
        <f t="shared" si="110"/>
        <v>0</v>
      </c>
      <c r="HE118" t="s">
        <v>3</v>
      </c>
      <c r="HF118" t="s">
        <v>3</v>
      </c>
      <c r="HM118" t="s">
        <v>3</v>
      </c>
      <c r="HN118" t="s">
        <v>287</v>
      </c>
      <c r="HO118" t="s">
        <v>288</v>
      </c>
      <c r="HP118" t="s">
        <v>284</v>
      </c>
      <c r="HQ118" t="s">
        <v>284</v>
      </c>
      <c r="IK118">
        <v>0</v>
      </c>
    </row>
    <row r="119" spans="1:245" x14ac:dyDescent="0.2">
      <c r="A119">
        <v>17</v>
      </c>
      <c r="B119">
        <v>1</v>
      </c>
      <c r="C119">
        <f>ROW(SmtRes!A90)</f>
        <v>90</v>
      </c>
      <c r="D119">
        <f>ROW(EtalonRes!A90)</f>
        <v>90</v>
      </c>
      <c r="E119" t="s">
        <v>289</v>
      </c>
      <c r="F119" t="s">
        <v>290</v>
      </c>
      <c r="G119" t="s">
        <v>291</v>
      </c>
      <c r="H119" t="s">
        <v>292</v>
      </c>
      <c r="I119">
        <f>ROUND(40/100,9)</f>
        <v>0.4</v>
      </c>
      <c r="J119">
        <v>0</v>
      </c>
      <c r="K119">
        <f>ROUND(40/100,9)</f>
        <v>0.4</v>
      </c>
      <c r="O119">
        <f t="shared" si="73"/>
        <v>2188.5700000000002</v>
      </c>
      <c r="P119">
        <f t="shared" si="74"/>
        <v>0</v>
      </c>
      <c r="Q119">
        <f t="shared" si="75"/>
        <v>0</v>
      </c>
      <c r="R119">
        <f t="shared" si="76"/>
        <v>0</v>
      </c>
      <c r="S119">
        <f t="shared" si="77"/>
        <v>2188.5700000000002</v>
      </c>
      <c r="T119">
        <f t="shared" si="78"/>
        <v>0</v>
      </c>
      <c r="U119">
        <f t="shared" si="79"/>
        <v>5.1840000000000011</v>
      </c>
      <c r="V119">
        <f t="shared" si="80"/>
        <v>0</v>
      </c>
      <c r="W119">
        <f t="shared" si="81"/>
        <v>0</v>
      </c>
      <c r="X119">
        <f t="shared" si="82"/>
        <v>1619.54</v>
      </c>
      <c r="Y119">
        <f t="shared" si="83"/>
        <v>787.89</v>
      </c>
      <c r="AA119">
        <v>84185495</v>
      </c>
      <c r="AB119">
        <f t="shared" si="84"/>
        <v>155.13</v>
      </c>
      <c r="AC119">
        <f t="shared" si="85"/>
        <v>0</v>
      </c>
      <c r="AD119">
        <f t="shared" si="86"/>
        <v>0</v>
      </c>
      <c r="AE119">
        <f t="shared" si="87"/>
        <v>0</v>
      </c>
      <c r="AF119">
        <f t="shared" si="88"/>
        <v>155.13</v>
      </c>
      <c r="AG119">
        <f t="shared" si="89"/>
        <v>0</v>
      </c>
      <c r="AH119">
        <f t="shared" si="90"/>
        <v>12.96</v>
      </c>
      <c r="AI119">
        <f t="shared" si="91"/>
        <v>0</v>
      </c>
      <c r="AJ119">
        <f t="shared" si="92"/>
        <v>0</v>
      </c>
      <c r="AK119">
        <v>155.13</v>
      </c>
      <c r="AL119">
        <v>0</v>
      </c>
      <c r="AM119">
        <v>0</v>
      </c>
      <c r="AN119">
        <v>0</v>
      </c>
      <c r="AO119">
        <v>155.13</v>
      </c>
      <c r="AP119">
        <v>0</v>
      </c>
      <c r="AQ119">
        <v>12.96</v>
      </c>
      <c r="AR119">
        <v>0</v>
      </c>
      <c r="AS119">
        <v>0</v>
      </c>
      <c r="AT119">
        <v>74</v>
      </c>
      <c r="AU119">
        <v>36</v>
      </c>
      <c r="AV119">
        <v>1</v>
      </c>
      <c r="AW119">
        <v>1</v>
      </c>
      <c r="AZ119">
        <v>1</v>
      </c>
      <c r="BA119">
        <v>35.270000000000003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293</v>
      </c>
      <c r="BM119">
        <v>200001</v>
      </c>
      <c r="BN119">
        <v>0</v>
      </c>
      <c r="BO119" t="s">
        <v>3</v>
      </c>
      <c r="BP119">
        <v>0</v>
      </c>
      <c r="BQ119">
        <v>4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74</v>
      </c>
      <c r="CA119">
        <v>36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3"/>
        <v>2188.5700000000002</v>
      </c>
      <c r="CQ119">
        <f t="shared" si="94"/>
        <v>0</v>
      </c>
      <c r="CR119">
        <f t="shared" si="95"/>
        <v>0</v>
      </c>
      <c r="CS119">
        <f t="shared" si="96"/>
        <v>0</v>
      </c>
      <c r="CT119">
        <f t="shared" si="97"/>
        <v>5471.4351000000006</v>
      </c>
      <c r="CU119">
        <f t="shared" si="98"/>
        <v>0</v>
      </c>
      <c r="CV119">
        <f t="shared" si="99"/>
        <v>12.96</v>
      </c>
      <c r="CW119">
        <f t="shared" si="100"/>
        <v>0</v>
      </c>
      <c r="CX119">
        <f t="shared" si="101"/>
        <v>0</v>
      </c>
      <c r="CY119">
        <f>(((S119+R119)*AT119)/100)</f>
        <v>1619.5418000000002</v>
      </c>
      <c r="CZ119">
        <f>(((S119+R119)*AU119)/100)</f>
        <v>787.88520000000005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292</v>
      </c>
      <c r="DW119" t="s">
        <v>292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79401751</v>
      </c>
      <c r="EF119">
        <v>4</v>
      </c>
      <c r="EG119" t="s">
        <v>284</v>
      </c>
      <c r="EH119">
        <v>83</v>
      </c>
      <c r="EI119" t="s">
        <v>284</v>
      </c>
      <c r="EJ119">
        <v>4</v>
      </c>
      <c r="EK119">
        <v>200001</v>
      </c>
      <c r="EL119" t="s">
        <v>285</v>
      </c>
      <c r="EM119" t="s">
        <v>286</v>
      </c>
      <c r="EO119" t="s">
        <v>3</v>
      </c>
      <c r="EQ119">
        <v>0</v>
      </c>
      <c r="ER119">
        <v>155.13</v>
      </c>
      <c r="ES119">
        <v>0</v>
      </c>
      <c r="ET119">
        <v>0</v>
      </c>
      <c r="EU119">
        <v>0</v>
      </c>
      <c r="EV119">
        <v>155.13</v>
      </c>
      <c r="EW119">
        <v>12.96</v>
      </c>
      <c r="EX119">
        <v>0</v>
      </c>
      <c r="EY119">
        <v>0</v>
      </c>
      <c r="FQ119">
        <v>0</v>
      </c>
      <c r="FR119">
        <f t="shared" si="102"/>
        <v>0</v>
      </c>
      <c r="FS119">
        <v>0</v>
      </c>
      <c r="FX119">
        <v>74</v>
      </c>
      <c r="FY119">
        <v>36</v>
      </c>
      <c r="GA119" t="s">
        <v>3</v>
      </c>
      <c r="GD119">
        <v>1</v>
      </c>
      <c r="GF119">
        <v>662934417</v>
      </c>
      <c r="GG119">
        <v>2</v>
      </c>
      <c r="GH119">
        <v>1</v>
      </c>
      <c r="GI119">
        <v>2</v>
      </c>
      <c r="GJ119">
        <v>0</v>
      </c>
      <c r="GK119">
        <v>0</v>
      </c>
      <c r="GL119">
        <f t="shared" si="103"/>
        <v>0</v>
      </c>
      <c r="GM119">
        <f t="shared" si="104"/>
        <v>4596</v>
      </c>
      <c r="GN119">
        <f t="shared" si="105"/>
        <v>0</v>
      </c>
      <c r="GO119">
        <f t="shared" si="106"/>
        <v>0</v>
      </c>
      <c r="GP119">
        <f t="shared" si="107"/>
        <v>4596</v>
      </c>
      <c r="GR119">
        <v>0</v>
      </c>
      <c r="GS119">
        <v>3</v>
      </c>
      <c r="GT119">
        <v>0</v>
      </c>
      <c r="GU119" t="s">
        <v>3</v>
      </c>
      <c r="GV119">
        <f t="shared" si="108"/>
        <v>0</v>
      </c>
      <c r="GW119">
        <v>1</v>
      </c>
      <c r="GX119">
        <f t="shared" si="109"/>
        <v>0</v>
      </c>
      <c r="HA119">
        <v>0</v>
      </c>
      <c r="HB119">
        <v>0</v>
      </c>
      <c r="HC119">
        <f t="shared" si="110"/>
        <v>0</v>
      </c>
      <c r="HE119" t="s">
        <v>3</v>
      </c>
      <c r="HF119" t="s">
        <v>3</v>
      </c>
      <c r="HM119" t="s">
        <v>3</v>
      </c>
      <c r="HN119" t="s">
        <v>287</v>
      </c>
      <c r="HO119" t="s">
        <v>288</v>
      </c>
      <c r="HP119" t="s">
        <v>284</v>
      </c>
      <c r="HQ119" t="s">
        <v>284</v>
      </c>
      <c r="IK119">
        <v>0</v>
      </c>
    </row>
    <row r="121" spans="1:245" x14ac:dyDescent="0.2">
      <c r="A121" s="2">
        <v>51</v>
      </c>
      <c r="B121" s="2">
        <f>B70</f>
        <v>1</v>
      </c>
      <c r="C121" s="2">
        <f>A70</f>
        <v>4</v>
      </c>
      <c r="D121" s="2">
        <f>ROW(A70)</f>
        <v>70</v>
      </c>
      <c r="E121" s="2"/>
      <c r="F121" s="2" t="str">
        <f>IF(F70&lt;&gt;"",F70,"")</f>
        <v>Новый раздел</v>
      </c>
      <c r="G121" s="2" t="str">
        <f>IF(G70&lt;&gt;"",G70,"")</f>
        <v>Монтаж реклоузера</v>
      </c>
      <c r="H121" s="2">
        <v>0</v>
      </c>
      <c r="I121" s="2"/>
      <c r="J121" s="2"/>
      <c r="K121" s="2"/>
      <c r="L121" s="2"/>
      <c r="M121" s="2"/>
      <c r="N121" s="2"/>
      <c r="O121" s="2">
        <f t="shared" ref="O121:T121" si="111">ROUND(AB121,2)</f>
        <v>119053.26</v>
      </c>
      <c r="P121" s="2">
        <f t="shared" si="111"/>
        <v>74534.429999999993</v>
      </c>
      <c r="Q121" s="2">
        <f t="shared" si="111"/>
        <v>22634.89</v>
      </c>
      <c r="R121" s="2">
        <f t="shared" si="111"/>
        <v>5368.75</v>
      </c>
      <c r="S121" s="2">
        <f t="shared" si="111"/>
        <v>21883.94</v>
      </c>
      <c r="T121" s="2">
        <f t="shared" si="111"/>
        <v>0</v>
      </c>
      <c r="U121" s="2">
        <f>AH121</f>
        <v>67.758212</v>
      </c>
      <c r="V121" s="2">
        <f>AI121</f>
        <v>15.3593204</v>
      </c>
      <c r="W121" s="2">
        <f>ROUND(AJ121,2)</f>
        <v>0</v>
      </c>
      <c r="X121" s="2">
        <f>ROUND(AK121,2)</f>
        <v>26253.64</v>
      </c>
      <c r="Y121" s="2">
        <f>ROUND(AL121,2)</f>
        <v>14671.84</v>
      </c>
      <c r="Z121" s="2"/>
      <c r="AA121" s="2"/>
      <c r="AB121" s="2">
        <f>ROUND(SUMIF(AA74:AA119,"=84185495",O74:O119),2)</f>
        <v>119053.26</v>
      </c>
      <c r="AC121" s="2">
        <f>ROUND(SUMIF(AA74:AA119,"=84185495",P74:P119),2)</f>
        <v>74534.429999999993</v>
      </c>
      <c r="AD121" s="2">
        <f>ROUND(SUMIF(AA74:AA119,"=84185495",Q74:Q119),2)</f>
        <v>22634.89</v>
      </c>
      <c r="AE121" s="2">
        <f>ROUND(SUMIF(AA74:AA119,"=84185495",R74:R119),2)</f>
        <v>5368.75</v>
      </c>
      <c r="AF121" s="2">
        <f>ROUND(SUMIF(AA74:AA119,"=84185495",S74:S119),2)</f>
        <v>21883.94</v>
      </c>
      <c r="AG121" s="2">
        <f>ROUND(SUMIF(AA74:AA119,"=84185495",T74:T119),2)</f>
        <v>0</v>
      </c>
      <c r="AH121" s="2">
        <f>SUMIF(AA74:AA119,"=84185495",U74:U119)</f>
        <v>67.758212</v>
      </c>
      <c r="AI121" s="2">
        <f>SUMIF(AA74:AA119,"=84185495",V74:V119)</f>
        <v>15.3593204</v>
      </c>
      <c r="AJ121" s="2">
        <f>ROUND(SUMIF(AA74:AA119,"=84185495",W74:W119),2)</f>
        <v>0</v>
      </c>
      <c r="AK121" s="2">
        <f>ROUND(SUMIF(AA74:AA119,"=84185495",X74:X119),2)</f>
        <v>26253.64</v>
      </c>
      <c r="AL121" s="2">
        <f>ROUND(SUMIF(AA74:AA119,"=84185495",Y74:Y119),2)</f>
        <v>14671.84</v>
      </c>
      <c r="AM121" s="2"/>
      <c r="AN121" s="2"/>
      <c r="AO121" s="2">
        <f t="shared" ref="AO121:BD121" si="112">ROUND(BX121,2)</f>
        <v>0</v>
      </c>
      <c r="AP121" s="2">
        <f t="shared" si="112"/>
        <v>0</v>
      </c>
      <c r="AQ121" s="2">
        <f t="shared" si="112"/>
        <v>0</v>
      </c>
      <c r="AR121" s="2">
        <f t="shared" si="112"/>
        <v>159978.74</v>
      </c>
      <c r="AS121" s="2">
        <f t="shared" si="112"/>
        <v>138489.82999999999</v>
      </c>
      <c r="AT121" s="2">
        <f t="shared" si="112"/>
        <v>10404.65</v>
      </c>
      <c r="AU121" s="2">
        <f t="shared" si="112"/>
        <v>11084.26</v>
      </c>
      <c r="AV121" s="2">
        <f t="shared" si="112"/>
        <v>74534.429999999993</v>
      </c>
      <c r="AW121" s="2">
        <f t="shared" si="112"/>
        <v>74534.429999999993</v>
      </c>
      <c r="AX121" s="2">
        <f t="shared" si="112"/>
        <v>0</v>
      </c>
      <c r="AY121" s="2">
        <f t="shared" si="112"/>
        <v>74534.429999999993</v>
      </c>
      <c r="AZ121" s="2">
        <f t="shared" si="112"/>
        <v>0</v>
      </c>
      <c r="BA121" s="2">
        <f t="shared" si="112"/>
        <v>0</v>
      </c>
      <c r="BB121" s="2">
        <f t="shared" si="112"/>
        <v>0</v>
      </c>
      <c r="BC121" s="2">
        <f t="shared" si="112"/>
        <v>0</v>
      </c>
      <c r="BD121" s="2">
        <f t="shared" si="112"/>
        <v>0</v>
      </c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>
        <f>ROUND(SUMIF(AA74:AA119,"=84185495",FQ74:FQ119),2)</f>
        <v>0</v>
      </c>
      <c r="BY121" s="2">
        <f>ROUND(SUMIF(AA74:AA119,"=84185495",FR74:FR119),2)</f>
        <v>0</v>
      </c>
      <c r="BZ121" s="2">
        <f>ROUND(SUMIF(AA74:AA119,"=84185495",GL74:GL119),2)</f>
        <v>0</v>
      </c>
      <c r="CA121" s="2">
        <f>ROUND(SUMIF(AA74:AA119,"=84185495",GM74:GM119),2)</f>
        <v>159978.74</v>
      </c>
      <c r="CB121" s="2">
        <f>ROUND(SUMIF(AA74:AA119,"=84185495",GN74:GN119),2)</f>
        <v>138489.82999999999</v>
      </c>
      <c r="CC121" s="2">
        <f>ROUND(SUMIF(AA74:AA119,"=84185495",GO74:GO119),2)</f>
        <v>10404.65</v>
      </c>
      <c r="CD121" s="2">
        <f>ROUND(SUMIF(AA74:AA119,"=84185495",GP74:GP119),2)</f>
        <v>11084.26</v>
      </c>
      <c r="CE121" s="2">
        <f>AC121-BX121</f>
        <v>74534.429999999993</v>
      </c>
      <c r="CF121" s="2">
        <f>AC121-BY121</f>
        <v>74534.429999999993</v>
      </c>
      <c r="CG121" s="2">
        <f>BX121-BZ121</f>
        <v>0</v>
      </c>
      <c r="CH121" s="2">
        <f>AC121-BX121-BY121+BZ121</f>
        <v>74534.429999999993</v>
      </c>
      <c r="CI121" s="2">
        <f>BY121-BZ121</f>
        <v>0</v>
      </c>
      <c r="CJ121" s="2">
        <f>ROUND(SUMIF(AA74:AA119,"=84185495",GX74:GX119),2)</f>
        <v>0</v>
      </c>
      <c r="CK121" s="2">
        <f>ROUND(SUMIF(AA74:AA119,"=84185495",GY74:GY119),2)</f>
        <v>0</v>
      </c>
      <c r="CL121" s="2">
        <f>ROUND(SUMIF(AA74:AA119,"=84185495",GZ74:GZ119),2)</f>
        <v>0</v>
      </c>
      <c r="CM121" s="2">
        <f>ROUND(SUMIF(AA74:AA119,"=84185495",HD74:HD119),2)</f>
        <v>0</v>
      </c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>
        <v>0</v>
      </c>
    </row>
    <row r="123" spans="1:245" x14ac:dyDescent="0.2">
      <c r="A123" s="4">
        <v>50</v>
      </c>
      <c r="B123" s="4">
        <v>0</v>
      </c>
      <c r="C123" s="4">
        <v>0</v>
      </c>
      <c r="D123" s="4">
        <v>1</v>
      </c>
      <c r="E123" s="4">
        <v>201</v>
      </c>
      <c r="F123" s="4">
        <f>ROUND(Source!O121,O123)</f>
        <v>119053.26</v>
      </c>
      <c r="G123" s="4" t="s">
        <v>38</v>
      </c>
      <c r="H123" s="4" t="s">
        <v>39</v>
      </c>
      <c r="I123" s="4"/>
      <c r="J123" s="4"/>
      <c r="K123" s="4">
        <v>201</v>
      </c>
      <c r="L123" s="4">
        <v>1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119053.26</v>
      </c>
      <c r="X123" s="4">
        <v>1</v>
      </c>
      <c r="Y123" s="4">
        <v>119053.26</v>
      </c>
      <c r="Z123" s="4"/>
      <c r="AA123" s="4"/>
      <c r="AB123" s="4"/>
    </row>
    <row r="124" spans="1:245" x14ac:dyDescent="0.2">
      <c r="A124" s="4">
        <v>50</v>
      </c>
      <c r="B124" s="4">
        <v>0</v>
      </c>
      <c r="C124" s="4">
        <v>0</v>
      </c>
      <c r="D124" s="4">
        <v>1</v>
      </c>
      <c r="E124" s="4">
        <v>0</v>
      </c>
      <c r="F124" s="4">
        <f>ROUND(Source!P121,O124)</f>
        <v>74534.429999999993</v>
      </c>
      <c r="G124" s="4" t="s">
        <v>40</v>
      </c>
      <c r="H124" s="4" t="s">
        <v>41</v>
      </c>
      <c r="I124" s="4"/>
      <c r="J124" s="4"/>
      <c r="K124" s="4">
        <v>202</v>
      </c>
      <c r="L124" s="4">
        <v>2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74534.429999999993</v>
      </c>
      <c r="X124" s="4">
        <v>1</v>
      </c>
      <c r="Y124" s="4">
        <v>74534.429999999993</v>
      </c>
      <c r="Z124" s="4"/>
      <c r="AA124" s="4"/>
      <c r="AB124" s="4"/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222</v>
      </c>
      <c r="F125" s="4">
        <f>ROUND(Source!AO121,O125)</f>
        <v>0</v>
      </c>
      <c r="G125" s="4" t="s">
        <v>42</v>
      </c>
      <c r="H125" s="4" t="s">
        <v>43</v>
      </c>
      <c r="I125" s="4"/>
      <c r="J125" s="4"/>
      <c r="K125" s="4">
        <v>222</v>
      </c>
      <c r="L125" s="4">
        <v>3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225</v>
      </c>
      <c r="F126" s="4">
        <f>ROUND(Source!AV121,O126)</f>
        <v>74534.429999999993</v>
      </c>
      <c r="G126" s="4" t="s">
        <v>44</v>
      </c>
      <c r="H126" s="4" t="s">
        <v>45</v>
      </c>
      <c r="I126" s="4"/>
      <c r="J126" s="4"/>
      <c r="K126" s="4">
        <v>225</v>
      </c>
      <c r="L126" s="4">
        <v>4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74534.429999999993</v>
      </c>
      <c r="X126" s="4">
        <v>1</v>
      </c>
      <c r="Y126" s="4">
        <v>74534.429999999993</v>
      </c>
      <c r="Z126" s="4"/>
      <c r="AA126" s="4"/>
      <c r="AB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226</v>
      </c>
      <c r="F127" s="4">
        <f>ROUND(Source!AW121,O127)</f>
        <v>74534.429999999993</v>
      </c>
      <c r="G127" s="4" t="s">
        <v>46</v>
      </c>
      <c r="H127" s="4" t="s">
        <v>47</v>
      </c>
      <c r="I127" s="4"/>
      <c r="J127" s="4"/>
      <c r="K127" s="4">
        <v>226</v>
      </c>
      <c r="L127" s="4">
        <v>5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74534.429999999993</v>
      </c>
      <c r="X127" s="4">
        <v>1</v>
      </c>
      <c r="Y127" s="4">
        <v>74534.429999999993</v>
      </c>
      <c r="Z127" s="4"/>
      <c r="AA127" s="4"/>
      <c r="AB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227</v>
      </c>
      <c r="F128" s="4">
        <f>ROUND(Source!AX121,O128)</f>
        <v>0</v>
      </c>
      <c r="G128" s="4" t="s">
        <v>48</v>
      </c>
      <c r="H128" s="4" t="s">
        <v>49</v>
      </c>
      <c r="I128" s="4"/>
      <c r="J128" s="4"/>
      <c r="K128" s="4">
        <v>227</v>
      </c>
      <c r="L128" s="4">
        <v>6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8" x14ac:dyDescent="0.2">
      <c r="A129" s="4">
        <v>50</v>
      </c>
      <c r="B129" s="4">
        <v>0</v>
      </c>
      <c r="C129" s="4">
        <v>0</v>
      </c>
      <c r="D129" s="4">
        <v>1</v>
      </c>
      <c r="E129" s="4">
        <v>228</v>
      </c>
      <c r="F129" s="4">
        <f>ROUND(Source!AY121,O129)</f>
        <v>74534.429999999993</v>
      </c>
      <c r="G129" s="4" t="s">
        <v>50</v>
      </c>
      <c r="H129" s="4" t="s">
        <v>51</v>
      </c>
      <c r="I129" s="4"/>
      <c r="J129" s="4"/>
      <c r="K129" s="4">
        <v>228</v>
      </c>
      <c r="L129" s="4">
        <v>7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74534.429999999993</v>
      </c>
      <c r="X129" s="4">
        <v>1</v>
      </c>
      <c r="Y129" s="4">
        <v>74534.429999999993</v>
      </c>
      <c r="Z129" s="4"/>
      <c r="AA129" s="4"/>
      <c r="AB129" s="4"/>
    </row>
    <row r="130" spans="1:28" x14ac:dyDescent="0.2">
      <c r="A130" s="4">
        <v>50</v>
      </c>
      <c r="B130" s="4">
        <v>0</v>
      </c>
      <c r="C130" s="4">
        <v>0</v>
      </c>
      <c r="D130" s="4">
        <v>1</v>
      </c>
      <c r="E130" s="4">
        <v>216</v>
      </c>
      <c r="F130" s="4">
        <f>ROUND(Source!AP121,O130)</f>
        <v>0</v>
      </c>
      <c r="G130" s="4" t="s">
        <v>52</v>
      </c>
      <c r="H130" s="4" t="s">
        <v>53</v>
      </c>
      <c r="I130" s="4"/>
      <c r="J130" s="4"/>
      <c r="K130" s="4">
        <v>216</v>
      </c>
      <c r="L130" s="4">
        <v>8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8" x14ac:dyDescent="0.2">
      <c r="A131" s="4">
        <v>50</v>
      </c>
      <c r="B131" s="4">
        <v>0</v>
      </c>
      <c r="C131" s="4">
        <v>0</v>
      </c>
      <c r="D131" s="4">
        <v>1</v>
      </c>
      <c r="E131" s="4">
        <v>223</v>
      </c>
      <c r="F131" s="4">
        <f>ROUND(Source!AQ121,O131)</f>
        <v>0</v>
      </c>
      <c r="G131" s="4" t="s">
        <v>54</v>
      </c>
      <c r="H131" s="4" t="s">
        <v>55</v>
      </c>
      <c r="I131" s="4"/>
      <c r="J131" s="4"/>
      <c r="K131" s="4">
        <v>223</v>
      </c>
      <c r="L131" s="4">
        <v>9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x14ac:dyDescent="0.2">
      <c r="A132" s="4">
        <v>50</v>
      </c>
      <c r="B132" s="4">
        <v>0</v>
      </c>
      <c r="C132" s="4">
        <v>0</v>
      </c>
      <c r="D132" s="4">
        <v>1</v>
      </c>
      <c r="E132" s="4">
        <v>229</v>
      </c>
      <c r="F132" s="4">
        <f>ROUND(Source!AZ121,O132)</f>
        <v>0</v>
      </c>
      <c r="G132" s="4" t="s">
        <v>56</v>
      </c>
      <c r="H132" s="4" t="s">
        <v>57</v>
      </c>
      <c r="I132" s="4"/>
      <c r="J132" s="4"/>
      <c r="K132" s="4">
        <v>229</v>
      </c>
      <c r="L132" s="4">
        <v>10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x14ac:dyDescent="0.2">
      <c r="A133" s="4">
        <v>50</v>
      </c>
      <c r="B133" s="4">
        <v>0</v>
      </c>
      <c r="C133" s="4">
        <v>0</v>
      </c>
      <c r="D133" s="4">
        <v>1</v>
      </c>
      <c r="E133" s="4">
        <v>0</v>
      </c>
      <c r="F133" s="4">
        <f>ROUND(Source!Q121,O133)</f>
        <v>22634.89</v>
      </c>
      <c r="G133" s="4" t="s">
        <v>58</v>
      </c>
      <c r="H133" s="4" t="s">
        <v>59</v>
      </c>
      <c r="I133" s="4"/>
      <c r="J133" s="4"/>
      <c r="K133" s="4">
        <v>203</v>
      </c>
      <c r="L133" s="4">
        <v>11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22634.89</v>
      </c>
      <c r="X133" s="4">
        <v>1</v>
      </c>
      <c r="Y133" s="4">
        <v>22634.89</v>
      </c>
      <c r="Z133" s="4"/>
      <c r="AA133" s="4"/>
      <c r="AB133" s="4"/>
    </row>
    <row r="134" spans="1:28" x14ac:dyDescent="0.2">
      <c r="A134" s="4">
        <v>50</v>
      </c>
      <c r="B134" s="4">
        <v>0</v>
      </c>
      <c r="C134" s="4">
        <v>0</v>
      </c>
      <c r="D134" s="4">
        <v>1</v>
      </c>
      <c r="E134" s="4">
        <v>231</v>
      </c>
      <c r="F134" s="4">
        <f>ROUND(Source!BB121,O134)</f>
        <v>0</v>
      </c>
      <c r="G134" s="4" t="s">
        <v>60</v>
      </c>
      <c r="H134" s="4" t="s">
        <v>61</v>
      </c>
      <c r="I134" s="4"/>
      <c r="J134" s="4"/>
      <c r="K134" s="4">
        <v>231</v>
      </c>
      <c r="L134" s="4">
        <v>12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x14ac:dyDescent="0.2">
      <c r="A135" s="4">
        <v>50</v>
      </c>
      <c r="B135" s="4">
        <v>0</v>
      </c>
      <c r="C135" s="4">
        <v>0</v>
      </c>
      <c r="D135" s="4">
        <v>1</v>
      </c>
      <c r="E135" s="4">
        <v>0</v>
      </c>
      <c r="F135" s="4">
        <f>ROUND(Source!R121,O135)</f>
        <v>5368.75</v>
      </c>
      <c r="G135" s="4" t="s">
        <v>62</v>
      </c>
      <c r="H135" s="4" t="s">
        <v>63</v>
      </c>
      <c r="I135" s="4"/>
      <c r="J135" s="4"/>
      <c r="K135" s="4">
        <v>204</v>
      </c>
      <c r="L135" s="4">
        <v>13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5368.75</v>
      </c>
      <c r="X135" s="4">
        <v>1</v>
      </c>
      <c r="Y135" s="4">
        <v>5368.75</v>
      </c>
      <c r="Z135" s="4"/>
      <c r="AA135" s="4"/>
      <c r="AB135" s="4"/>
    </row>
    <row r="136" spans="1:28" x14ac:dyDescent="0.2">
      <c r="A136" s="4">
        <v>50</v>
      </c>
      <c r="B136" s="4">
        <v>0</v>
      </c>
      <c r="C136" s="4">
        <v>0</v>
      </c>
      <c r="D136" s="4">
        <v>1</v>
      </c>
      <c r="E136" s="4">
        <v>0</v>
      </c>
      <c r="F136" s="4">
        <f>ROUND(Source!S121,O136)</f>
        <v>21883.94</v>
      </c>
      <c r="G136" s="4" t="s">
        <v>64</v>
      </c>
      <c r="H136" s="4" t="s">
        <v>65</v>
      </c>
      <c r="I136" s="4"/>
      <c r="J136" s="4"/>
      <c r="K136" s="4">
        <v>205</v>
      </c>
      <c r="L136" s="4">
        <v>14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21883.94</v>
      </c>
      <c r="X136" s="4">
        <v>1</v>
      </c>
      <c r="Y136" s="4">
        <v>21883.94</v>
      </c>
      <c r="Z136" s="4"/>
      <c r="AA136" s="4"/>
      <c r="AB136" s="4"/>
    </row>
    <row r="137" spans="1:28" x14ac:dyDescent="0.2">
      <c r="A137" s="4">
        <v>50</v>
      </c>
      <c r="B137" s="4">
        <v>0</v>
      </c>
      <c r="C137" s="4">
        <v>0</v>
      </c>
      <c r="D137" s="4">
        <v>1</v>
      </c>
      <c r="E137" s="4">
        <v>232</v>
      </c>
      <c r="F137" s="4">
        <f>ROUND(Source!BC121,O137)</f>
        <v>0</v>
      </c>
      <c r="G137" s="4" t="s">
        <v>66</v>
      </c>
      <c r="H137" s="4" t="s">
        <v>67</v>
      </c>
      <c r="I137" s="4"/>
      <c r="J137" s="4"/>
      <c r="K137" s="4">
        <v>232</v>
      </c>
      <c r="L137" s="4">
        <v>15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x14ac:dyDescent="0.2">
      <c r="A138" s="4">
        <v>50</v>
      </c>
      <c r="B138" s="4">
        <v>0</v>
      </c>
      <c r="C138" s="4">
        <v>0</v>
      </c>
      <c r="D138" s="4">
        <v>1</v>
      </c>
      <c r="E138" s="4">
        <v>214</v>
      </c>
      <c r="F138" s="4">
        <f>ROUND(Source!AS121,O138)</f>
        <v>138489.82999999999</v>
      </c>
      <c r="G138" s="4" t="s">
        <v>68</v>
      </c>
      <c r="H138" s="4" t="s">
        <v>69</v>
      </c>
      <c r="I138" s="4"/>
      <c r="J138" s="4"/>
      <c r="K138" s="4">
        <v>214</v>
      </c>
      <c r="L138" s="4">
        <v>16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138489.82999999999</v>
      </c>
      <c r="X138" s="4">
        <v>1</v>
      </c>
      <c r="Y138" s="4">
        <v>138489.82999999999</v>
      </c>
      <c r="Z138" s="4"/>
      <c r="AA138" s="4"/>
      <c r="AB138" s="4"/>
    </row>
    <row r="139" spans="1:28" x14ac:dyDescent="0.2">
      <c r="A139" s="4">
        <v>50</v>
      </c>
      <c r="B139" s="4">
        <v>0</v>
      </c>
      <c r="C139" s="4">
        <v>0</v>
      </c>
      <c r="D139" s="4">
        <v>1</v>
      </c>
      <c r="E139" s="4">
        <v>215</v>
      </c>
      <c r="F139" s="4">
        <f>ROUND(Source!AT121,O139)</f>
        <v>10404.65</v>
      </c>
      <c r="G139" s="4" t="s">
        <v>70</v>
      </c>
      <c r="H139" s="4" t="s">
        <v>71</v>
      </c>
      <c r="I139" s="4"/>
      <c r="J139" s="4"/>
      <c r="K139" s="4">
        <v>215</v>
      </c>
      <c r="L139" s="4">
        <v>17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10404.65</v>
      </c>
      <c r="X139" s="4">
        <v>1</v>
      </c>
      <c r="Y139" s="4">
        <v>10404.65</v>
      </c>
      <c r="Z139" s="4"/>
      <c r="AA139" s="4"/>
      <c r="AB139" s="4"/>
    </row>
    <row r="140" spans="1:28" x14ac:dyDescent="0.2">
      <c r="A140" s="4">
        <v>50</v>
      </c>
      <c r="B140" s="4">
        <v>0</v>
      </c>
      <c r="C140" s="4">
        <v>0</v>
      </c>
      <c r="D140" s="4">
        <v>1</v>
      </c>
      <c r="E140" s="4">
        <v>217</v>
      </c>
      <c r="F140" s="4">
        <f>ROUND(Source!AU121,O140)</f>
        <v>11084.26</v>
      </c>
      <c r="G140" s="4" t="s">
        <v>72</v>
      </c>
      <c r="H140" s="4" t="s">
        <v>73</v>
      </c>
      <c r="I140" s="4"/>
      <c r="J140" s="4"/>
      <c r="K140" s="4">
        <v>217</v>
      </c>
      <c r="L140" s="4">
        <v>18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11084.26</v>
      </c>
      <c r="X140" s="4">
        <v>1</v>
      </c>
      <c r="Y140" s="4">
        <v>11084.26</v>
      </c>
      <c r="Z140" s="4"/>
      <c r="AA140" s="4"/>
      <c r="AB140" s="4"/>
    </row>
    <row r="141" spans="1:28" x14ac:dyDescent="0.2">
      <c r="A141" s="4">
        <v>50</v>
      </c>
      <c r="B141" s="4">
        <v>0</v>
      </c>
      <c r="C141" s="4">
        <v>0</v>
      </c>
      <c r="D141" s="4">
        <v>1</v>
      </c>
      <c r="E141" s="4">
        <v>230</v>
      </c>
      <c r="F141" s="4">
        <f>ROUND(Source!BA121,O141)</f>
        <v>0</v>
      </c>
      <c r="G141" s="4" t="s">
        <v>74</v>
      </c>
      <c r="H141" s="4" t="s">
        <v>75</v>
      </c>
      <c r="I141" s="4"/>
      <c r="J141" s="4"/>
      <c r="K141" s="4">
        <v>230</v>
      </c>
      <c r="L141" s="4">
        <v>19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x14ac:dyDescent="0.2">
      <c r="A142" s="4">
        <v>50</v>
      </c>
      <c r="B142" s="4">
        <v>0</v>
      </c>
      <c r="C142" s="4">
        <v>0</v>
      </c>
      <c r="D142" s="4">
        <v>1</v>
      </c>
      <c r="E142" s="4">
        <v>206</v>
      </c>
      <c r="F142" s="4">
        <f>ROUND(Source!T121,O142)</f>
        <v>0</v>
      </c>
      <c r="G142" s="4" t="s">
        <v>76</v>
      </c>
      <c r="H142" s="4" t="s">
        <v>77</v>
      </c>
      <c r="I142" s="4"/>
      <c r="J142" s="4"/>
      <c r="K142" s="4">
        <v>206</v>
      </c>
      <c r="L142" s="4">
        <v>20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x14ac:dyDescent="0.2">
      <c r="A143" s="4">
        <v>50</v>
      </c>
      <c r="B143" s="4">
        <v>0</v>
      </c>
      <c r="C143" s="4">
        <v>0</v>
      </c>
      <c r="D143" s="4">
        <v>1</v>
      </c>
      <c r="E143" s="4">
        <v>207</v>
      </c>
      <c r="F143" s="4">
        <f>Source!U121</f>
        <v>67.758212</v>
      </c>
      <c r="G143" s="4" t="s">
        <v>78</v>
      </c>
      <c r="H143" s="4" t="s">
        <v>79</v>
      </c>
      <c r="I143" s="4"/>
      <c r="J143" s="4"/>
      <c r="K143" s="4">
        <v>207</v>
      </c>
      <c r="L143" s="4">
        <v>21</v>
      </c>
      <c r="M143" s="4">
        <v>3</v>
      </c>
      <c r="N143" s="4" t="s">
        <v>3</v>
      </c>
      <c r="O143" s="4">
        <v>-1</v>
      </c>
      <c r="P143" s="4"/>
      <c r="Q143" s="4"/>
      <c r="R143" s="4"/>
      <c r="S143" s="4"/>
      <c r="T143" s="4"/>
      <c r="U143" s="4"/>
      <c r="V143" s="4"/>
      <c r="W143" s="4">
        <v>67.758212</v>
      </c>
      <c r="X143" s="4">
        <v>1</v>
      </c>
      <c r="Y143" s="4">
        <v>67.758212</v>
      </c>
      <c r="Z143" s="4"/>
      <c r="AA143" s="4"/>
      <c r="AB143" s="4"/>
    </row>
    <row r="144" spans="1:28" x14ac:dyDescent="0.2">
      <c r="A144" s="4">
        <v>50</v>
      </c>
      <c r="B144" s="4">
        <v>0</v>
      </c>
      <c r="C144" s="4">
        <v>0</v>
      </c>
      <c r="D144" s="4">
        <v>1</v>
      </c>
      <c r="E144" s="4">
        <v>208</v>
      </c>
      <c r="F144" s="4">
        <f>Source!V121</f>
        <v>15.3593204</v>
      </c>
      <c r="G144" s="4" t="s">
        <v>80</v>
      </c>
      <c r="H144" s="4" t="s">
        <v>81</v>
      </c>
      <c r="I144" s="4"/>
      <c r="J144" s="4"/>
      <c r="K144" s="4">
        <v>208</v>
      </c>
      <c r="L144" s="4">
        <v>22</v>
      </c>
      <c r="M144" s="4">
        <v>3</v>
      </c>
      <c r="N144" s="4" t="s">
        <v>3</v>
      </c>
      <c r="O144" s="4">
        <v>-1</v>
      </c>
      <c r="P144" s="4"/>
      <c r="Q144" s="4"/>
      <c r="R144" s="4"/>
      <c r="S144" s="4"/>
      <c r="T144" s="4"/>
      <c r="U144" s="4"/>
      <c r="V144" s="4"/>
      <c r="W144" s="4">
        <v>15.3593204</v>
      </c>
      <c r="X144" s="4">
        <v>1</v>
      </c>
      <c r="Y144" s="4">
        <v>15.3593204</v>
      </c>
      <c r="Z144" s="4"/>
      <c r="AA144" s="4"/>
      <c r="AB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209</v>
      </c>
      <c r="F145" s="4">
        <f>ROUND(Source!W121,O145)</f>
        <v>0</v>
      </c>
      <c r="G145" s="4" t="s">
        <v>82</v>
      </c>
      <c r="H145" s="4" t="s">
        <v>83</v>
      </c>
      <c r="I145" s="4"/>
      <c r="J145" s="4"/>
      <c r="K145" s="4">
        <v>209</v>
      </c>
      <c r="L145" s="4">
        <v>23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233</v>
      </c>
      <c r="F146" s="4">
        <f>ROUND(Source!BD121,O146)</f>
        <v>0</v>
      </c>
      <c r="G146" s="4" t="s">
        <v>84</v>
      </c>
      <c r="H146" s="4" t="s">
        <v>85</v>
      </c>
      <c r="I146" s="4"/>
      <c r="J146" s="4"/>
      <c r="K146" s="4">
        <v>233</v>
      </c>
      <c r="L146" s="4">
        <v>24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0</v>
      </c>
      <c r="F147" s="4">
        <f>ROUND(Source!X121,O147)</f>
        <v>26253.64</v>
      </c>
      <c r="G147" s="4" t="s">
        <v>86</v>
      </c>
      <c r="H147" s="4" t="s">
        <v>87</v>
      </c>
      <c r="I147" s="4"/>
      <c r="J147" s="4"/>
      <c r="K147" s="4">
        <v>210</v>
      </c>
      <c r="L147" s="4">
        <v>25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26253.64</v>
      </c>
      <c r="X147" s="4">
        <v>1</v>
      </c>
      <c r="Y147" s="4">
        <v>26253.64</v>
      </c>
      <c r="Z147" s="4"/>
      <c r="AA147" s="4"/>
      <c r="AB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0</v>
      </c>
      <c r="F148" s="4">
        <f>ROUND(Source!Y121,O148)</f>
        <v>14671.84</v>
      </c>
      <c r="G148" s="4" t="s">
        <v>88</v>
      </c>
      <c r="H148" s="4" t="s">
        <v>89</v>
      </c>
      <c r="I148" s="4"/>
      <c r="J148" s="4"/>
      <c r="K148" s="4">
        <v>211</v>
      </c>
      <c r="L148" s="4">
        <v>26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14671.84</v>
      </c>
      <c r="X148" s="4">
        <v>1</v>
      </c>
      <c r="Y148" s="4">
        <v>14671.84</v>
      </c>
      <c r="Z148" s="4"/>
      <c r="AA148" s="4"/>
      <c r="AB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224</v>
      </c>
      <c r="F149" s="4">
        <f>ROUND(Source!AR121,O149)</f>
        <v>159978.74</v>
      </c>
      <c r="G149" s="4" t="s">
        <v>90</v>
      </c>
      <c r="H149" s="4" t="s">
        <v>91</v>
      </c>
      <c r="I149" s="4"/>
      <c r="J149" s="4"/>
      <c r="K149" s="4">
        <v>224</v>
      </c>
      <c r="L149" s="4">
        <v>27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159978.74</v>
      </c>
      <c r="X149" s="4">
        <v>1</v>
      </c>
      <c r="Y149" s="4">
        <v>159978.74</v>
      </c>
      <c r="Z149" s="4"/>
      <c r="AA149" s="4"/>
      <c r="AB149" s="4"/>
    </row>
    <row r="150" spans="1:88" x14ac:dyDescent="0.2">
      <c r="A150" s="4">
        <v>50</v>
      </c>
      <c r="B150" s="4">
        <v>1</v>
      </c>
      <c r="C150" s="4">
        <v>0</v>
      </c>
      <c r="D150" s="4">
        <v>2</v>
      </c>
      <c r="E150" s="4">
        <v>205</v>
      </c>
      <c r="F150" s="4">
        <f>ROUND(F136,O150)</f>
        <v>21883.94</v>
      </c>
      <c r="G150" s="4" t="s">
        <v>92</v>
      </c>
      <c r="H150" s="4" t="s">
        <v>64</v>
      </c>
      <c r="I150" s="4"/>
      <c r="J150" s="4"/>
      <c r="K150" s="4">
        <v>212</v>
      </c>
      <c r="L150" s="4">
        <v>28</v>
      </c>
      <c r="M150" s="4">
        <v>0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21883.94</v>
      </c>
      <c r="X150" s="4">
        <v>1</v>
      </c>
      <c r="Y150" s="4">
        <v>21883.94</v>
      </c>
      <c r="Z150" s="4"/>
      <c r="AA150" s="4"/>
      <c r="AB150" s="4"/>
    </row>
    <row r="151" spans="1:88" x14ac:dyDescent="0.2">
      <c r="A151" s="4">
        <v>50</v>
      </c>
      <c r="B151" s="4">
        <v>1</v>
      </c>
      <c r="C151" s="4">
        <v>0</v>
      </c>
      <c r="D151" s="4">
        <v>2</v>
      </c>
      <c r="E151" s="4">
        <v>203</v>
      </c>
      <c r="F151" s="4">
        <f>ROUND(F133,O151)</f>
        <v>22634.89</v>
      </c>
      <c r="G151" s="4" t="s">
        <v>93</v>
      </c>
      <c r="H151" s="4" t="s">
        <v>94</v>
      </c>
      <c r="I151" s="4"/>
      <c r="J151" s="4"/>
      <c r="K151" s="4">
        <v>212</v>
      </c>
      <c r="L151" s="4">
        <v>29</v>
      </c>
      <c r="M151" s="4">
        <v>0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22634.89</v>
      </c>
      <c r="X151" s="4">
        <v>1</v>
      </c>
      <c r="Y151" s="4">
        <v>22634.89</v>
      </c>
      <c r="Z151" s="4"/>
      <c r="AA151" s="4"/>
      <c r="AB151" s="4"/>
    </row>
    <row r="152" spans="1:88" x14ac:dyDescent="0.2">
      <c r="A152" s="4">
        <v>50</v>
      </c>
      <c r="B152" s="4">
        <v>1</v>
      </c>
      <c r="C152" s="4">
        <v>0</v>
      </c>
      <c r="D152" s="4">
        <v>2</v>
      </c>
      <c r="E152" s="4">
        <v>204</v>
      </c>
      <c r="F152" s="4">
        <f>ROUND(F135,O152)</f>
        <v>5368.75</v>
      </c>
      <c r="G152" s="4" t="s">
        <v>95</v>
      </c>
      <c r="H152" s="4" t="s">
        <v>96</v>
      </c>
      <c r="I152" s="4"/>
      <c r="J152" s="4"/>
      <c r="K152" s="4">
        <v>212</v>
      </c>
      <c r="L152" s="4">
        <v>30</v>
      </c>
      <c r="M152" s="4">
        <v>0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5368.75</v>
      </c>
      <c r="X152" s="4">
        <v>1</v>
      </c>
      <c r="Y152" s="4">
        <v>5368.75</v>
      </c>
      <c r="Z152" s="4"/>
      <c r="AA152" s="4"/>
      <c r="AB152" s="4"/>
    </row>
    <row r="153" spans="1:88" x14ac:dyDescent="0.2">
      <c r="A153" s="4">
        <v>50</v>
      </c>
      <c r="B153" s="4">
        <v>1</v>
      </c>
      <c r="C153" s="4">
        <v>0</v>
      </c>
      <c r="D153" s="4">
        <v>2</v>
      </c>
      <c r="E153" s="4">
        <v>202</v>
      </c>
      <c r="F153" s="4">
        <f>ROUND(F124,O153)</f>
        <v>74534.429999999993</v>
      </c>
      <c r="G153" s="4" t="s">
        <v>97</v>
      </c>
      <c r="H153" s="4" t="s">
        <v>98</v>
      </c>
      <c r="I153" s="4"/>
      <c r="J153" s="4"/>
      <c r="K153" s="4">
        <v>212</v>
      </c>
      <c r="L153" s="4">
        <v>31</v>
      </c>
      <c r="M153" s="4">
        <v>0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74534.429999999993</v>
      </c>
      <c r="X153" s="4">
        <v>1</v>
      </c>
      <c r="Y153" s="4">
        <v>74534.429999999993</v>
      </c>
      <c r="Z153" s="4"/>
      <c r="AA153" s="4"/>
      <c r="AB153" s="4"/>
    </row>
    <row r="154" spans="1:88" x14ac:dyDescent="0.2">
      <c r="A154" s="4">
        <v>50</v>
      </c>
      <c r="B154" s="4">
        <v>1</v>
      </c>
      <c r="C154" s="4">
        <v>0</v>
      </c>
      <c r="D154" s="4">
        <v>2</v>
      </c>
      <c r="E154" s="4">
        <v>210</v>
      </c>
      <c r="F154" s="4">
        <f>ROUND(F147,O154)</f>
        <v>26253.64</v>
      </c>
      <c r="G154" s="4" t="s">
        <v>99</v>
      </c>
      <c r="H154" s="4" t="s">
        <v>86</v>
      </c>
      <c r="I154" s="4"/>
      <c r="J154" s="4"/>
      <c r="K154" s="4">
        <v>212</v>
      </c>
      <c r="L154" s="4">
        <v>32</v>
      </c>
      <c r="M154" s="4">
        <v>0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26253.64</v>
      </c>
      <c r="X154" s="4">
        <v>1</v>
      </c>
      <c r="Y154" s="4">
        <v>26253.64</v>
      </c>
      <c r="Z154" s="4"/>
      <c r="AA154" s="4"/>
      <c r="AB154" s="4"/>
    </row>
    <row r="155" spans="1:88" x14ac:dyDescent="0.2">
      <c r="A155" s="4">
        <v>50</v>
      </c>
      <c r="B155" s="4">
        <v>1</v>
      </c>
      <c r="C155" s="4">
        <v>0</v>
      </c>
      <c r="D155" s="4">
        <v>2</v>
      </c>
      <c r="E155" s="4">
        <v>211</v>
      </c>
      <c r="F155" s="4">
        <f>ROUND(F148,O155)</f>
        <v>14671.84</v>
      </c>
      <c r="G155" s="4" t="s">
        <v>100</v>
      </c>
      <c r="H155" s="4" t="s">
        <v>101</v>
      </c>
      <c r="I155" s="4"/>
      <c r="J155" s="4"/>
      <c r="K155" s="4">
        <v>212</v>
      </c>
      <c r="L155" s="4">
        <v>33</v>
      </c>
      <c r="M155" s="4">
        <v>0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14671.84</v>
      </c>
      <c r="X155" s="4">
        <v>1</v>
      </c>
      <c r="Y155" s="4">
        <v>14671.84</v>
      </c>
      <c r="Z155" s="4"/>
      <c r="AA155" s="4"/>
      <c r="AB155" s="4"/>
    </row>
    <row r="156" spans="1:88" x14ac:dyDescent="0.2">
      <c r="A156" s="4">
        <v>50</v>
      </c>
      <c r="B156" s="4">
        <v>1</v>
      </c>
      <c r="C156" s="4">
        <v>0</v>
      </c>
      <c r="D156" s="4">
        <v>2</v>
      </c>
      <c r="E156" s="4">
        <v>213</v>
      </c>
      <c r="F156" s="4">
        <f>ROUND(F150+F151+F153+F154+F155,O156)</f>
        <v>159978.74</v>
      </c>
      <c r="G156" s="4" t="s">
        <v>102</v>
      </c>
      <c r="H156" s="4" t="s">
        <v>103</v>
      </c>
      <c r="I156" s="4"/>
      <c r="J156" s="4"/>
      <c r="K156" s="4">
        <v>212</v>
      </c>
      <c r="L156" s="4">
        <v>34</v>
      </c>
      <c r="M156" s="4">
        <v>0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159978.74</v>
      </c>
      <c r="X156" s="4">
        <v>1</v>
      </c>
      <c r="Y156" s="4">
        <v>159978.74</v>
      </c>
      <c r="Z156" s="4"/>
      <c r="AA156" s="4"/>
      <c r="AB156" s="4"/>
    </row>
    <row r="157" spans="1:88" x14ac:dyDescent="0.2">
      <c r="A157" s="4">
        <v>50</v>
      </c>
      <c r="B157" s="4">
        <v>1</v>
      </c>
      <c r="C157" s="4">
        <v>0</v>
      </c>
      <c r="D157" s="4">
        <v>2</v>
      </c>
      <c r="E157" s="4">
        <v>40729949</v>
      </c>
      <c r="F157" s="4">
        <f>ROUND(F156*0.2,O157)</f>
        <v>31995.75</v>
      </c>
      <c r="G157" s="4" t="s">
        <v>104</v>
      </c>
      <c r="H157" s="4" t="s">
        <v>105</v>
      </c>
      <c r="I157" s="4"/>
      <c r="J157" s="4"/>
      <c r="K157" s="4">
        <v>212</v>
      </c>
      <c r="L157" s="4">
        <v>35</v>
      </c>
      <c r="M157" s="4">
        <v>0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31995.75</v>
      </c>
      <c r="X157" s="4">
        <v>1</v>
      </c>
      <c r="Y157" s="4">
        <v>31995.75</v>
      </c>
      <c r="Z157" s="4"/>
      <c r="AA157" s="4"/>
      <c r="AB157" s="4"/>
    </row>
    <row r="158" spans="1:88" x14ac:dyDescent="0.2">
      <c r="A158" s="4">
        <v>50</v>
      </c>
      <c r="B158" s="4">
        <v>1</v>
      </c>
      <c r="C158" s="4">
        <v>0</v>
      </c>
      <c r="D158" s="4">
        <v>2</v>
      </c>
      <c r="E158" s="4">
        <v>65938917</v>
      </c>
      <c r="F158" s="4">
        <f>ROUND(F156+F157,O158)</f>
        <v>191974.49</v>
      </c>
      <c r="G158" s="4" t="s">
        <v>106</v>
      </c>
      <c r="H158" s="4" t="s">
        <v>107</v>
      </c>
      <c r="I158" s="4"/>
      <c r="J158" s="4"/>
      <c r="K158" s="4">
        <v>212</v>
      </c>
      <c r="L158" s="4">
        <v>36</v>
      </c>
      <c r="M158" s="4">
        <v>0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191974.49</v>
      </c>
      <c r="X158" s="4">
        <v>1</v>
      </c>
      <c r="Y158" s="4">
        <v>191974.49</v>
      </c>
      <c r="Z158" s="4"/>
      <c r="AA158" s="4"/>
      <c r="AB158" s="4"/>
    </row>
    <row r="160" spans="1:88" x14ac:dyDescent="0.2">
      <c r="A160" s="1">
        <v>4</v>
      </c>
      <c r="B160" s="1">
        <v>1</v>
      </c>
      <c r="C160" s="1"/>
      <c r="D160" s="1">
        <f>ROW(A186)</f>
        <v>186</v>
      </c>
      <c r="E160" s="1"/>
      <c r="F160" s="1" t="s">
        <v>12</v>
      </c>
      <c r="G160" s="1" t="s">
        <v>294</v>
      </c>
      <c r="H160" s="1" t="s">
        <v>3</v>
      </c>
      <c r="I160" s="1">
        <v>0</v>
      </c>
      <c r="J160" s="1"/>
      <c r="K160" s="1">
        <v>-1</v>
      </c>
      <c r="L160" s="1"/>
      <c r="M160" s="1" t="s">
        <v>3</v>
      </c>
      <c r="N160" s="1"/>
      <c r="O160" s="1"/>
      <c r="P160" s="1"/>
      <c r="Q160" s="1"/>
      <c r="R160" s="1"/>
      <c r="S160" s="1">
        <v>0</v>
      </c>
      <c r="T160" s="1"/>
      <c r="U160" s="1" t="s">
        <v>3</v>
      </c>
      <c r="V160" s="1">
        <v>0</v>
      </c>
      <c r="W160" s="1"/>
      <c r="X160" s="1"/>
      <c r="Y160" s="1"/>
      <c r="Z160" s="1"/>
      <c r="AA160" s="1"/>
      <c r="AB160" s="1" t="s">
        <v>3</v>
      </c>
      <c r="AC160" s="1" t="s">
        <v>3</v>
      </c>
      <c r="AD160" s="1" t="s">
        <v>3</v>
      </c>
      <c r="AE160" s="1" t="s">
        <v>3</v>
      </c>
      <c r="AF160" s="1" t="s">
        <v>3</v>
      </c>
      <c r="AG160" s="1" t="s">
        <v>3</v>
      </c>
      <c r="AH160" s="1"/>
      <c r="AI160" s="1"/>
      <c r="AJ160" s="1"/>
      <c r="AK160" s="1"/>
      <c r="AL160" s="1"/>
      <c r="AM160" s="1"/>
      <c r="AN160" s="1"/>
      <c r="AO160" s="1"/>
      <c r="AP160" s="1" t="s">
        <v>3</v>
      </c>
      <c r="AQ160" s="1" t="s">
        <v>3</v>
      </c>
      <c r="AR160" s="1" t="s">
        <v>3</v>
      </c>
      <c r="AS160" s="1"/>
      <c r="AT160" s="1"/>
      <c r="AU160" s="1"/>
      <c r="AV160" s="1"/>
      <c r="AW160" s="1"/>
      <c r="AX160" s="1"/>
      <c r="AY160" s="1"/>
      <c r="AZ160" s="1" t="s">
        <v>3</v>
      </c>
      <c r="BA160" s="1"/>
      <c r="BB160" s="1" t="s">
        <v>3</v>
      </c>
      <c r="BC160" s="1" t="s">
        <v>3</v>
      </c>
      <c r="BD160" s="1" t="s">
        <v>3</v>
      </c>
      <c r="BE160" s="1" t="s">
        <v>3</v>
      </c>
      <c r="BF160" s="1" t="s">
        <v>3</v>
      </c>
      <c r="BG160" s="1" t="s">
        <v>3</v>
      </c>
      <c r="BH160" s="1" t="s">
        <v>3</v>
      </c>
      <c r="BI160" s="1" t="s">
        <v>3</v>
      </c>
      <c r="BJ160" s="1" t="s">
        <v>3</v>
      </c>
      <c r="BK160" s="1" t="s">
        <v>3</v>
      </c>
      <c r="BL160" s="1" t="s">
        <v>3</v>
      </c>
      <c r="BM160" s="1" t="s">
        <v>3</v>
      </c>
      <c r="BN160" s="1" t="s">
        <v>3</v>
      </c>
      <c r="BO160" s="1" t="s">
        <v>3</v>
      </c>
      <c r="BP160" s="1" t="s">
        <v>3</v>
      </c>
      <c r="BQ160" s="1"/>
      <c r="BR160" s="1"/>
      <c r="BS160" s="1"/>
      <c r="BT160" s="1"/>
      <c r="BU160" s="1"/>
      <c r="BV160" s="1"/>
      <c r="BW160" s="1"/>
      <c r="BX160" s="1">
        <v>0</v>
      </c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>
        <v>0</v>
      </c>
    </row>
    <row r="162" spans="1:245" x14ac:dyDescent="0.2">
      <c r="A162" s="2">
        <v>52</v>
      </c>
      <c r="B162" s="2">
        <f t="shared" ref="B162:G162" si="113">B186</f>
        <v>1</v>
      </c>
      <c r="C162" s="2">
        <f t="shared" si="113"/>
        <v>4</v>
      </c>
      <c r="D162" s="2">
        <f t="shared" si="113"/>
        <v>160</v>
      </c>
      <c r="E162" s="2">
        <f t="shared" si="113"/>
        <v>0</v>
      </c>
      <c r="F162" s="2" t="str">
        <f t="shared" si="113"/>
        <v>Новый раздел</v>
      </c>
      <c r="G162" s="2" t="str">
        <f t="shared" si="113"/>
        <v>Монтаж разъединителя</v>
      </c>
      <c r="H162" s="2"/>
      <c r="I162" s="2"/>
      <c r="J162" s="2"/>
      <c r="K162" s="2"/>
      <c r="L162" s="2"/>
      <c r="M162" s="2"/>
      <c r="N162" s="2"/>
      <c r="O162" s="2">
        <f t="shared" ref="O162:AT162" si="114">O186</f>
        <v>46850.36</v>
      </c>
      <c r="P162" s="2">
        <f t="shared" si="114"/>
        <v>39669.120000000003</v>
      </c>
      <c r="Q162" s="2">
        <f t="shared" si="114"/>
        <v>3456.76</v>
      </c>
      <c r="R162" s="2">
        <f t="shared" si="114"/>
        <v>685.89</v>
      </c>
      <c r="S162" s="2">
        <f t="shared" si="114"/>
        <v>3724.48</v>
      </c>
      <c r="T162" s="2">
        <f t="shared" si="114"/>
        <v>0</v>
      </c>
      <c r="U162" s="2">
        <f t="shared" si="114"/>
        <v>11.573051999999999</v>
      </c>
      <c r="V162" s="2">
        <f t="shared" si="114"/>
        <v>1.9194284000000001</v>
      </c>
      <c r="W162" s="2">
        <f t="shared" si="114"/>
        <v>0</v>
      </c>
      <c r="X162" s="2">
        <f t="shared" si="114"/>
        <v>4506.2299999999996</v>
      </c>
      <c r="Y162" s="2">
        <f t="shared" si="114"/>
        <v>2591.5300000000002</v>
      </c>
      <c r="Z162" s="2">
        <f t="shared" si="114"/>
        <v>0</v>
      </c>
      <c r="AA162" s="2">
        <f t="shared" si="114"/>
        <v>0</v>
      </c>
      <c r="AB162" s="2">
        <f t="shared" si="114"/>
        <v>46850.36</v>
      </c>
      <c r="AC162" s="2">
        <f t="shared" si="114"/>
        <v>39669.120000000003</v>
      </c>
      <c r="AD162" s="2">
        <f t="shared" si="114"/>
        <v>3456.76</v>
      </c>
      <c r="AE162" s="2">
        <f t="shared" si="114"/>
        <v>685.89</v>
      </c>
      <c r="AF162" s="2">
        <f t="shared" si="114"/>
        <v>3724.48</v>
      </c>
      <c r="AG162" s="2">
        <f t="shared" si="114"/>
        <v>0</v>
      </c>
      <c r="AH162" s="2">
        <f t="shared" si="114"/>
        <v>11.573051999999999</v>
      </c>
      <c r="AI162" s="2">
        <f t="shared" si="114"/>
        <v>1.9194284000000001</v>
      </c>
      <c r="AJ162" s="2">
        <f t="shared" si="114"/>
        <v>0</v>
      </c>
      <c r="AK162" s="2">
        <f t="shared" si="114"/>
        <v>4506.2299999999996</v>
      </c>
      <c r="AL162" s="2">
        <f t="shared" si="114"/>
        <v>2591.5300000000002</v>
      </c>
      <c r="AM162" s="2">
        <f t="shared" si="114"/>
        <v>0</v>
      </c>
      <c r="AN162" s="2">
        <f t="shared" si="114"/>
        <v>0</v>
      </c>
      <c r="AO162" s="2">
        <f t="shared" si="114"/>
        <v>0</v>
      </c>
      <c r="AP162" s="2">
        <f t="shared" si="114"/>
        <v>0</v>
      </c>
      <c r="AQ162" s="2">
        <f t="shared" si="114"/>
        <v>0</v>
      </c>
      <c r="AR162" s="2">
        <f t="shared" si="114"/>
        <v>53948.12</v>
      </c>
      <c r="AS162" s="2">
        <f t="shared" si="114"/>
        <v>47343</v>
      </c>
      <c r="AT162" s="2">
        <f t="shared" si="114"/>
        <v>6605.12</v>
      </c>
      <c r="AU162" s="2">
        <f t="shared" ref="AU162:BZ162" si="115">AU186</f>
        <v>0</v>
      </c>
      <c r="AV162" s="2">
        <f t="shared" si="115"/>
        <v>39669.120000000003</v>
      </c>
      <c r="AW162" s="2">
        <f t="shared" si="115"/>
        <v>39669.120000000003</v>
      </c>
      <c r="AX162" s="2">
        <f t="shared" si="115"/>
        <v>0</v>
      </c>
      <c r="AY162" s="2">
        <f t="shared" si="115"/>
        <v>39669.120000000003</v>
      </c>
      <c r="AZ162" s="2">
        <f t="shared" si="115"/>
        <v>0</v>
      </c>
      <c r="BA162" s="2">
        <f t="shared" si="115"/>
        <v>0</v>
      </c>
      <c r="BB162" s="2">
        <f t="shared" si="115"/>
        <v>0</v>
      </c>
      <c r="BC162" s="2">
        <f t="shared" si="115"/>
        <v>0</v>
      </c>
      <c r="BD162" s="2">
        <f t="shared" si="115"/>
        <v>0</v>
      </c>
      <c r="BE162" s="2">
        <f t="shared" si="115"/>
        <v>0</v>
      </c>
      <c r="BF162" s="2">
        <f t="shared" si="115"/>
        <v>0</v>
      </c>
      <c r="BG162" s="2">
        <f t="shared" si="115"/>
        <v>0</v>
      </c>
      <c r="BH162" s="2">
        <f t="shared" si="115"/>
        <v>0</v>
      </c>
      <c r="BI162" s="2">
        <f t="shared" si="115"/>
        <v>0</v>
      </c>
      <c r="BJ162" s="2">
        <f t="shared" si="115"/>
        <v>0</v>
      </c>
      <c r="BK162" s="2">
        <f t="shared" si="115"/>
        <v>0</v>
      </c>
      <c r="BL162" s="2">
        <f t="shared" si="115"/>
        <v>0</v>
      </c>
      <c r="BM162" s="2">
        <f t="shared" si="115"/>
        <v>0</v>
      </c>
      <c r="BN162" s="2">
        <f t="shared" si="115"/>
        <v>0</v>
      </c>
      <c r="BO162" s="2">
        <f t="shared" si="115"/>
        <v>0</v>
      </c>
      <c r="BP162" s="2">
        <f t="shared" si="115"/>
        <v>0</v>
      </c>
      <c r="BQ162" s="2">
        <f t="shared" si="115"/>
        <v>0</v>
      </c>
      <c r="BR162" s="2">
        <f t="shared" si="115"/>
        <v>0</v>
      </c>
      <c r="BS162" s="2">
        <f t="shared" si="115"/>
        <v>0</v>
      </c>
      <c r="BT162" s="2">
        <f t="shared" si="115"/>
        <v>0</v>
      </c>
      <c r="BU162" s="2">
        <f t="shared" si="115"/>
        <v>0</v>
      </c>
      <c r="BV162" s="2">
        <f t="shared" si="115"/>
        <v>0</v>
      </c>
      <c r="BW162" s="2">
        <f t="shared" si="115"/>
        <v>0</v>
      </c>
      <c r="BX162" s="2">
        <f t="shared" si="115"/>
        <v>0</v>
      </c>
      <c r="BY162" s="2">
        <f t="shared" si="115"/>
        <v>0</v>
      </c>
      <c r="BZ162" s="2">
        <f t="shared" si="115"/>
        <v>0</v>
      </c>
      <c r="CA162" s="2">
        <f t="shared" ref="CA162:DF162" si="116">CA186</f>
        <v>53948.12</v>
      </c>
      <c r="CB162" s="2">
        <f t="shared" si="116"/>
        <v>47343</v>
      </c>
      <c r="CC162" s="2">
        <f t="shared" si="116"/>
        <v>6605.12</v>
      </c>
      <c r="CD162" s="2">
        <f t="shared" si="116"/>
        <v>0</v>
      </c>
      <c r="CE162" s="2">
        <f t="shared" si="116"/>
        <v>39669.120000000003</v>
      </c>
      <c r="CF162" s="2">
        <f t="shared" si="116"/>
        <v>39669.120000000003</v>
      </c>
      <c r="CG162" s="2">
        <f t="shared" si="116"/>
        <v>0</v>
      </c>
      <c r="CH162" s="2">
        <f t="shared" si="116"/>
        <v>39669.120000000003</v>
      </c>
      <c r="CI162" s="2">
        <f t="shared" si="116"/>
        <v>0</v>
      </c>
      <c r="CJ162" s="2">
        <f t="shared" si="116"/>
        <v>0</v>
      </c>
      <c r="CK162" s="2">
        <f t="shared" si="116"/>
        <v>0</v>
      </c>
      <c r="CL162" s="2">
        <f t="shared" si="116"/>
        <v>0</v>
      </c>
      <c r="CM162" s="2">
        <f t="shared" si="116"/>
        <v>0</v>
      </c>
      <c r="CN162" s="2">
        <f t="shared" si="116"/>
        <v>0</v>
      </c>
      <c r="CO162" s="2">
        <f t="shared" si="116"/>
        <v>0</v>
      </c>
      <c r="CP162" s="2">
        <f t="shared" si="116"/>
        <v>0</v>
      </c>
      <c r="CQ162" s="2">
        <f t="shared" si="116"/>
        <v>0</v>
      </c>
      <c r="CR162" s="2">
        <f t="shared" si="116"/>
        <v>0</v>
      </c>
      <c r="CS162" s="2">
        <f t="shared" si="116"/>
        <v>0</v>
      </c>
      <c r="CT162" s="2">
        <f t="shared" si="116"/>
        <v>0</v>
      </c>
      <c r="CU162" s="2">
        <f t="shared" si="116"/>
        <v>0</v>
      </c>
      <c r="CV162" s="2">
        <f t="shared" si="116"/>
        <v>0</v>
      </c>
      <c r="CW162" s="2">
        <f t="shared" si="116"/>
        <v>0</v>
      </c>
      <c r="CX162" s="2">
        <f t="shared" si="116"/>
        <v>0</v>
      </c>
      <c r="CY162" s="2">
        <f t="shared" si="116"/>
        <v>0</v>
      </c>
      <c r="CZ162" s="2">
        <f t="shared" si="116"/>
        <v>0</v>
      </c>
      <c r="DA162" s="2">
        <f t="shared" si="116"/>
        <v>0</v>
      </c>
      <c r="DB162" s="2">
        <f t="shared" si="116"/>
        <v>0</v>
      </c>
      <c r="DC162" s="2">
        <f t="shared" si="116"/>
        <v>0</v>
      </c>
      <c r="DD162" s="2">
        <f t="shared" si="116"/>
        <v>0</v>
      </c>
      <c r="DE162" s="2">
        <f t="shared" si="116"/>
        <v>0</v>
      </c>
      <c r="DF162" s="2">
        <f t="shared" si="116"/>
        <v>0</v>
      </c>
      <c r="DG162" s="3">
        <f t="shared" ref="DG162:EL162" si="117">DG186</f>
        <v>0</v>
      </c>
      <c r="DH162" s="3">
        <f t="shared" si="117"/>
        <v>0</v>
      </c>
      <c r="DI162" s="3">
        <f t="shared" si="117"/>
        <v>0</v>
      </c>
      <c r="DJ162" s="3">
        <f t="shared" si="117"/>
        <v>0</v>
      </c>
      <c r="DK162" s="3">
        <f t="shared" si="117"/>
        <v>0</v>
      </c>
      <c r="DL162" s="3">
        <f t="shared" si="117"/>
        <v>0</v>
      </c>
      <c r="DM162" s="3">
        <f t="shared" si="117"/>
        <v>0</v>
      </c>
      <c r="DN162" s="3">
        <f t="shared" si="117"/>
        <v>0</v>
      </c>
      <c r="DO162" s="3">
        <f t="shared" si="117"/>
        <v>0</v>
      </c>
      <c r="DP162" s="3">
        <f t="shared" si="117"/>
        <v>0</v>
      </c>
      <c r="DQ162" s="3">
        <f t="shared" si="117"/>
        <v>0</v>
      </c>
      <c r="DR162" s="3">
        <f t="shared" si="117"/>
        <v>0</v>
      </c>
      <c r="DS162" s="3">
        <f t="shared" si="117"/>
        <v>0</v>
      </c>
      <c r="DT162" s="3">
        <f t="shared" si="117"/>
        <v>0</v>
      </c>
      <c r="DU162" s="3">
        <f t="shared" si="117"/>
        <v>0</v>
      </c>
      <c r="DV162" s="3">
        <f t="shared" si="117"/>
        <v>0</v>
      </c>
      <c r="DW162" s="3">
        <f t="shared" si="117"/>
        <v>0</v>
      </c>
      <c r="DX162" s="3">
        <f t="shared" si="117"/>
        <v>0</v>
      </c>
      <c r="DY162" s="3">
        <f t="shared" si="117"/>
        <v>0</v>
      </c>
      <c r="DZ162" s="3">
        <f t="shared" si="117"/>
        <v>0</v>
      </c>
      <c r="EA162" s="3">
        <f t="shared" si="117"/>
        <v>0</v>
      </c>
      <c r="EB162" s="3">
        <f t="shared" si="117"/>
        <v>0</v>
      </c>
      <c r="EC162" s="3">
        <f t="shared" si="117"/>
        <v>0</v>
      </c>
      <c r="ED162" s="3">
        <f t="shared" si="117"/>
        <v>0</v>
      </c>
      <c r="EE162" s="3">
        <f t="shared" si="117"/>
        <v>0</v>
      </c>
      <c r="EF162" s="3">
        <f t="shared" si="117"/>
        <v>0</v>
      </c>
      <c r="EG162" s="3">
        <f t="shared" si="117"/>
        <v>0</v>
      </c>
      <c r="EH162" s="3">
        <f t="shared" si="117"/>
        <v>0</v>
      </c>
      <c r="EI162" s="3">
        <f t="shared" si="117"/>
        <v>0</v>
      </c>
      <c r="EJ162" s="3">
        <f t="shared" si="117"/>
        <v>0</v>
      </c>
      <c r="EK162" s="3">
        <f t="shared" si="117"/>
        <v>0</v>
      </c>
      <c r="EL162" s="3">
        <f t="shared" si="117"/>
        <v>0</v>
      </c>
      <c r="EM162" s="3">
        <f t="shared" ref="EM162:FR162" si="118">EM186</f>
        <v>0</v>
      </c>
      <c r="EN162" s="3">
        <f t="shared" si="118"/>
        <v>0</v>
      </c>
      <c r="EO162" s="3">
        <f t="shared" si="118"/>
        <v>0</v>
      </c>
      <c r="EP162" s="3">
        <f t="shared" si="118"/>
        <v>0</v>
      </c>
      <c r="EQ162" s="3">
        <f t="shared" si="118"/>
        <v>0</v>
      </c>
      <c r="ER162" s="3">
        <f t="shared" si="118"/>
        <v>0</v>
      </c>
      <c r="ES162" s="3">
        <f t="shared" si="118"/>
        <v>0</v>
      </c>
      <c r="ET162" s="3">
        <f t="shared" si="118"/>
        <v>0</v>
      </c>
      <c r="EU162" s="3">
        <f t="shared" si="118"/>
        <v>0</v>
      </c>
      <c r="EV162" s="3">
        <f t="shared" si="118"/>
        <v>0</v>
      </c>
      <c r="EW162" s="3">
        <f t="shared" si="118"/>
        <v>0</v>
      </c>
      <c r="EX162" s="3">
        <f t="shared" si="118"/>
        <v>0</v>
      </c>
      <c r="EY162" s="3">
        <f t="shared" si="118"/>
        <v>0</v>
      </c>
      <c r="EZ162" s="3">
        <f t="shared" si="118"/>
        <v>0</v>
      </c>
      <c r="FA162" s="3">
        <f t="shared" si="118"/>
        <v>0</v>
      </c>
      <c r="FB162" s="3">
        <f t="shared" si="118"/>
        <v>0</v>
      </c>
      <c r="FC162" s="3">
        <f t="shared" si="118"/>
        <v>0</v>
      </c>
      <c r="FD162" s="3">
        <f t="shared" si="118"/>
        <v>0</v>
      </c>
      <c r="FE162" s="3">
        <f t="shared" si="118"/>
        <v>0</v>
      </c>
      <c r="FF162" s="3">
        <f t="shared" si="118"/>
        <v>0</v>
      </c>
      <c r="FG162" s="3">
        <f t="shared" si="118"/>
        <v>0</v>
      </c>
      <c r="FH162" s="3">
        <f t="shared" si="118"/>
        <v>0</v>
      </c>
      <c r="FI162" s="3">
        <f t="shared" si="118"/>
        <v>0</v>
      </c>
      <c r="FJ162" s="3">
        <f t="shared" si="118"/>
        <v>0</v>
      </c>
      <c r="FK162" s="3">
        <f t="shared" si="118"/>
        <v>0</v>
      </c>
      <c r="FL162" s="3">
        <f t="shared" si="118"/>
        <v>0</v>
      </c>
      <c r="FM162" s="3">
        <f t="shared" si="118"/>
        <v>0</v>
      </c>
      <c r="FN162" s="3">
        <f t="shared" si="118"/>
        <v>0</v>
      </c>
      <c r="FO162" s="3">
        <f t="shared" si="118"/>
        <v>0</v>
      </c>
      <c r="FP162" s="3">
        <f t="shared" si="118"/>
        <v>0</v>
      </c>
      <c r="FQ162" s="3">
        <f t="shared" si="118"/>
        <v>0</v>
      </c>
      <c r="FR162" s="3">
        <f t="shared" si="118"/>
        <v>0</v>
      </c>
      <c r="FS162" s="3">
        <f t="shared" ref="FS162:GX162" si="119">FS186</f>
        <v>0</v>
      </c>
      <c r="FT162" s="3">
        <f t="shared" si="119"/>
        <v>0</v>
      </c>
      <c r="FU162" s="3">
        <f t="shared" si="119"/>
        <v>0</v>
      </c>
      <c r="FV162" s="3">
        <f t="shared" si="119"/>
        <v>0</v>
      </c>
      <c r="FW162" s="3">
        <f t="shared" si="119"/>
        <v>0</v>
      </c>
      <c r="FX162" s="3">
        <f t="shared" si="119"/>
        <v>0</v>
      </c>
      <c r="FY162" s="3">
        <f t="shared" si="119"/>
        <v>0</v>
      </c>
      <c r="FZ162" s="3">
        <f t="shared" si="119"/>
        <v>0</v>
      </c>
      <c r="GA162" s="3">
        <f t="shared" si="119"/>
        <v>0</v>
      </c>
      <c r="GB162" s="3">
        <f t="shared" si="119"/>
        <v>0</v>
      </c>
      <c r="GC162" s="3">
        <f t="shared" si="119"/>
        <v>0</v>
      </c>
      <c r="GD162" s="3">
        <f t="shared" si="119"/>
        <v>0</v>
      </c>
      <c r="GE162" s="3">
        <f t="shared" si="119"/>
        <v>0</v>
      </c>
      <c r="GF162" s="3">
        <f t="shared" si="119"/>
        <v>0</v>
      </c>
      <c r="GG162" s="3">
        <f t="shared" si="119"/>
        <v>0</v>
      </c>
      <c r="GH162" s="3">
        <f t="shared" si="119"/>
        <v>0</v>
      </c>
      <c r="GI162" s="3">
        <f t="shared" si="119"/>
        <v>0</v>
      </c>
      <c r="GJ162" s="3">
        <f t="shared" si="119"/>
        <v>0</v>
      </c>
      <c r="GK162" s="3">
        <f t="shared" si="119"/>
        <v>0</v>
      </c>
      <c r="GL162" s="3">
        <f t="shared" si="119"/>
        <v>0</v>
      </c>
      <c r="GM162" s="3">
        <f t="shared" si="119"/>
        <v>0</v>
      </c>
      <c r="GN162" s="3">
        <f t="shared" si="119"/>
        <v>0</v>
      </c>
      <c r="GO162" s="3">
        <f t="shared" si="119"/>
        <v>0</v>
      </c>
      <c r="GP162" s="3">
        <f t="shared" si="119"/>
        <v>0</v>
      </c>
      <c r="GQ162" s="3">
        <f t="shared" si="119"/>
        <v>0</v>
      </c>
      <c r="GR162" s="3">
        <f t="shared" si="119"/>
        <v>0</v>
      </c>
      <c r="GS162" s="3">
        <f t="shared" si="119"/>
        <v>0</v>
      </c>
      <c r="GT162" s="3">
        <f t="shared" si="119"/>
        <v>0</v>
      </c>
      <c r="GU162" s="3">
        <f t="shared" si="119"/>
        <v>0</v>
      </c>
      <c r="GV162" s="3">
        <f t="shared" si="119"/>
        <v>0</v>
      </c>
      <c r="GW162" s="3">
        <f t="shared" si="119"/>
        <v>0</v>
      </c>
      <c r="GX162" s="3">
        <f t="shared" si="119"/>
        <v>0</v>
      </c>
    </row>
    <row r="164" spans="1:245" x14ac:dyDescent="0.2">
      <c r="A164">
        <v>17</v>
      </c>
      <c r="B164">
        <v>1</v>
      </c>
      <c r="C164">
        <f>ROW(SmtRes!A102)</f>
        <v>102</v>
      </c>
      <c r="D164">
        <f>ROW(EtalonRes!A102)</f>
        <v>102</v>
      </c>
      <c r="E164" t="s">
        <v>295</v>
      </c>
      <c r="F164" t="s">
        <v>115</v>
      </c>
      <c r="G164" t="s">
        <v>116</v>
      </c>
      <c r="H164" t="s">
        <v>117</v>
      </c>
      <c r="I164">
        <f>ROUND(22.66/1000,9)</f>
        <v>2.266E-2</v>
      </c>
      <c r="J164">
        <v>0</v>
      </c>
      <c r="K164">
        <f>ROUND(22.66/1000,9)</f>
        <v>2.266E-2</v>
      </c>
      <c r="O164">
        <f t="shared" ref="O164:O184" si="120">ROUND(CP164,2)</f>
        <v>3661.33</v>
      </c>
      <c r="P164">
        <f t="shared" ref="P164:P184" si="121">ROUND(CQ164*I164,2)</f>
        <v>3087.17</v>
      </c>
      <c r="Q164">
        <f t="shared" ref="Q164:Q184" si="122">ROUND(CR164*I164,2)</f>
        <v>127.25</v>
      </c>
      <c r="R164">
        <f t="shared" ref="R164:R184" si="123">ROUND(CS164*I164,2)</f>
        <v>16.82</v>
      </c>
      <c r="S164">
        <f t="shared" ref="S164:S184" si="124">ROUND(CT164*I164,2)</f>
        <v>446.91</v>
      </c>
      <c r="T164">
        <f t="shared" ref="T164:T184" si="125">ROUND(CU164*I164,2)</f>
        <v>0</v>
      </c>
      <c r="U164">
        <f t="shared" ref="U164:U184" si="126">CV164*I164</f>
        <v>1.4094520000000001</v>
      </c>
      <c r="V164">
        <f t="shared" ref="V164:V184" si="127">CW164*I164</f>
        <v>3.9428400000000002E-2</v>
      </c>
      <c r="W164">
        <f t="shared" ref="W164:W184" si="128">ROUND(CX164*I164,2)</f>
        <v>0</v>
      </c>
      <c r="X164">
        <f t="shared" ref="X164:X184" si="129">ROUND(CY164,2)</f>
        <v>449.82</v>
      </c>
      <c r="Y164">
        <f t="shared" ref="Y164:Y184" si="130">ROUND(CZ164,2)</f>
        <v>236.5</v>
      </c>
      <c r="AA164">
        <v>84185495</v>
      </c>
      <c r="AB164">
        <f t="shared" ref="AB164:AB184" si="131">ROUND((AC164+AD164+AF164),2)</f>
        <v>13270.76</v>
      </c>
      <c r="AC164">
        <f t="shared" ref="AC164:AC184" si="132">ROUND((ES164),2)</f>
        <v>12196.85</v>
      </c>
      <c r="AD164">
        <f t="shared" ref="AD164:AD184" si="133">ROUND((((ET164)-(EU164))+AE164),2)</f>
        <v>514.73</v>
      </c>
      <c r="AE164">
        <f t="shared" ref="AE164:AE184" si="134">ROUND((EU164),2)</f>
        <v>21.05</v>
      </c>
      <c r="AF164">
        <f t="shared" ref="AF164:AF184" si="135">ROUND((EV164),2)</f>
        <v>559.17999999999995</v>
      </c>
      <c r="AG164">
        <f t="shared" ref="AG164:AG184" si="136">ROUND((AP164),2)</f>
        <v>0</v>
      </c>
      <c r="AH164">
        <f t="shared" ref="AH164:AH184" si="137">(EW164)</f>
        <v>62.2</v>
      </c>
      <c r="AI164">
        <f t="shared" ref="AI164:AI184" si="138">(EX164)</f>
        <v>1.74</v>
      </c>
      <c r="AJ164">
        <f t="shared" ref="AJ164:AJ184" si="139">(AS164)</f>
        <v>0</v>
      </c>
      <c r="AK164">
        <v>13270.76</v>
      </c>
      <c r="AL164">
        <v>12196.85</v>
      </c>
      <c r="AM164">
        <v>514.73</v>
      </c>
      <c r="AN164">
        <v>21.05</v>
      </c>
      <c r="AO164">
        <v>559.17999999999995</v>
      </c>
      <c r="AP164">
        <v>0</v>
      </c>
      <c r="AQ164">
        <v>62.2</v>
      </c>
      <c r="AR164">
        <v>1.74</v>
      </c>
      <c r="AS164">
        <v>0</v>
      </c>
      <c r="AT164">
        <v>97</v>
      </c>
      <c r="AU164">
        <v>51</v>
      </c>
      <c r="AV164">
        <v>1</v>
      </c>
      <c r="AW164">
        <v>1</v>
      </c>
      <c r="AZ164">
        <v>1</v>
      </c>
      <c r="BA164">
        <v>35.270000000000003</v>
      </c>
      <c r="BB164">
        <v>10.91</v>
      </c>
      <c r="BC164">
        <v>11.17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2</v>
      </c>
      <c r="BJ164" t="s">
        <v>118</v>
      </c>
      <c r="BM164">
        <v>108001</v>
      </c>
      <c r="BN164">
        <v>0</v>
      </c>
      <c r="BO164" t="s">
        <v>115</v>
      </c>
      <c r="BP164">
        <v>1</v>
      </c>
      <c r="BQ164">
        <v>3</v>
      </c>
      <c r="BR164">
        <v>0</v>
      </c>
      <c r="BS164">
        <v>35.270000000000003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97</v>
      </c>
      <c r="CA164">
        <v>51</v>
      </c>
      <c r="CB164" t="s">
        <v>3</v>
      </c>
      <c r="CE164">
        <v>0</v>
      </c>
      <c r="CF164">
        <v>0</v>
      </c>
      <c r="CG164">
        <v>0</v>
      </c>
      <c r="CM164">
        <v>0</v>
      </c>
      <c r="CN164" t="s">
        <v>3</v>
      </c>
      <c r="CO164">
        <v>0</v>
      </c>
      <c r="CP164">
        <f t="shared" ref="CP164:CP184" si="140">(P164+Q164+S164)</f>
        <v>3661.33</v>
      </c>
      <c r="CQ164">
        <f t="shared" ref="CQ164:CQ184" si="141">AC164*BC164</f>
        <v>136238.81450000001</v>
      </c>
      <c r="CR164">
        <f t="shared" ref="CR164:CR184" si="142">(((ET164)*BB164-(EU164)*BS164)+AE164*BS164)</f>
        <v>5615.7043000000003</v>
      </c>
      <c r="CS164">
        <f t="shared" ref="CS164:CS184" si="143">AE164*BS164</f>
        <v>742.43350000000009</v>
      </c>
      <c r="CT164">
        <f t="shared" ref="CT164:CT184" si="144">AF164*BA164</f>
        <v>19722.278600000001</v>
      </c>
      <c r="CU164">
        <f t="shared" ref="CU164:CU184" si="145">AG164</f>
        <v>0</v>
      </c>
      <c r="CV164">
        <f t="shared" ref="CV164:CV184" si="146">AH164</f>
        <v>62.2</v>
      </c>
      <c r="CW164">
        <f t="shared" ref="CW164:CW184" si="147">AI164</f>
        <v>1.74</v>
      </c>
      <c r="CX164">
        <f t="shared" ref="CX164:CX184" si="148">AJ164</f>
        <v>0</v>
      </c>
      <c r="CY164">
        <f t="shared" ref="CY164:CY171" si="149">(((S164+R164)*AT164)/100)</f>
        <v>449.81810000000007</v>
      </c>
      <c r="CZ164">
        <f t="shared" ref="CZ164:CZ171" si="150">(((S164+R164)*AU164)/100)</f>
        <v>236.50229999999999</v>
      </c>
      <c r="DC164" t="s">
        <v>3</v>
      </c>
      <c r="DD164" t="s">
        <v>3</v>
      </c>
      <c r="DE164" t="s">
        <v>3</v>
      </c>
      <c r="DF164" t="s">
        <v>3</v>
      </c>
      <c r="DG164" t="s">
        <v>3</v>
      </c>
      <c r="DH164" t="s">
        <v>3</v>
      </c>
      <c r="DI164" t="s">
        <v>3</v>
      </c>
      <c r="DJ164" t="s">
        <v>3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117</v>
      </c>
      <c r="DW164" t="s">
        <v>117</v>
      </c>
      <c r="DX164">
        <v>1</v>
      </c>
      <c r="DZ164" t="s">
        <v>3</v>
      </c>
      <c r="EA164" t="s">
        <v>3</v>
      </c>
      <c r="EB164" t="s">
        <v>3</v>
      </c>
      <c r="EC164" t="s">
        <v>3</v>
      </c>
      <c r="EE164">
        <v>79401673</v>
      </c>
      <c r="EF164">
        <v>3</v>
      </c>
      <c r="EG164" t="s">
        <v>32</v>
      </c>
      <c r="EH164">
        <v>0</v>
      </c>
      <c r="EI164" t="s">
        <v>3</v>
      </c>
      <c r="EJ164">
        <v>2</v>
      </c>
      <c r="EK164">
        <v>108001</v>
      </c>
      <c r="EL164" t="s">
        <v>33</v>
      </c>
      <c r="EM164" t="s">
        <v>34</v>
      </c>
      <c r="EO164" t="s">
        <v>3</v>
      </c>
      <c r="EQ164">
        <v>0</v>
      </c>
      <c r="ER164">
        <v>13270.76</v>
      </c>
      <c r="ES164">
        <v>12196.85</v>
      </c>
      <c r="ET164">
        <v>514.73</v>
      </c>
      <c r="EU164">
        <v>21.05</v>
      </c>
      <c r="EV164">
        <v>559.17999999999995</v>
      </c>
      <c r="EW164">
        <v>62.2</v>
      </c>
      <c r="EX164">
        <v>1.74</v>
      </c>
      <c r="EY164">
        <v>0</v>
      </c>
      <c r="FQ164">
        <v>0</v>
      </c>
      <c r="FR164">
        <f t="shared" ref="FR164:FR184" si="151">ROUND(IF(BI164=3,GM164,0),2)</f>
        <v>0</v>
      </c>
      <c r="FS164">
        <v>0</v>
      </c>
      <c r="FX164">
        <v>97</v>
      </c>
      <c r="FY164">
        <v>51</v>
      </c>
      <c r="GA164" t="s">
        <v>3</v>
      </c>
      <c r="GD164">
        <v>1</v>
      </c>
      <c r="GF164">
        <v>894850987</v>
      </c>
      <c r="GG164">
        <v>2</v>
      </c>
      <c r="GH164">
        <v>1</v>
      </c>
      <c r="GI164">
        <v>2</v>
      </c>
      <c r="GJ164">
        <v>0</v>
      </c>
      <c r="GK164">
        <v>0</v>
      </c>
      <c r="GL164">
        <f t="shared" ref="GL164:GL184" si="152">ROUND(IF(AND(BH164=3,BI164=3,FS164&lt;&gt;0),P164,0),2)</f>
        <v>0</v>
      </c>
      <c r="GM164">
        <f t="shared" ref="GM164:GM184" si="153">ROUND(O164+X164+Y164,2)+GX164</f>
        <v>4347.6499999999996</v>
      </c>
      <c r="GN164">
        <f t="shared" ref="GN164:GN184" si="154">IF(OR(BI164=0,BI164=1),GM164,0)</f>
        <v>0</v>
      </c>
      <c r="GO164">
        <f t="shared" ref="GO164:GO184" si="155">IF(BI164=2,GM164,0)</f>
        <v>4347.6499999999996</v>
      </c>
      <c r="GP164">
        <f t="shared" ref="GP164:GP184" si="156">IF(BI164=4,GM164+GX164,0)</f>
        <v>0</v>
      </c>
      <c r="GR164">
        <v>0</v>
      </c>
      <c r="GS164">
        <v>3</v>
      </c>
      <c r="GT164">
        <v>0</v>
      </c>
      <c r="GU164" t="s">
        <v>3</v>
      </c>
      <c r="GV164">
        <f t="shared" ref="GV164:GV184" si="157">ROUND((GT164),2)</f>
        <v>0</v>
      </c>
      <c r="GW164">
        <v>1</v>
      </c>
      <c r="GX164">
        <f t="shared" ref="GX164:GX184" si="158">ROUND(HC164*I164,2)</f>
        <v>0</v>
      </c>
      <c r="HA164">
        <v>0</v>
      </c>
      <c r="HB164">
        <v>0</v>
      </c>
      <c r="HC164">
        <f t="shared" ref="HC164:HC184" si="159">GV164*GW164</f>
        <v>0</v>
      </c>
      <c r="HE164" t="s">
        <v>3</v>
      </c>
      <c r="HF164" t="s">
        <v>3</v>
      </c>
      <c r="HM164" t="s">
        <v>3</v>
      </c>
      <c r="HN164" t="s">
        <v>36</v>
      </c>
      <c r="HO164" t="s">
        <v>37</v>
      </c>
      <c r="HP164" t="s">
        <v>33</v>
      </c>
      <c r="HQ164" t="s">
        <v>33</v>
      </c>
      <c r="IK164">
        <v>0</v>
      </c>
    </row>
    <row r="165" spans="1:245" x14ac:dyDescent="0.2">
      <c r="A165">
        <v>17</v>
      </c>
      <c r="B165">
        <v>1</v>
      </c>
      <c r="C165">
        <f>ROW(SmtRes!A117)</f>
        <v>117</v>
      </c>
      <c r="D165">
        <f>ROW(EtalonRes!A117)</f>
        <v>117</v>
      </c>
      <c r="E165" t="s">
        <v>296</v>
      </c>
      <c r="F165" t="s">
        <v>297</v>
      </c>
      <c r="G165" t="s">
        <v>298</v>
      </c>
      <c r="H165" t="s">
        <v>218</v>
      </c>
      <c r="I165">
        <v>1</v>
      </c>
      <c r="J165">
        <v>0</v>
      </c>
      <c r="K165">
        <v>1</v>
      </c>
      <c r="O165">
        <f t="shared" si="120"/>
        <v>4202.08</v>
      </c>
      <c r="P165">
        <f t="shared" si="121"/>
        <v>25.42</v>
      </c>
      <c r="Q165">
        <f t="shared" si="122"/>
        <v>1494.38</v>
      </c>
      <c r="R165">
        <f t="shared" si="123"/>
        <v>281.81</v>
      </c>
      <c r="S165">
        <f t="shared" si="124"/>
        <v>2682.28</v>
      </c>
      <c r="T165">
        <f t="shared" si="125"/>
        <v>0</v>
      </c>
      <c r="U165">
        <f t="shared" si="126"/>
        <v>8.09</v>
      </c>
      <c r="V165">
        <f t="shared" si="127"/>
        <v>0.66</v>
      </c>
      <c r="W165">
        <f t="shared" si="128"/>
        <v>0</v>
      </c>
      <c r="X165">
        <f t="shared" si="129"/>
        <v>3053.01</v>
      </c>
      <c r="Y165">
        <f t="shared" si="130"/>
        <v>1778.45</v>
      </c>
      <c r="AA165">
        <v>84185495</v>
      </c>
      <c r="AB165">
        <f t="shared" si="131"/>
        <v>197.83</v>
      </c>
      <c r="AC165">
        <f t="shared" si="132"/>
        <v>2.23</v>
      </c>
      <c r="AD165">
        <f t="shared" si="133"/>
        <v>119.55</v>
      </c>
      <c r="AE165">
        <f t="shared" si="134"/>
        <v>7.99</v>
      </c>
      <c r="AF165">
        <f t="shared" si="135"/>
        <v>76.05</v>
      </c>
      <c r="AG165">
        <f t="shared" si="136"/>
        <v>0</v>
      </c>
      <c r="AH165">
        <f t="shared" si="137"/>
        <v>8.09</v>
      </c>
      <c r="AI165">
        <f t="shared" si="138"/>
        <v>0.66</v>
      </c>
      <c r="AJ165">
        <f t="shared" si="139"/>
        <v>0</v>
      </c>
      <c r="AK165">
        <v>197.83</v>
      </c>
      <c r="AL165">
        <v>2.23</v>
      </c>
      <c r="AM165">
        <v>119.55</v>
      </c>
      <c r="AN165">
        <v>7.99</v>
      </c>
      <c r="AO165">
        <v>76.05</v>
      </c>
      <c r="AP165">
        <v>0</v>
      </c>
      <c r="AQ165">
        <v>8.09</v>
      </c>
      <c r="AR165">
        <v>0.66</v>
      </c>
      <c r="AS165">
        <v>0</v>
      </c>
      <c r="AT165">
        <v>103</v>
      </c>
      <c r="AU165">
        <v>60</v>
      </c>
      <c r="AV165">
        <v>1</v>
      </c>
      <c r="AW165">
        <v>1</v>
      </c>
      <c r="AZ165">
        <v>1</v>
      </c>
      <c r="BA165">
        <v>35.270000000000003</v>
      </c>
      <c r="BB165">
        <v>12.5</v>
      </c>
      <c r="BC165">
        <v>11.4</v>
      </c>
      <c r="BD165" t="s">
        <v>3</v>
      </c>
      <c r="BE165" t="s">
        <v>3</v>
      </c>
      <c r="BF165" t="s">
        <v>3</v>
      </c>
      <c r="BG165" t="s">
        <v>3</v>
      </c>
      <c r="BH165">
        <v>0</v>
      </c>
      <c r="BI165">
        <v>1</v>
      </c>
      <c r="BJ165" t="s">
        <v>299</v>
      </c>
      <c r="BM165">
        <v>33001</v>
      </c>
      <c r="BN165">
        <v>0</v>
      </c>
      <c r="BO165" t="s">
        <v>297</v>
      </c>
      <c r="BP165">
        <v>1</v>
      </c>
      <c r="BQ165">
        <v>2</v>
      </c>
      <c r="BR165">
        <v>0</v>
      </c>
      <c r="BS165">
        <v>35.270000000000003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103</v>
      </c>
      <c r="CA165">
        <v>60</v>
      </c>
      <c r="CB165" t="s">
        <v>3</v>
      </c>
      <c r="CE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40"/>
        <v>4202.08</v>
      </c>
      <c r="CQ165">
        <f t="shared" si="141"/>
        <v>25.422000000000001</v>
      </c>
      <c r="CR165">
        <f t="shared" si="142"/>
        <v>1494.375</v>
      </c>
      <c r="CS165">
        <f t="shared" si="143"/>
        <v>281.80730000000005</v>
      </c>
      <c r="CT165">
        <f t="shared" si="144"/>
        <v>2682.2835</v>
      </c>
      <c r="CU165">
        <f t="shared" si="145"/>
        <v>0</v>
      </c>
      <c r="CV165">
        <f t="shared" si="146"/>
        <v>8.09</v>
      </c>
      <c r="CW165">
        <f t="shared" si="147"/>
        <v>0.66</v>
      </c>
      <c r="CX165">
        <f t="shared" si="148"/>
        <v>0</v>
      </c>
      <c r="CY165">
        <f t="shared" si="149"/>
        <v>3053.0127000000002</v>
      </c>
      <c r="CZ165">
        <f t="shared" si="150"/>
        <v>1778.4540000000002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1013</v>
      </c>
      <c r="DV165" t="s">
        <v>218</v>
      </c>
      <c r="DW165" t="s">
        <v>218</v>
      </c>
      <c r="DX165">
        <v>1</v>
      </c>
      <c r="DZ165" t="s">
        <v>3</v>
      </c>
      <c r="EA165" t="s">
        <v>3</v>
      </c>
      <c r="EB165" t="s">
        <v>3</v>
      </c>
      <c r="EC165" t="s">
        <v>3</v>
      </c>
      <c r="EE165">
        <v>79401925</v>
      </c>
      <c r="EF165">
        <v>2</v>
      </c>
      <c r="EG165" t="s">
        <v>19</v>
      </c>
      <c r="EH165">
        <v>27</v>
      </c>
      <c r="EI165" t="s">
        <v>20</v>
      </c>
      <c r="EJ165">
        <v>1</v>
      </c>
      <c r="EK165">
        <v>33001</v>
      </c>
      <c r="EL165" t="s">
        <v>20</v>
      </c>
      <c r="EM165" t="s">
        <v>21</v>
      </c>
      <c r="EO165" t="s">
        <v>3</v>
      </c>
      <c r="EQ165">
        <v>0</v>
      </c>
      <c r="ER165">
        <v>197.83</v>
      </c>
      <c r="ES165">
        <v>2.23</v>
      </c>
      <c r="ET165">
        <v>119.55</v>
      </c>
      <c r="EU165">
        <v>7.99</v>
      </c>
      <c r="EV165">
        <v>76.05</v>
      </c>
      <c r="EW165">
        <v>8.09</v>
      </c>
      <c r="EX165">
        <v>0.66</v>
      </c>
      <c r="EY165">
        <v>0</v>
      </c>
      <c r="FQ165">
        <v>0</v>
      </c>
      <c r="FR165">
        <f t="shared" si="151"/>
        <v>0</v>
      </c>
      <c r="FS165">
        <v>0</v>
      </c>
      <c r="FX165">
        <v>103</v>
      </c>
      <c r="FY165">
        <v>60</v>
      </c>
      <c r="GA165" t="s">
        <v>3</v>
      </c>
      <c r="GD165">
        <v>1</v>
      </c>
      <c r="GF165">
        <v>-1228900076</v>
      </c>
      <c r="GG165">
        <v>2</v>
      </c>
      <c r="GH165">
        <v>1</v>
      </c>
      <c r="GI165">
        <v>2</v>
      </c>
      <c r="GJ165">
        <v>0</v>
      </c>
      <c r="GK165">
        <v>0</v>
      </c>
      <c r="GL165">
        <f t="shared" si="152"/>
        <v>0</v>
      </c>
      <c r="GM165">
        <f t="shared" si="153"/>
        <v>9033.5400000000009</v>
      </c>
      <c r="GN165">
        <f t="shared" si="154"/>
        <v>9033.5400000000009</v>
      </c>
      <c r="GO165">
        <f t="shared" si="155"/>
        <v>0</v>
      </c>
      <c r="GP165">
        <f t="shared" si="156"/>
        <v>0</v>
      </c>
      <c r="GR165">
        <v>0</v>
      </c>
      <c r="GS165">
        <v>3</v>
      </c>
      <c r="GT165">
        <v>0</v>
      </c>
      <c r="GU165" t="s">
        <v>3</v>
      </c>
      <c r="GV165">
        <f t="shared" si="157"/>
        <v>0</v>
      </c>
      <c r="GW165">
        <v>1</v>
      </c>
      <c r="GX165">
        <f t="shared" si="158"/>
        <v>0</v>
      </c>
      <c r="HA165">
        <v>0</v>
      </c>
      <c r="HB165">
        <v>0</v>
      </c>
      <c r="HC165">
        <f t="shared" si="159"/>
        <v>0</v>
      </c>
      <c r="HE165" t="s">
        <v>3</v>
      </c>
      <c r="HF165" t="s">
        <v>3</v>
      </c>
      <c r="HM165" t="s">
        <v>3</v>
      </c>
      <c r="HN165" t="s">
        <v>22</v>
      </c>
      <c r="HO165" t="s">
        <v>23</v>
      </c>
      <c r="HP165" t="s">
        <v>20</v>
      </c>
      <c r="HQ165" t="s">
        <v>20</v>
      </c>
      <c r="IK165">
        <v>0</v>
      </c>
    </row>
    <row r="166" spans="1:245" x14ac:dyDescent="0.2">
      <c r="A166">
        <v>18</v>
      </c>
      <c r="B166">
        <v>1</v>
      </c>
      <c r="C166">
        <v>109</v>
      </c>
      <c r="E166" t="s">
        <v>300</v>
      </c>
      <c r="F166" t="s">
        <v>124</v>
      </c>
      <c r="G166" t="s">
        <v>125</v>
      </c>
      <c r="H166" t="s">
        <v>126</v>
      </c>
      <c r="I166">
        <f>I165*J166</f>
        <v>0</v>
      </c>
      <c r="J166">
        <v>0</v>
      </c>
      <c r="K166">
        <v>0</v>
      </c>
      <c r="O166">
        <f t="shared" si="120"/>
        <v>0</v>
      </c>
      <c r="P166">
        <f t="shared" si="121"/>
        <v>0</v>
      </c>
      <c r="Q166">
        <f t="shared" si="122"/>
        <v>0</v>
      </c>
      <c r="R166">
        <f t="shared" si="123"/>
        <v>0</v>
      </c>
      <c r="S166">
        <f t="shared" si="124"/>
        <v>0</v>
      </c>
      <c r="T166">
        <f t="shared" si="125"/>
        <v>0</v>
      </c>
      <c r="U166">
        <f t="shared" si="126"/>
        <v>0</v>
      </c>
      <c r="V166">
        <f t="shared" si="127"/>
        <v>0</v>
      </c>
      <c r="W166">
        <f t="shared" si="128"/>
        <v>0</v>
      </c>
      <c r="X166">
        <f t="shared" si="129"/>
        <v>0</v>
      </c>
      <c r="Y166">
        <f t="shared" si="130"/>
        <v>0</v>
      </c>
      <c r="AA166">
        <v>84185495</v>
      </c>
      <c r="AB166">
        <f t="shared" si="131"/>
        <v>9040.01</v>
      </c>
      <c r="AC166">
        <f t="shared" si="132"/>
        <v>9040.01</v>
      </c>
      <c r="AD166">
        <f t="shared" si="133"/>
        <v>0</v>
      </c>
      <c r="AE166">
        <f t="shared" si="134"/>
        <v>0</v>
      </c>
      <c r="AF166">
        <f t="shared" si="135"/>
        <v>0</v>
      </c>
      <c r="AG166">
        <f t="shared" si="136"/>
        <v>0</v>
      </c>
      <c r="AH166">
        <f t="shared" si="137"/>
        <v>0</v>
      </c>
      <c r="AI166">
        <f t="shared" si="138"/>
        <v>0</v>
      </c>
      <c r="AJ166">
        <f t="shared" si="139"/>
        <v>0</v>
      </c>
      <c r="AK166">
        <v>9040.01</v>
      </c>
      <c r="AL166">
        <v>9040.01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103</v>
      </c>
      <c r="AU166">
        <v>60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23.1</v>
      </c>
      <c r="BD166" t="s">
        <v>3</v>
      </c>
      <c r="BE166" t="s">
        <v>3</v>
      </c>
      <c r="BF166" t="s">
        <v>3</v>
      </c>
      <c r="BG166" t="s">
        <v>3</v>
      </c>
      <c r="BH166">
        <v>3</v>
      </c>
      <c r="BI166">
        <v>1</v>
      </c>
      <c r="BJ166" t="s">
        <v>127</v>
      </c>
      <c r="BM166">
        <v>33001</v>
      </c>
      <c r="BN166">
        <v>0</v>
      </c>
      <c r="BO166" t="s">
        <v>124</v>
      </c>
      <c r="BP166">
        <v>1</v>
      </c>
      <c r="BQ166">
        <v>2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103</v>
      </c>
      <c r="CA166">
        <v>60</v>
      </c>
      <c r="CB166" t="s">
        <v>3</v>
      </c>
      <c r="CE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40"/>
        <v>0</v>
      </c>
      <c r="CQ166">
        <f t="shared" si="141"/>
        <v>208824.23100000003</v>
      </c>
      <c r="CR166">
        <f t="shared" si="142"/>
        <v>0</v>
      </c>
      <c r="CS166">
        <f t="shared" si="143"/>
        <v>0</v>
      </c>
      <c r="CT166">
        <f t="shared" si="144"/>
        <v>0</v>
      </c>
      <c r="CU166">
        <f t="shared" si="145"/>
        <v>0</v>
      </c>
      <c r="CV166">
        <f t="shared" si="146"/>
        <v>0</v>
      </c>
      <c r="CW166">
        <f t="shared" si="147"/>
        <v>0</v>
      </c>
      <c r="CX166">
        <f t="shared" si="148"/>
        <v>0</v>
      </c>
      <c r="CY166">
        <f t="shared" si="149"/>
        <v>0</v>
      </c>
      <c r="CZ166">
        <f t="shared" si="150"/>
        <v>0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1009</v>
      </c>
      <c r="DV166" t="s">
        <v>126</v>
      </c>
      <c r="DW166" t="s">
        <v>126</v>
      </c>
      <c r="DX166">
        <v>1000</v>
      </c>
      <c r="DZ166" t="s">
        <v>3</v>
      </c>
      <c r="EA166" t="s">
        <v>3</v>
      </c>
      <c r="EB166" t="s">
        <v>3</v>
      </c>
      <c r="EC166" t="s">
        <v>3</v>
      </c>
      <c r="EE166">
        <v>79401925</v>
      </c>
      <c r="EF166">
        <v>2</v>
      </c>
      <c r="EG166" t="s">
        <v>19</v>
      </c>
      <c r="EH166">
        <v>27</v>
      </c>
      <c r="EI166" t="s">
        <v>20</v>
      </c>
      <c r="EJ166">
        <v>1</v>
      </c>
      <c r="EK166">
        <v>33001</v>
      </c>
      <c r="EL166" t="s">
        <v>20</v>
      </c>
      <c r="EM166" t="s">
        <v>21</v>
      </c>
      <c r="EO166" t="s">
        <v>3</v>
      </c>
      <c r="EQ166">
        <v>0</v>
      </c>
      <c r="ER166">
        <v>9040.01</v>
      </c>
      <c r="ES166">
        <v>9040.01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51"/>
        <v>0</v>
      </c>
      <c r="FS166">
        <v>0</v>
      </c>
      <c r="FX166">
        <v>103</v>
      </c>
      <c r="FY166">
        <v>60</v>
      </c>
      <c r="GA166" t="s">
        <v>3</v>
      </c>
      <c r="GD166">
        <v>1</v>
      </c>
      <c r="GF166">
        <v>-384985709</v>
      </c>
      <c r="GG166">
        <v>2</v>
      </c>
      <c r="GH166">
        <v>1</v>
      </c>
      <c r="GI166">
        <v>2</v>
      </c>
      <c r="GJ166">
        <v>0</v>
      </c>
      <c r="GK166">
        <v>0</v>
      </c>
      <c r="GL166">
        <f t="shared" si="152"/>
        <v>0</v>
      </c>
      <c r="GM166">
        <f t="shared" si="153"/>
        <v>0</v>
      </c>
      <c r="GN166">
        <f t="shared" si="154"/>
        <v>0</v>
      </c>
      <c r="GO166">
        <f t="shared" si="155"/>
        <v>0</v>
      </c>
      <c r="GP166">
        <f t="shared" si="156"/>
        <v>0</v>
      </c>
      <c r="GR166">
        <v>0</v>
      </c>
      <c r="GS166">
        <v>3</v>
      </c>
      <c r="GT166">
        <v>0</v>
      </c>
      <c r="GU166" t="s">
        <v>3</v>
      </c>
      <c r="GV166">
        <f t="shared" si="157"/>
        <v>0</v>
      </c>
      <c r="GW166">
        <v>1</v>
      </c>
      <c r="GX166">
        <f t="shared" si="158"/>
        <v>0</v>
      </c>
      <c r="HA166">
        <v>0</v>
      </c>
      <c r="HB166">
        <v>0</v>
      </c>
      <c r="HC166">
        <f t="shared" si="159"/>
        <v>0</v>
      </c>
      <c r="HE166" t="s">
        <v>3</v>
      </c>
      <c r="HF166" t="s">
        <v>3</v>
      </c>
      <c r="HM166" t="s">
        <v>3</v>
      </c>
      <c r="HN166" t="s">
        <v>22</v>
      </c>
      <c r="HO166" t="s">
        <v>23</v>
      </c>
      <c r="HP166" t="s">
        <v>20</v>
      </c>
      <c r="HQ166" t="s">
        <v>20</v>
      </c>
      <c r="IK166">
        <v>0</v>
      </c>
    </row>
    <row r="167" spans="1:245" x14ac:dyDescent="0.2">
      <c r="A167">
        <v>18</v>
      </c>
      <c r="B167">
        <v>1</v>
      </c>
      <c r="C167">
        <v>112</v>
      </c>
      <c r="E167" t="s">
        <v>301</v>
      </c>
      <c r="F167" t="s">
        <v>129</v>
      </c>
      <c r="G167" t="s">
        <v>130</v>
      </c>
      <c r="H167" t="s">
        <v>126</v>
      </c>
      <c r="I167">
        <f>I165*J167</f>
        <v>0</v>
      </c>
      <c r="J167">
        <v>0</v>
      </c>
      <c r="K167">
        <v>0</v>
      </c>
      <c r="O167">
        <f t="shared" si="120"/>
        <v>0</v>
      </c>
      <c r="P167">
        <f t="shared" si="121"/>
        <v>0</v>
      </c>
      <c r="Q167">
        <f t="shared" si="122"/>
        <v>0</v>
      </c>
      <c r="R167">
        <f t="shared" si="123"/>
        <v>0</v>
      </c>
      <c r="S167">
        <f t="shared" si="124"/>
        <v>0</v>
      </c>
      <c r="T167">
        <f t="shared" si="125"/>
        <v>0</v>
      </c>
      <c r="U167">
        <f t="shared" si="126"/>
        <v>0</v>
      </c>
      <c r="V167">
        <f t="shared" si="127"/>
        <v>0</v>
      </c>
      <c r="W167">
        <f t="shared" si="128"/>
        <v>0</v>
      </c>
      <c r="X167">
        <f t="shared" si="129"/>
        <v>0</v>
      </c>
      <c r="Y167">
        <f t="shared" si="130"/>
        <v>0</v>
      </c>
      <c r="AA167">
        <v>84185495</v>
      </c>
      <c r="AB167">
        <f t="shared" si="131"/>
        <v>0</v>
      </c>
      <c r="AC167">
        <f t="shared" si="132"/>
        <v>0</v>
      </c>
      <c r="AD167">
        <f t="shared" si="133"/>
        <v>0</v>
      </c>
      <c r="AE167">
        <f t="shared" si="134"/>
        <v>0</v>
      </c>
      <c r="AF167">
        <f t="shared" si="135"/>
        <v>0</v>
      </c>
      <c r="AG167">
        <f t="shared" si="136"/>
        <v>0</v>
      </c>
      <c r="AH167">
        <f t="shared" si="137"/>
        <v>0</v>
      </c>
      <c r="AI167">
        <f t="shared" si="138"/>
        <v>0</v>
      </c>
      <c r="AJ167">
        <f t="shared" si="139"/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103</v>
      </c>
      <c r="AU167">
        <v>60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3</v>
      </c>
      <c r="BI167">
        <v>1</v>
      </c>
      <c r="BJ167" t="s">
        <v>131</v>
      </c>
      <c r="BM167">
        <v>33001</v>
      </c>
      <c r="BN167">
        <v>0</v>
      </c>
      <c r="BO167" t="s">
        <v>3</v>
      </c>
      <c r="BP167">
        <v>0</v>
      </c>
      <c r="BQ167">
        <v>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103</v>
      </c>
      <c r="CA167">
        <v>60</v>
      </c>
      <c r="CB167" t="s">
        <v>3</v>
      </c>
      <c r="CE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40"/>
        <v>0</v>
      </c>
      <c r="CQ167">
        <f t="shared" si="141"/>
        <v>0</v>
      </c>
      <c r="CR167">
        <f t="shared" si="142"/>
        <v>0</v>
      </c>
      <c r="CS167">
        <f t="shared" si="143"/>
        <v>0</v>
      </c>
      <c r="CT167">
        <f t="shared" si="144"/>
        <v>0</v>
      </c>
      <c r="CU167">
        <f t="shared" si="145"/>
        <v>0</v>
      </c>
      <c r="CV167">
        <f t="shared" si="146"/>
        <v>0</v>
      </c>
      <c r="CW167">
        <f t="shared" si="147"/>
        <v>0</v>
      </c>
      <c r="CX167">
        <f t="shared" si="148"/>
        <v>0</v>
      </c>
      <c r="CY167">
        <f t="shared" si="149"/>
        <v>0</v>
      </c>
      <c r="CZ167">
        <f t="shared" si="150"/>
        <v>0</v>
      </c>
      <c r="DC167" t="s">
        <v>3</v>
      </c>
      <c r="DD167" t="s">
        <v>3</v>
      </c>
      <c r="DE167" t="s">
        <v>3</v>
      </c>
      <c r="DF167" t="s">
        <v>3</v>
      </c>
      <c r="DG167" t="s">
        <v>3</v>
      </c>
      <c r="DH167" t="s">
        <v>3</v>
      </c>
      <c r="DI167" t="s">
        <v>3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1009</v>
      </c>
      <c r="DV167" t="s">
        <v>126</v>
      </c>
      <c r="DW167" t="s">
        <v>126</v>
      </c>
      <c r="DX167">
        <v>1000</v>
      </c>
      <c r="DZ167" t="s">
        <v>3</v>
      </c>
      <c r="EA167" t="s">
        <v>3</v>
      </c>
      <c r="EB167" t="s">
        <v>3</v>
      </c>
      <c r="EC167" t="s">
        <v>3</v>
      </c>
      <c r="EE167">
        <v>79401925</v>
      </c>
      <c r="EF167">
        <v>2</v>
      </c>
      <c r="EG167" t="s">
        <v>19</v>
      </c>
      <c r="EH167">
        <v>27</v>
      </c>
      <c r="EI167" t="s">
        <v>20</v>
      </c>
      <c r="EJ167">
        <v>1</v>
      </c>
      <c r="EK167">
        <v>33001</v>
      </c>
      <c r="EL167" t="s">
        <v>20</v>
      </c>
      <c r="EM167" t="s">
        <v>21</v>
      </c>
      <c r="EO167" t="s">
        <v>3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FQ167">
        <v>0</v>
      </c>
      <c r="FR167">
        <f t="shared" si="151"/>
        <v>0</v>
      </c>
      <c r="FS167">
        <v>0</v>
      </c>
      <c r="FX167">
        <v>103</v>
      </c>
      <c r="FY167">
        <v>60</v>
      </c>
      <c r="GA167" t="s">
        <v>3</v>
      </c>
      <c r="GD167">
        <v>1</v>
      </c>
      <c r="GF167">
        <v>361960925</v>
      </c>
      <c r="GG167">
        <v>2</v>
      </c>
      <c r="GH167">
        <v>1</v>
      </c>
      <c r="GI167">
        <v>-2</v>
      </c>
      <c r="GJ167">
        <v>0</v>
      </c>
      <c r="GK167">
        <v>0</v>
      </c>
      <c r="GL167">
        <f t="shared" si="152"/>
        <v>0</v>
      </c>
      <c r="GM167">
        <f t="shared" si="153"/>
        <v>0</v>
      </c>
      <c r="GN167">
        <f t="shared" si="154"/>
        <v>0</v>
      </c>
      <c r="GO167">
        <f t="shared" si="155"/>
        <v>0</v>
      </c>
      <c r="GP167">
        <f t="shared" si="156"/>
        <v>0</v>
      </c>
      <c r="GR167">
        <v>0</v>
      </c>
      <c r="GS167">
        <v>3</v>
      </c>
      <c r="GT167">
        <v>0</v>
      </c>
      <c r="GU167" t="s">
        <v>3</v>
      </c>
      <c r="GV167">
        <f t="shared" si="157"/>
        <v>0</v>
      </c>
      <c r="GW167">
        <v>1</v>
      </c>
      <c r="GX167">
        <f t="shared" si="158"/>
        <v>0</v>
      </c>
      <c r="HA167">
        <v>0</v>
      </c>
      <c r="HB167">
        <v>0</v>
      </c>
      <c r="HC167">
        <f t="shared" si="159"/>
        <v>0</v>
      </c>
      <c r="HE167" t="s">
        <v>3</v>
      </c>
      <c r="HF167" t="s">
        <v>3</v>
      </c>
      <c r="HM167" t="s">
        <v>3</v>
      </c>
      <c r="HN167" t="s">
        <v>22</v>
      </c>
      <c r="HO167" t="s">
        <v>23</v>
      </c>
      <c r="HP167" t="s">
        <v>20</v>
      </c>
      <c r="HQ167" t="s">
        <v>20</v>
      </c>
      <c r="IK167">
        <v>0</v>
      </c>
    </row>
    <row r="168" spans="1:245" x14ac:dyDescent="0.2">
      <c r="A168">
        <v>18</v>
      </c>
      <c r="B168">
        <v>1</v>
      </c>
      <c r="C168">
        <v>113</v>
      </c>
      <c r="E168" t="s">
        <v>302</v>
      </c>
      <c r="F168" t="s">
        <v>133</v>
      </c>
      <c r="G168" t="s">
        <v>134</v>
      </c>
      <c r="H168" t="s">
        <v>135</v>
      </c>
      <c r="I168">
        <f>I165*J168</f>
        <v>0</v>
      </c>
      <c r="J168">
        <v>0</v>
      </c>
      <c r="K168">
        <v>0</v>
      </c>
      <c r="O168">
        <f t="shared" si="120"/>
        <v>0</v>
      </c>
      <c r="P168">
        <f t="shared" si="121"/>
        <v>0</v>
      </c>
      <c r="Q168">
        <f t="shared" si="122"/>
        <v>0</v>
      </c>
      <c r="R168">
        <f t="shared" si="123"/>
        <v>0</v>
      </c>
      <c r="S168">
        <f t="shared" si="124"/>
        <v>0</v>
      </c>
      <c r="T168">
        <f t="shared" si="125"/>
        <v>0</v>
      </c>
      <c r="U168">
        <f t="shared" si="126"/>
        <v>0</v>
      </c>
      <c r="V168">
        <f t="shared" si="127"/>
        <v>0</v>
      </c>
      <c r="W168">
        <f t="shared" si="128"/>
        <v>0</v>
      </c>
      <c r="X168">
        <f t="shared" si="129"/>
        <v>0</v>
      </c>
      <c r="Y168">
        <f t="shared" si="130"/>
        <v>0</v>
      </c>
      <c r="AA168">
        <v>84185495</v>
      </c>
      <c r="AB168">
        <f t="shared" si="131"/>
        <v>0</v>
      </c>
      <c r="AC168">
        <f t="shared" si="132"/>
        <v>0</v>
      </c>
      <c r="AD168">
        <f t="shared" si="133"/>
        <v>0</v>
      </c>
      <c r="AE168">
        <f t="shared" si="134"/>
        <v>0</v>
      </c>
      <c r="AF168">
        <f t="shared" si="135"/>
        <v>0</v>
      </c>
      <c r="AG168">
        <f t="shared" si="136"/>
        <v>0</v>
      </c>
      <c r="AH168">
        <f t="shared" si="137"/>
        <v>0</v>
      </c>
      <c r="AI168">
        <f t="shared" si="138"/>
        <v>0</v>
      </c>
      <c r="AJ168">
        <f t="shared" si="139"/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103</v>
      </c>
      <c r="AU168">
        <v>60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1</v>
      </c>
      <c r="BJ168" t="s">
        <v>136</v>
      </c>
      <c r="BM168">
        <v>33001</v>
      </c>
      <c r="BN168">
        <v>0</v>
      </c>
      <c r="BO168" t="s">
        <v>3</v>
      </c>
      <c r="BP168">
        <v>0</v>
      </c>
      <c r="BQ168">
        <v>2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103</v>
      </c>
      <c r="CA168">
        <v>60</v>
      </c>
      <c r="CB168" t="s">
        <v>3</v>
      </c>
      <c r="CE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40"/>
        <v>0</v>
      </c>
      <c r="CQ168">
        <f t="shared" si="141"/>
        <v>0</v>
      </c>
      <c r="CR168">
        <f t="shared" si="142"/>
        <v>0</v>
      </c>
      <c r="CS168">
        <f t="shared" si="143"/>
        <v>0</v>
      </c>
      <c r="CT168">
        <f t="shared" si="144"/>
        <v>0</v>
      </c>
      <c r="CU168">
        <f t="shared" si="145"/>
        <v>0</v>
      </c>
      <c r="CV168">
        <f t="shared" si="146"/>
        <v>0</v>
      </c>
      <c r="CW168">
        <f t="shared" si="147"/>
        <v>0</v>
      </c>
      <c r="CX168">
        <f t="shared" si="148"/>
        <v>0</v>
      </c>
      <c r="CY168">
        <f t="shared" si="149"/>
        <v>0</v>
      </c>
      <c r="CZ168">
        <f t="shared" si="150"/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1010</v>
      </c>
      <c r="DV168" t="s">
        <v>135</v>
      </c>
      <c r="DW168" t="s">
        <v>135</v>
      </c>
      <c r="DX168">
        <v>1</v>
      </c>
      <c r="DZ168" t="s">
        <v>3</v>
      </c>
      <c r="EA168" t="s">
        <v>3</v>
      </c>
      <c r="EB168" t="s">
        <v>3</v>
      </c>
      <c r="EC168" t="s">
        <v>3</v>
      </c>
      <c r="EE168">
        <v>79401925</v>
      </c>
      <c r="EF168">
        <v>2</v>
      </c>
      <c r="EG168" t="s">
        <v>19</v>
      </c>
      <c r="EH168">
        <v>27</v>
      </c>
      <c r="EI168" t="s">
        <v>20</v>
      </c>
      <c r="EJ168">
        <v>1</v>
      </c>
      <c r="EK168">
        <v>33001</v>
      </c>
      <c r="EL168" t="s">
        <v>20</v>
      </c>
      <c r="EM168" t="s">
        <v>21</v>
      </c>
      <c r="EO168" t="s">
        <v>3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FQ168">
        <v>0</v>
      </c>
      <c r="FR168">
        <f t="shared" si="151"/>
        <v>0</v>
      </c>
      <c r="FS168">
        <v>0</v>
      </c>
      <c r="FX168">
        <v>103</v>
      </c>
      <c r="FY168">
        <v>60</v>
      </c>
      <c r="GA168" t="s">
        <v>3</v>
      </c>
      <c r="GD168">
        <v>1</v>
      </c>
      <c r="GF168">
        <v>789151112</v>
      </c>
      <c r="GG168">
        <v>2</v>
      </c>
      <c r="GH168">
        <v>1</v>
      </c>
      <c r="GI168">
        <v>-2</v>
      </c>
      <c r="GJ168">
        <v>0</v>
      </c>
      <c r="GK168">
        <v>0</v>
      </c>
      <c r="GL168">
        <f t="shared" si="152"/>
        <v>0</v>
      </c>
      <c r="GM168">
        <f t="shared" si="153"/>
        <v>0</v>
      </c>
      <c r="GN168">
        <f t="shared" si="154"/>
        <v>0</v>
      </c>
      <c r="GO168">
        <f t="shared" si="155"/>
        <v>0</v>
      </c>
      <c r="GP168">
        <f t="shared" si="156"/>
        <v>0</v>
      </c>
      <c r="GR168">
        <v>0</v>
      </c>
      <c r="GS168">
        <v>3</v>
      </c>
      <c r="GT168">
        <v>0</v>
      </c>
      <c r="GU168" t="s">
        <v>3</v>
      </c>
      <c r="GV168">
        <f t="shared" si="157"/>
        <v>0</v>
      </c>
      <c r="GW168">
        <v>1</v>
      </c>
      <c r="GX168">
        <f t="shared" si="158"/>
        <v>0</v>
      </c>
      <c r="HA168">
        <v>0</v>
      </c>
      <c r="HB168">
        <v>0</v>
      </c>
      <c r="HC168">
        <f t="shared" si="159"/>
        <v>0</v>
      </c>
      <c r="HE168" t="s">
        <v>3</v>
      </c>
      <c r="HF168" t="s">
        <v>3</v>
      </c>
      <c r="HM168" t="s">
        <v>3</v>
      </c>
      <c r="HN168" t="s">
        <v>22</v>
      </c>
      <c r="HO168" t="s">
        <v>23</v>
      </c>
      <c r="HP168" t="s">
        <v>20</v>
      </c>
      <c r="HQ168" t="s">
        <v>20</v>
      </c>
      <c r="IK168">
        <v>0</v>
      </c>
    </row>
    <row r="169" spans="1:245" x14ac:dyDescent="0.2">
      <c r="A169">
        <v>18</v>
      </c>
      <c r="B169">
        <v>1</v>
      </c>
      <c r="C169">
        <v>115</v>
      </c>
      <c r="E169" t="s">
        <v>303</v>
      </c>
      <c r="F169" t="s">
        <v>146</v>
      </c>
      <c r="G169" t="s">
        <v>147</v>
      </c>
      <c r="H169" t="s">
        <v>148</v>
      </c>
      <c r="I169">
        <f>I165*J169</f>
        <v>0</v>
      </c>
      <c r="J169">
        <v>0</v>
      </c>
      <c r="K169">
        <v>0</v>
      </c>
      <c r="O169">
        <f t="shared" si="120"/>
        <v>0</v>
      </c>
      <c r="P169">
        <f t="shared" si="121"/>
        <v>0</v>
      </c>
      <c r="Q169">
        <f t="shared" si="122"/>
        <v>0</v>
      </c>
      <c r="R169">
        <f t="shared" si="123"/>
        <v>0</v>
      </c>
      <c r="S169">
        <f t="shared" si="124"/>
        <v>0</v>
      </c>
      <c r="T169">
        <f t="shared" si="125"/>
        <v>0</v>
      </c>
      <c r="U169">
        <f t="shared" si="126"/>
        <v>0</v>
      </c>
      <c r="V169">
        <f t="shared" si="127"/>
        <v>0</v>
      </c>
      <c r="W169">
        <f t="shared" si="128"/>
        <v>0</v>
      </c>
      <c r="X169">
        <f t="shared" si="129"/>
        <v>0</v>
      </c>
      <c r="Y169">
        <f t="shared" si="130"/>
        <v>0</v>
      </c>
      <c r="AA169">
        <v>84185495</v>
      </c>
      <c r="AB169">
        <f t="shared" si="131"/>
        <v>0</v>
      </c>
      <c r="AC169">
        <f t="shared" si="132"/>
        <v>0</v>
      </c>
      <c r="AD169">
        <f t="shared" si="133"/>
        <v>0</v>
      </c>
      <c r="AE169">
        <f t="shared" si="134"/>
        <v>0</v>
      </c>
      <c r="AF169">
        <f t="shared" si="135"/>
        <v>0</v>
      </c>
      <c r="AG169">
        <f t="shared" si="136"/>
        <v>0</v>
      </c>
      <c r="AH169">
        <f t="shared" si="137"/>
        <v>0</v>
      </c>
      <c r="AI169">
        <f t="shared" si="138"/>
        <v>0</v>
      </c>
      <c r="AJ169">
        <f t="shared" si="139"/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103</v>
      </c>
      <c r="AU169">
        <v>60</v>
      </c>
      <c r="AV169">
        <v>1</v>
      </c>
      <c r="AW169">
        <v>1</v>
      </c>
      <c r="AZ169">
        <v>1</v>
      </c>
      <c r="BA169">
        <v>1</v>
      </c>
      <c r="BB169">
        <v>1</v>
      </c>
      <c r="BC169">
        <v>1</v>
      </c>
      <c r="BD169" t="s">
        <v>3</v>
      </c>
      <c r="BE169" t="s">
        <v>3</v>
      </c>
      <c r="BF169" t="s">
        <v>3</v>
      </c>
      <c r="BG169" t="s">
        <v>3</v>
      </c>
      <c r="BH169">
        <v>3</v>
      </c>
      <c r="BI169">
        <v>1</v>
      </c>
      <c r="BJ169" t="s">
        <v>149</v>
      </c>
      <c r="BM169">
        <v>33001</v>
      </c>
      <c r="BN169">
        <v>0</v>
      </c>
      <c r="BO169" t="s">
        <v>3</v>
      </c>
      <c r="BP169">
        <v>0</v>
      </c>
      <c r="BQ169">
        <v>2</v>
      </c>
      <c r="BR169">
        <v>0</v>
      </c>
      <c r="BS169">
        <v>1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103</v>
      </c>
      <c r="CA169">
        <v>60</v>
      </c>
      <c r="CB169" t="s">
        <v>3</v>
      </c>
      <c r="CE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40"/>
        <v>0</v>
      </c>
      <c r="CQ169">
        <f t="shared" si="141"/>
        <v>0</v>
      </c>
      <c r="CR169">
        <f t="shared" si="142"/>
        <v>0</v>
      </c>
      <c r="CS169">
        <f t="shared" si="143"/>
        <v>0</v>
      </c>
      <c r="CT169">
        <f t="shared" si="144"/>
        <v>0</v>
      </c>
      <c r="CU169">
        <f t="shared" si="145"/>
        <v>0</v>
      </c>
      <c r="CV169">
        <f t="shared" si="146"/>
        <v>0</v>
      </c>
      <c r="CW169">
        <f t="shared" si="147"/>
        <v>0</v>
      </c>
      <c r="CX169">
        <f t="shared" si="148"/>
        <v>0</v>
      </c>
      <c r="CY169">
        <f t="shared" si="149"/>
        <v>0</v>
      </c>
      <c r="CZ169">
        <f t="shared" si="150"/>
        <v>0</v>
      </c>
      <c r="DC169" t="s">
        <v>3</v>
      </c>
      <c r="DD169" t="s">
        <v>3</v>
      </c>
      <c r="DE169" t="s">
        <v>3</v>
      </c>
      <c r="DF169" t="s">
        <v>3</v>
      </c>
      <c r="DG169" t="s">
        <v>3</v>
      </c>
      <c r="DH169" t="s">
        <v>3</v>
      </c>
      <c r="DI169" t="s">
        <v>3</v>
      </c>
      <c r="DJ169" t="s">
        <v>3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1009</v>
      </c>
      <c r="DV169" t="s">
        <v>148</v>
      </c>
      <c r="DW169" t="s">
        <v>148</v>
      </c>
      <c r="DX169">
        <v>1</v>
      </c>
      <c r="DZ169" t="s">
        <v>3</v>
      </c>
      <c r="EA169" t="s">
        <v>3</v>
      </c>
      <c r="EB169" t="s">
        <v>3</v>
      </c>
      <c r="EC169" t="s">
        <v>3</v>
      </c>
      <c r="EE169">
        <v>79401925</v>
      </c>
      <c r="EF169">
        <v>2</v>
      </c>
      <c r="EG169" t="s">
        <v>19</v>
      </c>
      <c r="EH169">
        <v>27</v>
      </c>
      <c r="EI169" t="s">
        <v>20</v>
      </c>
      <c r="EJ169">
        <v>1</v>
      </c>
      <c r="EK169">
        <v>33001</v>
      </c>
      <c r="EL169" t="s">
        <v>20</v>
      </c>
      <c r="EM169" t="s">
        <v>21</v>
      </c>
      <c r="EO169" t="s">
        <v>3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FQ169">
        <v>0</v>
      </c>
      <c r="FR169">
        <f t="shared" si="151"/>
        <v>0</v>
      </c>
      <c r="FS169">
        <v>0</v>
      </c>
      <c r="FX169">
        <v>103</v>
      </c>
      <c r="FY169">
        <v>60</v>
      </c>
      <c r="GA169" t="s">
        <v>3</v>
      </c>
      <c r="GD169">
        <v>1</v>
      </c>
      <c r="GF169">
        <v>-1695541033</v>
      </c>
      <c r="GG169">
        <v>2</v>
      </c>
      <c r="GH169">
        <v>1</v>
      </c>
      <c r="GI169">
        <v>-2</v>
      </c>
      <c r="GJ169">
        <v>0</v>
      </c>
      <c r="GK169">
        <v>0</v>
      </c>
      <c r="GL169">
        <f t="shared" si="152"/>
        <v>0</v>
      </c>
      <c r="GM169">
        <f t="shared" si="153"/>
        <v>0</v>
      </c>
      <c r="GN169">
        <f t="shared" si="154"/>
        <v>0</v>
      </c>
      <c r="GO169">
        <f t="shared" si="155"/>
        <v>0</v>
      </c>
      <c r="GP169">
        <f t="shared" si="156"/>
        <v>0</v>
      </c>
      <c r="GR169">
        <v>0</v>
      </c>
      <c r="GS169">
        <v>3</v>
      </c>
      <c r="GT169">
        <v>0</v>
      </c>
      <c r="GU169" t="s">
        <v>3</v>
      </c>
      <c r="GV169">
        <f t="shared" si="157"/>
        <v>0</v>
      </c>
      <c r="GW169">
        <v>1</v>
      </c>
      <c r="GX169">
        <f t="shared" si="158"/>
        <v>0</v>
      </c>
      <c r="HA169">
        <v>0</v>
      </c>
      <c r="HB169">
        <v>0</v>
      </c>
      <c r="HC169">
        <f t="shared" si="159"/>
        <v>0</v>
      </c>
      <c r="HE169" t="s">
        <v>3</v>
      </c>
      <c r="HF169" t="s">
        <v>3</v>
      </c>
      <c r="HM169" t="s">
        <v>3</v>
      </c>
      <c r="HN169" t="s">
        <v>22</v>
      </c>
      <c r="HO169" t="s">
        <v>23</v>
      </c>
      <c r="HP169" t="s">
        <v>20</v>
      </c>
      <c r="HQ169" t="s">
        <v>20</v>
      </c>
      <c r="IK169">
        <v>0</v>
      </c>
    </row>
    <row r="170" spans="1:245" x14ac:dyDescent="0.2">
      <c r="A170">
        <v>18</v>
      </c>
      <c r="B170">
        <v>1</v>
      </c>
      <c r="C170">
        <v>116</v>
      </c>
      <c r="E170" t="s">
        <v>304</v>
      </c>
      <c r="F170" t="s">
        <v>151</v>
      </c>
      <c r="G170" t="s">
        <v>152</v>
      </c>
      <c r="H170" t="s">
        <v>148</v>
      </c>
      <c r="I170">
        <f>I165*J170</f>
        <v>0</v>
      </c>
      <c r="J170">
        <v>0</v>
      </c>
      <c r="K170">
        <v>0</v>
      </c>
      <c r="O170">
        <f t="shared" si="120"/>
        <v>0</v>
      </c>
      <c r="P170">
        <f t="shared" si="121"/>
        <v>0</v>
      </c>
      <c r="Q170">
        <f t="shared" si="122"/>
        <v>0</v>
      </c>
      <c r="R170">
        <f t="shared" si="123"/>
        <v>0</v>
      </c>
      <c r="S170">
        <f t="shared" si="124"/>
        <v>0</v>
      </c>
      <c r="T170">
        <f t="shared" si="125"/>
        <v>0</v>
      </c>
      <c r="U170">
        <f t="shared" si="126"/>
        <v>0</v>
      </c>
      <c r="V170">
        <f t="shared" si="127"/>
        <v>0</v>
      </c>
      <c r="W170">
        <f t="shared" si="128"/>
        <v>0</v>
      </c>
      <c r="X170">
        <f t="shared" si="129"/>
        <v>0</v>
      </c>
      <c r="Y170">
        <f t="shared" si="130"/>
        <v>0</v>
      </c>
      <c r="AA170">
        <v>84185495</v>
      </c>
      <c r="AB170">
        <f t="shared" si="131"/>
        <v>0</v>
      </c>
      <c r="AC170">
        <f t="shared" si="132"/>
        <v>0</v>
      </c>
      <c r="AD170">
        <f t="shared" si="133"/>
        <v>0</v>
      </c>
      <c r="AE170">
        <f t="shared" si="134"/>
        <v>0</v>
      </c>
      <c r="AF170">
        <f t="shared" si="135"/>
        <v>0</v>
      </c>
      <c r="AG170">
        <f t="shared" si="136"/>
        <v>0</v>
      </c>
      <c r="AH170">
        <f t="shared" si="137"/>
        <v>0</v>
      </c>
      <c r="AI170">
        <f t="shared" si="138"/>
        <v>0</v>
      </c>
      <c r="AJ170">
        <f t="shared" si="139"/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103</v>
      </c>
      <c r="AU170">
        <v>60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3</v>
      </c>
      <c r="BI170">
        <v>1</v>
      </c>
      <c r="BJ170" t="s">
        <v>153</v>
      </c>
      <c r="BM170">
        <v>33001</v>
      </c>
      <c r="BN170">
        <v>0</v>
      </c>
      <c r="BO170" t="s">
        <v>3</v>
      </c>
      <c r="BP170">
        <v>0</v>
      </c>
      <c r="BQ170">
        <v>2</v>
      </c>
      <c r="BR170">
        <v>0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103</v>
      </c>
      <c r="CA170">
        <v>60</v>
      </c>
      <c r="CB170" t="s">
        <v>3</v>
      </c>
      <c r="CE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40"/>
        <v>0</v>
      </c>
      <c r="CQ170">
        <f t="shared" si="141"/>
        <v>0</v>
      </c>
      <c r="CR170">
        <f t="shared" si="142"/>
        <v>0</v>
      </c>
      <c r="CS170">
        <f t="shared" si="143"/>
        <v>0</v>
      </c>
      <c r="CT170">
        <f t="shared" si="144"/>
        <v>0</v>
      </c>
      <c r="CU170">
        <f t="shared" si="145"/>
        <v>0</v>
      </c>
      <c r="CV170">
        <f t="shared" si="146"/>
        <v>0</v>
      </c>
      <c r="CW170">
        <f t="shared" si="147"/>
        <v>0</v>
      </c>
      <c r="CX170">
        <f t="shared" si="148"/>
        <v>0</v>
      </c>
      <c r="CY170">
        <f t="shared" si="149"/>
        <v>0</v>
      </c>
      <c r="CZ170">
        <f t="shared" si="150"/>
        <v>0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1009</v>
      </c>
      <c r="DV170" t="s">
        <v>148</v>
      </c>
      <c r="DW170" t="s">
        <v>148</v>
      </c>
      <c r="DX170">
        <v>1</v>
      </c>
      <c r="DZ170" t="s">
        <v>3</v>
      </c>
      <c r="EA170" t="s">
        <v>3</v>
      </c>
      <c r="EB170" t="s">
        <v>3</v>
      </c>
      <c r="EC170" t="s">
        <v>3</v>
      </c>
      <c r="EE170">
        <v>79401925</v>
      </c>
      <c r="EF170">
        <v>2</v>
      </c>
      <c r="EG170" t="s">
        <v>19</v>
      </c>
      <c r="EH170">
        <v>27</v>
      </c>
      <c r="EI170" t="s">
        <v>20</v>
      </c>
      <c r="EJ170">
        <v>1</v>
      </c>
      <c r="EK170">
        <v>33001</v>
      </c>
      <c r="EL170" t="s">
        <v>20</v>
      </c>
      <c r="EM170" t="s">
        <v>21</v>
      </c>
      <c r="EO170" t="s">
        <v>3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FQ170">
        <v>0</v>
      </c>
      <c r="FR170">
        <f t="shared" si="151"/>
        <v>0</v>
      </c>
      <c r="FS170">
        <v>0</v>
      </c>
      <c r="FX170">
        <v>103</v>
      </c>
      <c r="FY170">
        <v>60</v>
      </c>
      <c r="GA170" t="s">
        <v>3</v>
      </c>
      <c r="GD170">
        <v>1</v>
      </c>
      <c r="GF170">
        <v>-2040775826</v>
      </c>
      <c r="GG170">
        <v>2</v>
      </c>
      <c r="GH170">
        <v>1</v>
      </c>
      <c r="GI170">
        <v>-2</v>
      </c>
      <c r="GJ170">
        <v>0</v>
      </c>
      <c r="GK170">
        <v>0</v>
      </c>
      <c r="GL170">
        <f t="shared" si="152"/>
        <v>0</v>
      </c>
      <c r="GM170">
        <f t="shared" si="153"/>
        <v>0</v>
      </c>
      <c r="GN170">
        <f t="shared" si="154"/>
        <v>0</v>
      </c>
      <c r="GO170">
        <f t="shared" si="155"/>
        <v>0</v>
      </c>
      <c r="GP170">
        <f t="shared" si="156"/>
        <v>0</v>
      </c>
      <c r="GR170">
        <v>0</v>
      </c>
      <c r="GS170">
        <v>3</v>
      </c>
      <c r="GT170">
        <v>0</v>
      </c>
      <c r="GU170" t="s">
        <v>3</v>
      </c>
      <c r="GV170">
        <f t="shared" si="157"/>
        <v>0</v>
      </c>
      <c r="GW170">
        <v>1</v>
      </c>
      <c r="GX170">
        <f t="shared" si="158"/>
        <v>0</v>
      </c>
      <c r="HA170">
        <v>0</v>
      </c>
      <c r="HB170">
        <v>0</v>
      </c>
      <c r="HC170">
        <f t="shared" si="159"/>
        <v>0</v>
      </c>
      <c r="HE170" t="s">
        <v>3</v>
      </c>
      <c r="HF170" t="s">
        <v>3</v>
      </c>
      <c r="HM170" t="s">
        <v>3</v>
      </c>
      <c r="HN170" t="s">
        <v>22</v>
      </c>
      <c r="HO170" t="s">
        <v>23</v>
      </c>
      <c r="HP170" t="s">
        <v>20</v>
      </c>
      <c r="HQ170" t="s">
        <v>20</v>
      </c>
      <c r="IK170">
        <v>0</v>
      </c>
    </row>
    <row r="171" spans="1:245" x14ac:dyDescent="0.2">
      <c r="A171">
        <v>18</v>
      </c>
      <c r="B171">
        <v>1</v>
      </c>
      <c r="C171">
        <v>117</v>
      </c>
      <c r="E171" t="s">
        <v>305</v>
      </c>
      <c r="F171" t="s">
        <v>306</v>
      </c>
      <c r="G171" t="s">
        <v>307</v>
      </c>
      <c r="H171" t="s">
        <v>126</v>
      </c>
      <c r="I171">
        <f>I165*J171</f>
        <v>0</v>
      </c>
      <c r="J171">
        <v>0</v>
      </c>
      <c r="K171">
        <v>0</v>
      </c>
      <c r="O171">
        <f t="shared" si="120"/>
        <v>0</v>
      </c>
      <c r="P171">
        <f t="shared" si="121"/>
        <v>0</v>
      </c>
      <c r="Q171">
        <f t="shared" si="122"/>
        <v>0</v>
      </c>
      <c r="R171">
        <f t="shared" si="123"/>
        <v>0</v>
      </c>
      <c r="S171">
        <f t="shared" si="124"/>
        <v>0</v>
      </c>
      <c r="T171">
        <f t="shared" si="125"/>
        <v>0</v>
      </c>
      <c r="U171">
        <f t="shared" si="126"/>
        <v>0</v>
      </c>
      <c r="V171">
        <f t="shared" si="127"/>
        <v>0</v>
      </c>
      <c r="W171">
        <f t="shared" si="128"/>
        <v>0</v>
      </c>
      <c r="X171">
        <f t="shared" si="129"/>
        <v>0</v>
      </c>
      <c r="Y171">
        <f t="shared" si="130"/>
        <v>0</v>
      </c>
      <c r="AA171">
        <v>84185495</v>
      </c>
      <c r="AB171">
        <f t="shared" si="131"/>
        <v>0</v>
      </c>
      <c r="AC171">
        <f t="shared" si="132"/>
        <v>0</v>
      </c>
      <c r="AD171">
        <f t="shared" si="133"/>
        <v>0</v>
      </c>
      <c r="AE171">
        <f t="shared" si="134"/>
        <v>0</v>
      </c>
      <c r="AF171">
        <f t="shared" si="135"/>
        <v>0</v>
      </c>
      <c r="AG171">
        <f t="shared" si="136"/>
        <v>0</v>
      </c>
      <c r="AH171">
        <f t="shared" si="137"/>
        <v>0</v>
      </c>
      <c r="AI171">
        <f t="shared" si="138"/>
        <v>0</v>
      </c>
      <c r="AJ171">
        <f t="shared" si="139"/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103</v>
      </c>
      <c r="AU171">
        <v>60</v>
      </c>
      <c r="AV171">
        <v>1</v>
      </c>
      <c r="AW171">
        <v>1</v>
      </c>
      <c r="AZ171">
        <v>1</v>
      </c>
      <c r="BA171">
        <v>1</v>
      </c>
      <c r="BB171">
        <v>1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3</v>
      </c>
      <c r="BI171">
        <v>1</v>
      </c>
      <c r="BJ171" t="s">
        <v>308</v>
      </c>
      <c r="BM171">
        <v>33001</v>
      </c>
      <c r="BN171">
        <v>0</v>
      </c>
      <c r="BO171" t="s">
        <v>3</v>
      </c>
      <c r="BP171">
        <v>0</v>
      </c>
      <c r="BQ171">
        <v>2</v>
      </c>
      <c r="BR171">
        <v>0</v>
      </c>
      <c r="BS171">
        <v>1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103</v>
      </c>
      <c r="CA171">
        <v>60</v>
      </c>
      <c r="CB171" t="s">
        <v>3</v>
      </c>
      <c r="CE171">
        <v>0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40"/>
        <v>0</v>
      </c>
      <c r="CQ171">
        <f t="shared" si="141"/>
        <v>0</v>
      </c>
      <c r="CR171">
        <f t="shared" si="142"/>
        <v>0</v>
      </c>
      <c r="CS171">
        <f t="shared" si="143"/>
        <v>0</v>
      </c>
      <c r="CT171">
        <f t="shared" si="144"/>
        <v>0</v>
      </c>
      <c r="CU171">
        <f t="shared" si="145"/>
        <v>0</v>
      </c>
      <c r="CV171">
        <f t="shared" si="146"/>
        <v>0</v>
      </c>
      <c r="CW171">
        <f t="shared" si="147"/>
        <v>0</v>
      </c>
      <c r="CX171">
        <f t="shared" si="148"/>
        <v>0</v>
      </c>
      <c r="CY171">
        <f t="shared" si="149"/>
        <v>0</v>
      </c>
      <c r="CZ171">
        <f t="shared" si="150"/>
        <v>0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0</v>
      </c>
      <c r="DO171">
        <v>0</v>
      </c>
      <c r="DP171">
        <v>1</v>
      </c>
      <c r="DQ171">
        <v>1</v>
      </c>
      <c r="DU171">
        <v>1009</v>
      </c>
      <c r="DV171" t="s">
        <v>126</v>
      </c>
      <c r="DW171" t="s">
        <v>126</v>
      </c>
      <c r="DX171">
        <v>1000</v>
      </c>
      <c r="DZ171" t="s">
        <v>3</v>
      </c>
      <c r="EA171" t="s">
        <v>3</v>
      </c>
      <c r="EB171" t="s">
        <v>3</v>
      </c>
      <c r="EC171" t="s">
        <v>3</v>
      </c>
      <c r="EE171">
        <v>79401925</v>
      </c>
      <c r="EF171">
        <v>2</v>
      </c>
      <c r="EG171" t="s">
        <v>19</v>
      </c>
      <c r="EH171">
        <v>27</v>
      </c>
      <c r="EI171" t="s">
        <v>20</v>
      </c>
      <c r="EJ171">
        <v>1</v>
      </c>
      <c r="EK171">
        <v>33001</v>
      </c>
      <c r="EL171" t="s">
        <v>20</v>
      </c>
      <c r="EM171" t="s">
        <v>21</v>
      </c>
      <c r="EO171" t="s">
        <v>3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FQ171">
        <v>0</v>
      </c>
      <c r="FR171">
        <f t="shared" si="151"/>
        <v>0</v>
      </c>
      <c r="FS171">
        <v>0</v>
      </c>
      <c r="FX171">
        <v>103</v>
      </c>
      <c r="FY171">
        <v>60</v>
      </c>
      <c r="GA171" t="s">
        <v>3</v>
      </c>
      <c r="GD171">
        <v>1</v>
      </c>
      <c r="GF171">
        <v>533926792</v>
      </c>
      <c r="GG171">
        <v>2</v>
      </c>
      <c r="GH171">
        <v>1</v>
      </c>
      <c r="GI171">
        <v>-2</v>
      </c>
      <c r="GJ171">
        <v>0</v>
      </c>
      <c r="GK171">
        <v>0</v>
      </c>
      <c r="GL171">
        <f t="shared" si="152"/>
        <v>0</v>
      </c>
      <c r="GM171">
        <f t="shared" si="153"/>
        <v>0</v>
      </c>
      <c r="GN171">
        <f t="shared" si="154"/>
        <v>0</v>
      </c>
      <c r="GO171">
        <f t="shared" si="155"/>
        <v>0</v>
      </c>
      <c r="GP171">
        <f t="shared" si="156"/>
        <v>0</v>
      </c>
      <c r="GR171">
        <v>0</v>
      </c>
      <c r="GS171">
        <v>3</v>
      </c>
      <c r="GT171">
        <v>0</v>
      </c>
      <c r="GU171" t="s">
        <v>3</v>
      </c>
      <c r="GV171">
        <f t="shared" si="157"/>
        <v>0</v>
      </c>
      <c r="GW171">
        <v>1</v>
      </c>
      <c r="GX171">
        <f t="shared" si="158"/>
        <v>0</v>
      </c>
      <c r="HA171">
        <v>0</v>
      </c>
      <c r="HB171">
        <v>0</v>
      </c>
      <c r="HC171">
        <f t="shared" si="159"/>
        <v>0</v>
      </c>
      <c r="HE171" t="s">
        <v>3</v>
      </c>
      <c r="HF171" t="s">
        <v>3</v>
      </c>
      <c r="HM171" t="s">
        <v>3</v>
      </c>
      <c r="HN171" t="s">
        <v>22</v>
      </c>
      <c r="HO171" t="s">
        <v>23</v>
      </c>
      <c r="HP171" t="s">
        <v>20</v>
      </c>
      <c r="HQ171" t="s">
        <v>20</v>
      </c>
      <c r="IK171">
        <v>0</v>
      </c>
    </row>
    <row r="172" spans="1:245" x14ac:dyDescent="0.2">
      <c r="A172">
        <v>17</v>
      </c>
      <c r="B172">
        <v>1</v>
      </c>
      <c r="E172" t="s">
        <v>309</v>
      </c>
      <c r="F172" t="s">
        <v>170</v>
      </c>
      <c r="G172" t="s">
        <v>310</v>
      </c>
      <c r="H172" t="s">
        <v>126</v>
      </c>
      <c r="I172">
        <v>2.266E-2</v>
      </c>
      <c r="J172">
        <v>0</v>
      </c>
      <c r="K172">
        <v>2.266E-2</v>
      </c>
      <c r="O172">
        <f t="shared" si="120"/>
        <v>5705.68</v>
      </c>
      <c r="P172">
        <f t="shared" si="121"/>
        <v>5705.68</v>
      </c>
      <c r="Q172">
        <f t="shared" si="122"/>
        <v>0</v>
      </c>
      <c r="R172">
        <f t="shared" si="123"/>
        <v>0</v>
      </c>
      <c r="S172">
        <f t="shared" si="124"/>
        <v>0</v>
      </c>
      <c r="T172">
        <f t="shared" si="125"/>
        <v>0</v>
      </c>
      <c r="U172">
        <f t="shared" si="126"/>
        <v>0</v>
      </c>
      <c r="V172">
        <f t="shared" si="127"/>
        <v>0</v>
      </c>
      <c r="W172">
        <f t="shared" si="128"/>
        <v>0</v>
      </c>
      <c r="X172">
        <f t="shared" si="129"/>
        <v>0</v>
      </c>
      <c r="Y172">
        <f t="shared" si="130"/>
        <v>0</v>
      </c>
      <c r="AA172">
        <v>84185495</v>
      </c>
      <c r="AB172">
        <f t="shared" si="131"/>
        <v>10995.42</v>
      </c>
      <c r="AC172">
        <f t="shared" si="132"/>
        <v>10995.42</v>
      </c>
      <c r="AD172">
        <f t="shared" si="133"/>
        <v>0</v>
      </c>
      <c r="AE172">
        <f t="shared" si="134"/>
        <v>0</v>
      </c>
      <c r="AF172">
        <f t="shared" si="135"/>
        <v>0</v>
      </c>
      <c r="AG172">
        <f t="shared" si="136"/>
        <v>0</v>
      </c>
      <c r="AH172">
        <f t="shared" si="137"/>
        <v>0</v>
      </c>
      <c r="AI172">
        <f t="shared" si="138"/>
        <v>0</v>
      </c>
      <c r="AJ172">
        <f t="shared" si="139"/>
        <v>0</v>
      </c>
      <c r="AK172">
        <v>10995.42</v>
      </c>
      <c r="AL172">
        <v>10995.42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1</v>
      </c>
      <c r="AW172">
        <v>1</v>
      </c>
      <c r="AZ172">
        <v>1</v>
      </c>
      <c r="BA172">
        <v>1</v>
      </c>
      <c r="BB172">
        <v>1</v>
      </c>
      <c r="BC172">
        <v>22.9</v>
      </c>
      <c r="BD172" t="s">
        <v>3</v>
      </c>
      <c r="BE172" t="s">
        <v>3</v>
      </c>
      <c r="BF172" t="s">
        <v>3</v>
      </c>
      <c r="BG172" t="s">
        <v>3</v>
      </c>
      <c r="BH172">
        <v>3</v>
      </c>
      <c r="BI172">
        <v>1</v>
      </c>
      <c r="BJ172" t="s">
        <v>172</v>
      </c>
      <c r="BM172">
        <v>500001</v>
      </c>
      <c r="BN172">
        <v>0</v>
      </c>
      <c r="BO172" t="s">
        <v>170</v>
      </c>
      <c r="BP172">
        <v>1</v>
      </c>
      <c r="BQ172">
        <v>8</v>
      </c>
      <c r="BR172">
        <v>0</v>
      </c>
      <c r="BS172">
        <v>1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0</v>
      </c>
      <c r="CA172">
        <v>0</v>
      </c>
      <c r="CB172" t="s">
        <v>3</v>
      </c>
      <c r="CE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40"/>
        <v>5705.68</v>
      </c>
      <c r="CQ172">
        <f t="shared" si="141"/>
        <v>251795.11799999999</v>
      </c>
      <c r="CR172">
        <f t="shared" si="142"/>
        <v>0</v>
      </c>
      <c r="CS172">
        <f t="shared" si="143"/>
        <v>0</v>
      </c>
      <c r="CT172">
        <f t="shared" si="144"/>
        <v>0</v>
      </c>
      <c r="CU172">
        <f t="shared" si="145"/>
        <v>0</v>
      </c>
      <c r="CV172">
        <f t="shared" si="146"/>
        <v>0</v>
      </c>
      <c r="CW172">
        <f t="shared" si="147"/>
        <v>0</v>
      </c>
      <c r="CX172">
        <f t="shared" si="148"/>
        <v>0</v>
      </c>
      <c r="CY172">
        <f>0</f>
        <v>0</v>
      </c>
      <c r="CZ172">
        <f>0</f>
        <v>0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1009</v>
      </c>
      <c r="DV172" t="s">
        <v>126</v>
      </c>
      <c r="DW172" t="s">
        <v>126</v>
      </c>
      <c r="DX172">
        <v>1000</v>
      </c>
      <c r="DZ172" t="s">
        <v>3</v>
      </c>
      <c r="EA172" t="s">
        <v>3</v>
      </c>
      <c r="EB172" t="s">
        <v>3</v>
      </c>
      <c r="EC172" t="s">
        <v>3</v>
      </c>
      <c r="EE172">
        <v>79401762</v>
      </c>
      <c r="EF172">
        <v>8</v>
      </c>
      <c r="EG172" t="s">
        <v>166</v>
      </c>
      <c r="EH172">
        <v>0</v>
      </c>
      <c r="EI172" t="s">
        <v>3</v>
      </c>
      <c r="EJ172">
        <v>1</v>
      </c>
      <c r="EK172">
        <v>500001</v>
      </c>
      <c r="EL172" t="s">
        <v>167</v>
      </c>
      <c r="EM172" t="s">
        <v>168</v>
      </c>
      <c r="EO172" t="s">
        <v>3</v>
      </c>
      <c r="EQ172">
        <v>0</v>
      </c>
      <c r="ER172">
        <v>10995.42</v>
      </c>
      <c r="ES172">
        <v>10995.42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FQ172">
        <v>0</v>
      </c>
      <c r="FR172">
        <f t="shared" si="151"/>
        <v>0</v>
      </c>
      <c r="FS172">
        <v>0</v>
      </c>
      <c r="FX172">
        <v>0</v>
      </c>
      <c r="FY172">
        <v>0</v>
      </c>
      <c r="GA172" t="s">
        <v>3</v>
      </c>
      <c r="GD172">
        <v>1</v>
      </c>
      <c r="GF172">
        <v>1680269973</v>
      </c>
      <c r="GG172">
        <v>2</v>
      </c>
      <c r="GH172">
        <v>1</v>
      </c>
      <c r="GI172">
        <v>2</v>
      </c>
      <c r="GJ172">
        <v>0</v>
      </c>
      <c r="GK172">
        <v>0</v>
      </c>
      <c r="GL172">
        <f t="shared" si="152"/>
        <v>0</v>
      </c>
      <c r="GM172">
        <f t="shared" si="153"/>
        <v>5705.68</v>
      </c>
      <c r="GN172">
        <f t="shared" si="154"/>
        <v>5705.68</v>
      </c>
      <c r="GO172">
        <f t="shared" si="155"/>
        <v>0</v>
      </c>
      <c r="GP172">
        <f t="shared" si="156"/>
        <v>0</v>
      </c>
      <c r="GR172">
        <v>0</v>
      </c>
      <c r="GS172">
        <v>3</v>
      </c>
      <c r="GT172">
        <v>0</v>
      </c>
      <c r="GU172" t="s">
        <v>3</v>
      </c>
      <c r="GV172">
        <f t="shared" si="157"/>
        <v>0</v>
      </c>
      <c r="GW172">
        <v>1</v>
      </c>
      <c r="GX172">
        <f t="shared" si="158"/>
        <v>0</v>
      </c>
      <c r="HA172">
        <v>0</v>
      </c>
      <c r="HB172">
        <v>0</v>
      </c>
      <c r="HC172">
        <f t="shared" si="159"/>
        <v>0</v>
      </c>
      <c r="HE172" t="s">
        <v>3</v>
      </c>
      <c r="HF172" t="s">
        <v>3</v>
      </c>
      <c r="HM172" t="s">
        <v>3</v>
      </c>
      <c r="HN172" t="s">
        <v>3</v>
      </c>
      <c r="HO172" t="s">
        <v>3</v>
      </c>
      <c r="HP172" t="s">
        <v>3</v>
      </c>
      <c r="HQ172" t="s">
        <v>3</v>
      </c>
      <c r="IK172">
        <v>0</v>
      </c>
    </row>
    <row r="173" spans="1:245" x14ac:dyDescent="0.2">
      <c r="A173">
        <v>17</v>
      </c>
      <c r="B173">
        <v>1</v>
      </c>
      <c r="E173" t="s">
        <v>311</v>
      </c>
      <c r="F173" t="s">
        <v>174</v>
      </c>
      <c r="G173" t="s">
        <v>175</v>
      </c>
      <c r="H173" t="s">
        <v>148</v>
      </c>
      <c r="I173">
        <v>1.18</v>
      </c>
      <c r="J173">
        <v>0</v>
      </c>
      <c r="K173">
        <v>1.18</v>
      </c>
      <c r="O173">
        <f t="shared" si="120"/>
        <v>84.82</v>
      </c>
      <c r="P173">
        <f t="shared" si="121"/>
        <v>84.82</v>
      </c>
      <c r="Q173">
        <f t="shared" si="122"/>
        <v>0</v>
      </c>
      <c r="R173">
        <f t="shared" si="123"/>
        <v>0</v>
      </c>
      <c r="S173">
        <f t="shared" si="124"/>
        <v>0</v>
      </c>
      <c r="T173">
        <f t="shared" si="125"/>
        <v>0</v>
      </c>
      <c r="U173">
        <f t="shared" si="126"/>
        <v>0</v>
      </c>
      <c r="V173">
        <f t="shared" si="127"/>
        <v>0</v>
      </c>
      <c r="W173">
        <f t="shared" si="128"/>
        <v>0</v>
      </c>
      <c r="X173">
        <f t="shared" si="129"/>
        <v>0</v>
      </c>
      <c r="Y173">
        <f t="shared" si="130"/>
        <v>0</v>
      </c>
      <c r="AA173">
        <v>84185495</v>
      </c>
      <c r="AB173">
        <f t="shared" si="131"/>
        <v>9.74</v>
      </c>
      <c r="AC173">
        <f t="shared" si="132"/>
        <v>9.74</v>
      </c>
      <c r="AD173">
        <f t="shared" si="133"/>
        <v>0</v>
      </c>
      <c r="AE173">
        <f t="shared" si="134"/>
        <v>0</v>
      </c>
      <c r="AF173">
        <f t="shared" si="135"/>
        <v>0</v>
      </c>
      <c r="AG173">
        <f t="shared" si="136"/>
        <v>0</v>
      </c>
      <c r="AH173">
        <f t="shared" si="137"/>
        <v>0</v>
      </c>
      <c r="AI173">
        <f t="shared" si="138"/>
        <v>0</v>
      </c>
      <c r="AJ173">
        <f t="shared" si="139"/>
        <v>0</v>
      </c>
      <c r="AK173">
        <v>9.74</v>
      </c>
      <c r="AL173">
        <v>9.74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1</v>
      </c>
      <c r="AW173">
        <v>1</v>
      </c>
      <c r="AZ173">
        <v>1</v>
      </c>
      <c r="BA173">
        <v>1</v>
      </c>
      <c r="BB173">
        <v>1</v>
      </c>
      <c r="BC173">
        <v>7.38</v>
      </c>
      <c r="BD173" t="s">
        <v>3</v>
      </c>
      <c r="BE173" t="s">
        <v>3</v>
      </c>
      <c r="BF173" t="s">
        <v>3</v>
      </c>
      <c r="BG173" t="s">
        <v>3</v>
      </c>
      <c r="BH173">
        <v>3</v>
      </c>
      <c r="BI173">
        <v>1</v>
      </c>
      <c r="BJ173" t="s">
        <v>176</v>
      </c>
      <c r="BM173">
        <v>500001</v>
      </c>
      <c r="BN173">
        <v>0</v>
      </c>
      <c r="BO173" t="s">
        <v>174</v>
      </c>
      <c r="BP173">
        <v>1</v>
      </c>
      <c r="BQ173">
        <v>8</v>
      </c>
      <c r="BR173">
        <v>0</v>
      </c>
      <c r="BS173">
        <v>1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0</v>
      </c>
      <c r="CA173">
        <v>0</v>
      </c>
      <c r="CB173" t="s">
        <v>3</v>
      </c>
      <c r="CE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40"/>
        <v>84.82</v>
      </c>
      <c r="CQ173">
        <f t="shared" si="141"/>
        <v>71.881200000000007</v>
      </c>
      <c r="CR173">
        <f t="shared" si="142"/>
        <v>0</v>
      </c>
      <c r="CS173">
        <f t="shared" si="143"/>
        <v>0</v>
      </c>
      <c r="CT173">
        <f t="shared" si="144"/>
        <v>0</v>
      </c>
      <c r="CU173">
        <f t="shared" si="145"/>
        <v>0</v>
      </c>
      <c r="CV173">
        <f t="shared" si="146"/>
        <v>0</v>
      </c>
      <c r="CW173">
        <f t="shared" si="147"/>
        <v>0</v>
      </c>
      <c r="CX173">
        <f t="shared" si="148"/>
        <v>0</v>
      </c>
      <c r="CY173">
        <f>0</f>
        <v>0</v>
      </c>
      <c r="CZ173">
        <f>0</f>
        <v>0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1009</v>
      </c>
      <c r="DV173" t="s">
        <v>148</v>
      </c>
      <c r="DW173" t="s">
        <v>148</v>
      </c>
      <c r="DX173">
        <v>1</v>
      </c>
      <c r="DZ173" t="s">
        <v>3</v>
      </c>
      <c r="EA173" t="s">
        <v>3</v>
      </c>
      <c r="EB173" t="s">
        <v>3</v>
      </c>
      <c r="EC173" t="s">
        <v>3</v>
      </c>
      <c r="EE173">
        <v>79401762</v>
      </c>
      <c r="EF173">
        <v>8</v>
      </c>
      <c r="EG173" t="s">
        <v>166</v>
      </c>
      <c r="EH173">
        <v>0</v>
      </c>
      <c r="EI173" t="s">
        <v>3</v>
      </c>
      <c r="EJ173">
        <v>1</v>
      </c>
      <c r="EK173">
        <v>500001</v>
      </c>
      <c r="EL173" t="s">
        <v>167</v>
      </c>
      <c r="EM173" t="s">
        <v>168</v>
      </c>
      <c r="EO173" t="s">
        <v>3</v>
      </c>
      <c r="EQ173">
        <v>0</v>
      </c>
      <c r="ER173">
        <v>9.74</v>
      </c>
      <c r="ES173">
        <v>9.74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FQ173">
        <v>0</v>
      </c>
      <c r="FR173">
        <f t="shared" si="151"/>
        <v>0</v>
      </c>
      <c r="FS173">
        <v>0</v>
      </c>
      <c r="FX173">
        <v>0</v>
      </c>
      <c r="FY173">
        <v>0</v>
      </c>
      <c r="GA173" t="s">
        <v>3</v>
      </c>
      <c r="GD173">
        <v>1</v>
      </c>
      <c r="GF173">
        <v>-262877765</v>
      </c>
      <c r="GG173">
        <v>2</v>
      </c>
      <c r="GH173">
        <v>1</v>
      </c>
      <c r="GI173">
        <v>2</v>
      </c>
      <c r="GJ173">
        <v>0</v>
      </c>
      <c r="GK173">
        <v>0</v>
      </c>
      <c r="GL173">
        <f t="shared" si="152"/>
        <v>0</v>
      </c>
      <c r="GM173">
        <f t="shared" si="153"/>
        <v>84.82</v>
      </c>
      <c r="GN173">
        <f t="shared" si="154"/>
        <v>84.82</v>
      </c>
      <c r="GO173">
        <f t="shared" si="155"/>
        <v>0</v>
      </c>
      <c r="GP173">
        <f t="shared" si="156"/>
        <v>0</v>
      </c>
      <c r="GR173">
        <v>0</v>
      </c>
      <c r="GS173">
        <v>3</v>
      </c>
      <c r="GT173">
        <v>0</v>
      </c>
      <c r="GU173" t="s">
        <v>3</v>
      </c>
      <c r="GV173">
        <f t="shared" si="157"/>
        <v>0</v>
      </c>
      <c r="GW173">
        <v>1</v>
      </c>
      <c r="GX173">
        <f t="shared" si="158"/>
        <v>0</v>
      </c>
      <c r="HA173">
        <v>0</v>
      </c>
      <c r="HB173">
        <v>0</v>
      </c>
      <c r="HC173">
        <f t="shared" si="159"/>
        <v>0</v>
      </c>
      <c r="HE173" t="s">
        <v>3</v>
      </c>
      <c r="HF173" t="s">
        <v>3</v>
      </c>
      <c r="HM173" t="s">
        <v>3</v>
      </c>
      <c r="HN173" t="s">
        <v>3</v>
      </c>
      <c r="HO173" t="s">
        <v>3</v>
      </c>
      <c r="HP173" t="s">
        <v>3</v>
      </c>
      <c r="HQ173" t="s">
        <v>3</v>
      </c>
      <c r="IK173">
        <v>0</v>
      </c>
    </row>
    <row r="174" spans="1:245" x14ac:dyDescent="0.2">
      <c r="A174">
        <v>17</v>
      </c>
      <c r="B174">
        <v>1</v>
      </c>
      <c r="E174" t="s">
        <v>312</v>
      </c>
      <c r="F174" t="s">
        <v>178</v>
      </c>
      <c r="G174" t="s">
        <v>179</v>
      </c>
      <c r="H174" t="s">
        <v>126</v>
      </c>
      <c r="I174">
        <v>5.169E-3</v>
      </c>
      <c r="J174">
        <v>0</v>
      </c>
      <c r="K174">
        <v>5.169E-3</v>
      </c>
      <c r="O174">
        <f t="shared" si="120"/>
        <v>367.31</v>
      </c>
      <c r="P174">
        <f t="shared" si="121"/>
        <v>367.31</v>
      </c>
      <c r="Q174">
        <f t="shared" si="122"/>
        <v>0</v>
      </c>
      <c r="R174">
        <f t="shared" si="123"/>
        <v>0</v>
      </c>
      <c r="S174">
        <f t="shared" si="124"/>
        <v>0</v>
      </c>
      <c r="T174">
        <f t="shared" si="125"/>
        <v>0</v>
      </c>
      <c r="U174">
        <f t="shared" si="126"/>
        <v>0</v>
      </c>
      <c r="V174">
        <f t="shared" si="127"/>
        <v>0</v>
      </c>
      <c r="W174">
        <f t="shared" si="128"/>
        <v>0</v>
      </c>
      <c r="X174">
        <f t="shared" si="129"/>
        <v>0</v>
      </c>
      <c r="Y174">
        <f t="shared" si="130"/>
        <v>0</v>
      </c>
      <c r="AA174">
        <v>84185495</v>
      </c>
      <c r="AB174">
        <f t="shared" si="131"/>
        <v>6813</v>
      </c>
      <c r="AC174">
        <f t="shared" si="132"/>
        <v>6813</v>
      </c>
      <c r="AD174">
        <f t="shared" si="133"/>
        <v>0</v>
      </c>
      <c r="AE174">
        <f t="shared" si="134"/>
        <v>0</v>
      </c>
      <c r="AF174">
        <f t="shared" si="135"/>
        <v>0</v>
      </c>
      <c r="AG174">
        <f t="shared" si="136"/>
        <v>0</v>
      </c>
      <c r="AH174">
        <f t="shared" si="137"/>
        <v>0</v>
      </c>
      <c r="AI174">
        <f t="shared" si="138"/>
        <v>0</v>
      </c>
      <c r="AJ174">
        <f t="shared" si="139"/>
        <v>0</v>
      </c>
      <c r="AK174">
        <v>6813</v>
      </c>
      <c r="AL174">
        <v>6813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</v>
      </c>
      <c r="AW174">
        <v>1</v>
      </c>
      <c r="AZ174">
        <v>1</v>
      </c>
      <c r="BA174">
        <v>1</v>
      </c>
      <c r="BB174">
        <v>1</v>
      </c>
      <c r="BC174">
        <v>10.43</v>
      </c>
      <c r="BD174" t="s">
        <v>3</v>
      </c>
      <c r="BE174" t="s">
        <v>3</v>
      </c>
      <c r="BF174" t="s">
        <v>3</v>
      </c>
      <c r="BG174" t="s">
        <v>3</v>
      </c>
      <c r="BH174">
        <v>3</v>
      </c>
      <c r="BI174">
        <v>1</v>
      </c>
      <c r="BJ174" t="s">
        <v>180</v>
      </c>
      <c r="BM174">
        <v>500001</v>
      </c>
      <c r="BN174">
        <v>0</v>
      </c>
      <c r="BO174" t="s">
        <v>178</v>
      </c>
      <c r="BP174">
        <v>1</v>
      </c>
      <c r="BQ174">
        <v>8</v>
      </c>
      <c r="BR174">
        <v>0</v>
      </c>
      <c r="BS174">
        <v>1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0</v>
      </c>
      <c r="CA174">
        <v>0</v>
      </c>
      <c r="CB174" t="s">
        <v>3</v>
      </c>
      <c r="CE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40"/>
        <v>367.31</v>
      </c>
      <c r="CQ174">
        <f t="shared" si="141"/>
        <v>71059.59</v>
      </c>
      <c r="CR174">
        <f t="shared" si="142"/>
        <v>0</v>
      </c>
      <c r="CS174">
        <f t="shared" si="143"/>
        <v>0</v>
      </c>
      <c r="CT174">
        <f t="shared" si="144"/>
        <v>0</v>
      </c>
      <c r="CU174">
        <f t="shared" si="145"/>
        <v>0</v>
      </c>
      <c r="CV174">
        <f t="shared" si="146"/>
        <v>0</v>
      </c>
      <c r="CW174">
        <f t="shared" si="147"/>
        <v>0</v>
      </c>
      <c r="CX174">
        <f t="shared" si="148"/>
        <v>0</v>
      </c>
      <c r="CY174">
        <f>0</f>
        <v>0</v>
      </c>
      <c r="CZ174">
        <f>0</f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1009</v>
      </c>
      <c r="DV174" t="s">
        <v>126</v>
      </c>
      <c r="DW174" t="s">
        <v>126</v>
      </c>
      <c r="DX174">
        <v>1000</v>
      </c>
      <c r="DZ174" t="s">
        <v>3</v>
      </c>
      <c r="EA174" t="s">
        <v>3</v>
      </c>
      <c r="EB174" t="s">
        <v>3</v>
      </c>
      <c r="EC174" t="s">
        <v>3</v>
      </c>
      <c r="EE174">
        <v>79401762</v>
      </c>
      <c r="EF174">
        <v>8</v>
      </c>
      <c r="EG174" t="s">
        <v>166</v>
      </c>
      <c r="EH174">
        <v>0</v>
      </c>
      <c r="EI174" t="s">
        <v>3</v>
      </c>
      <c r="EJ174">
        <v>1</v>
      </c>
      <c r="EK174">
        <v>500001</v>
      </c>
      <c r="EL174" t="s">
        <v>167</v>
      </c>
      <c r="EM174" t="s">
        <v>168</v>
      </c>
      <c r="EO174" t="s">
        <v>3</v>
      </c>
      <c r="EQ174">
        <v>0</v>
      </c>
      <c r="ER174">
        <v>6813</v>
      </c>
      <c r="ES174">
        <v>6813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FQ174">
        <v>0</v>
      </c>
      <c r="FR174">
        <f t="shared" si="151"/>
        <v>0</v>
      </c>
      <c r="FS174">
        <v>0</v>
      </c>
      <c r="FX174">
        <v>0</v>
      </c>
      <c r="FY174">
        <v>0</v>
      </c>
      <c r="GA174" t="s">
        <v>3</v>
      </c>
      <c r="GD174">
        <v>1</v>
      </c>
      <c r="GF174">
        <v>-1375793846</v>
      </c>
      <c r="GG174">
        <v>2</v>
      </c>
      <c r="GH174">
        <v>1</v>
      </c>
      <c r="GI174">
        <v>2</v>
      </c>
      <c r="GJ174">
        <v>0</v>
      </c>
      <c r="GK174">
        <v>0</v>
      </c>
      <c r="GL174">
        <f t="shared" si="152"/>
        <v>0</v>
      </c>
      <c r="GM174">
        <f t="shared" si="153"/>
        <v>367.31</v>
      </c>
      <c r="GN174">
        <f t="shared" si="154"/>
        <v>367.31</v>
      </c>
      <c r="GO174">
        <f t="shared" si="155"/>
        <v>0</v>
      </c>
      <c r="GP174">
        <f t="shared" si="156"/>
        <v>0</v>
      </c>
      <c r="GR174">
        <v>0</v>
      </c>
      <c r="GS174">
        <v>3</v>
      </c>
      <c r="GT174">
        <v>0</v>
      </c>
      <c r="GU174" t="s">
        <v>3</v>
      </c>
      <c r="GV174">
        <f t="shared" si="157"/>
        <v>0</v>
      </c>
      <c r="GW174">
        <v>1</v>
      </c>
      <c r="GX174">
        <f t="shared" si="158"/>
        <v>0</v>
      </c>
      <c r="HA174">
        <v>0</v>
      </c>
      <c r="HB174">
        <v>0</v>
      </c>
      <c r="HC174">
        <f t="shared" si="159"/>
        <v>0</v>
      </c>
      <c r="HE174" t="s">
        <v>3</v>
      </c>
      <c r="HF174" t="s">
        <v>3</v>
      </c>
      <c r="HM174" t="s">
        <v>3</v>
      </c>
      <c r="HN174" t="s">
        <v>3</v>
      </c>
      <c r="HO174" t="s">
        <v>3</v>
      </c>
      <c r="HP174" t="s">
        <v>3</v>
      </c>
      <c r="HQ174" t="s">
        <v>3</v>
      </c>
      <c r="IK174">
        <v>0</v>
      </c>
    </row>
    <row r="175" spans="1:245" x14ac:dyDescent="0.2">
      <c r="A175">
        <v>17</v>
      </c>
      <c r="B175">
        <v>1</v>
      </c>
      <c r="E175" t="s">
        <v>313</v>
      </c>
      <c r="F175" t="s">
        <v>182</v>
      </c>
      <c r="G175" t="s">
        <v>183</v>
      </c>
      <c r="H175" t="s">
        <v>135</v>
      </c>
      <c r="I175">
        <v>3</v>
      </c>
      <c r="J175">
        <v>0</v>
      </c>
      <c r="K175">
        <v>3</v>
      </c>
      <c r="O175">
        <f t="shared" si="120"/>
        <v>874.17</v>
      </c>
      <c r="P175">
        <f t="shared" si="121"/>
        <v>874.17</v>
      </c>
      <c r="Q175">
        <f t="shared" si="122"/>
        <v>0</v>
      </c>
      <c r="R175">
        <f t="shared" si="123"/>
        <v>0</v>
      </c>
      <c r="S175">
        <f t="shared" si="124"/>
        <v>0</v>
      </c>
      <c r="T175">
        <f t="shared" si="125"/>
        <v>0</v>
      </c>
      <c r="U175">
        <f t="shared" si="126"/>
        <v>0</v>
      </c>
      <c r="V175">
        <f t="shared" si="127"/>
        <v>0</v>
      </c>
      <c r="W175">
        <f t="shared" si="128"/>
        <v>0</v>
      </c>
      <c r="X175">
        <f t="shared" si="129"/>
        <v>0</v>
      </c>
      <c r="Y175">
        <f t="shared" si="130"/>
        <v>0</v>
      </c>
      <c r="AA175">
        <v>84185495</v>
      </c>
      <c r="AB175">
        <f t="shared" si="131"/>
        <v>43.95</v>
      </c>
      <c r="AC175">
        <f t="shared" si="132"/>
        <v>43.95</v>
      </c>
      <c r="AD175">
        <f t="shared" si="133"/>
        <v>0</v>
      </c>
      <c r="AE175">
        <f t="shared" si="134"/>
        <v>0</v>
      </c>
      <c r="AF175">
        <f t="shared" si="135"/>
        <v>0</v>
      </c>
      <c r="AG175">
        <f t="shared" si="136"/>
        <v>0</v>
      </c>
      <c r="AH175">
        <f t="shared" si="137"/>
        <v>0</v>
      </c>
      <c r="AI175">
        <f t="shared" si="138"/>
        <v>0</v>
      </c>
      <c r="AJ175">
        <f t="shared" si="139"/>
        <v>0</v>
      </c>
      <c r="AK175">
        <v>43.95</v>
      </c>
      <c r="AL175">
        <v>43.95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</v>
      </c>
      <c r="BB175">
        <v>1</v>
      </c>
      <c r="BC175">
        <v>6.63</v>
      </c>
      <c r="BD175" t="s">
        <v>3</v>
      </c>
      <c r="BE175" t="s">
        <v>3</v>
      </c>
      <c r="BF175" t="s">
        <v>3</v>
      </c>
      <c r="BG175" t="s">
        <v>3</v>
      </c>
      <c r="BH175">
        <v>3</v>
      </c>
      <c r="BI175">
        <v>1</v>
      </c>
      <c r="BJ175" t="s">
        <v>184</v>
      </c>
      <c r="BM175">
        <v>500001</v>
      </c>
      <c r="BN175">
        <v>0</v>
      </c>
      <c r="BO175" t="s">
        <v>182</v>
      </c>
      <c r="BP175">
        <v>1</v>
      </c>
      <c r="BQ175">
        <v>8</v>
      </c>
      <c r="BR175">
        <v>0</v>
      </c>
      <c r="BS175">
        <v>1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B175" t="s">
        <v>3</v>
      </c>
      <c r="CE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40"/>
        <v>874.17</v>
      </c>
      <c r="CQ175">
        <f t="shared" si="141"/>
        <v>291.38850000000002</v>
      </c>
      <c r="CR175">
        <f t="shared" si="142"/>
        <v>0</v>
      </c>
      <c r="CS175">
        <f t="shared" si="143"/>
        <v>0</v>
      </c>
      <c r="CT175">
        <f t="shared" si="144"/>
        <v>0</v>
      </c>
      <c r="CU175">
        <f t="shared" si="145"/>
        <v>0</v>
      </c>
      <c r="CV175">
        <f t="shared" si="146"/>
        <v>0</v>
      </c>
      <c r="CW175">
        <f t="shared" si="147"/>
        <v>0</v>
      </c>
      <c r="CX175">
        <f t="shared" si="148"/>
        <v>0</v>
      </c>
      <c r="CY175">
        <f>0</f>
        <v>0</v>
      </c>
      <c r="CZ175">
        <f>0</f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1010</v>
      </c>
      <c r="DV175" t="s">
        <v>135</v>
      </c>
      <c r="DW175" t="s">
        <v>135</v>
      </c>
      <c r="DX175">
        <v>1</v>
      </c>
      <c r="DZ175" t="s">
        <v>3</v>
      </c>
      <c r="EA175" t="s">
        <v>3</v>
      </c>
      <c r="EB175" t="s">
        <v>3</v>
      </c>
      <c r="EC175" t="s">
        <v>3</v>
      </c>
      <c r="EE175">
        <v>79401762</v>
      </c>
      <c r="EF175">
        <v>8</v>
      </c>
      <c r="EG175" t="s">
        <v>166</v>
      </c>
      <c r="EH175">
        <v>0</v>
      </c>
      <c r="EI175" t="s">
        <v>3</v>
      </c>
      <c r="EJ175">
        <v>1</v>
      </c>
      <c r="EK175">
        <v>500001</v>
      </c>
      <c r="EL175" t="s">
        <v>167</v>
      </c>
      <c r="EM175" t="s">
        <v>168</v>
      </c>
      <c r="EO175" t="s">
        <v>3</v>
      </c>
      <c r="EQ175">
        <v>0</v>
      </c>
      <c r="ER175">
        <v>43.95</v>
      </c>
      <c r="ES175">
        <v>43.95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51"/>
        <v>0</v>
      </c>
      <c r="FS175">
        <v>0</v>
      </c>
      <c r="FX175">
        <v>0</v>
      </c>
      <c r="FY175">
        <v>0</v>
      </c>
      <c r="GA175" t="s">
        <v>3</v>
      </c>
      <c r="GD175">
        <v>1</v>
      </c>
      <c r="GF175">
        <v>-1794469599</v>
      </c>
      <c r="GG175">
        <v>2</v>
      </c>
      <c r="GH175">
        <v>1</v>
      </c>
      <c r="GI175">
        <v>2</v>
      </c>
      <c r="GJ175">
        <v>0</v>
      </c>
      <c r="GK175">
        <v>0</v>
      </c>
      <c r="GL175">
        <f t="shared" si="152"/>
        <v>0</v>
      </c>
      <c r="GM175">
        <f t="shared" si="153"/>
        <v>874.17</v>
      </c>
      <c r="GN175">
        <f t="shared" si="154"/>
        <v>874.17</v>
      </c>
      <c r="GO175">
        <f t="shared" si="155"/>
        <v>0</v>
      </c>
      <c r="GP175">
        <f t="shared" si="156"/>
        <v>0</v>
      </c>
      <c r="GR175">
        <v>0</v>
      </c>
      <c r="GS175">
        <v>3</v>
      </c>
      <c r="GT175">
        <v>0</v>
      </c>
      <c r="GU175" t="s">
        <v>3</v>
      </c>
      <c r="GV175">
        <f t="shared" si="157"/>
        <v>0</v>
      </c>
      <c r="GW175">
        <v>1</v>
      </c>
      <c r="GX175">
        <f t="shared" si="158"/>
        <v>0</v>
      </c>
      <c r="HA175">
        <v>0</v>
      </c>
      <c r="HB175">
        <v>0</v>
      </c>
      <c r="HC175">
        <f t="shared" si="159"/>
        <v>0</v>
      </c>
      <c r="HE175" t="s">
        <v>3</v>
      </c>
      <c r="HF175" t="s">
        <v>3</v>
      </c>
      <c r="HM175" t="s">
        <v>3</v>
      </c>
      <c r="HN175" t="s">
        <v>3</v>
      </c>
      <c r="HO175" t="s">
        <v>3</v>
      </c>
      <c r="HP175" t="s">
        <v>3</v>
      </c>
      <c r="HQ175" t="s">
        <v>3</v>
      </c>
      <c r="IK175">
        <v>0</v>
      </c>
    </row>
    <row r="176" spans="1:245" x14ac:dyDescent="0.2">
      <c r="A176">
        <v>17</v>
      </c>
      <c r="B176">
        <v>1</v>
      </c>
      <c r="E176" t="s">
        <v>314</v>
      </c>
      <c r="F176" t="s">
        <v>209</v>
      </c>
      <c r="G176" t="s">
        <v>315</v>
      </c>
      <c r="H176" t="s">
        <v>248</v>
      </c>
      <c r="I176">
        <v>1</v>
      </c>
      <c r="J176">
        <v>0</v>
      </c>
      <c r="K176">
        <v>1</v>
      </c>
      <c r="O176">
        <f t="shared" si="120"/>
        <v>10416.67</v>
      </c>
      <c r="P176">
        <f t="shared" si="121"/>
        <v>10416.67</v>
      </c>
      <c r="Q176">
        <f t="shared" si="122"/>
        <v>0</v>
      </c>
      <c r="R176">
        <f t="shared" si="123"/>
        <v>0</v>
      </c>
      <c r="S176">
        <f t="shared" si="124"/>
        <v>0</v>
      </c>
      <c r="T176">
        <f t="shared" si="125"/>
        <v>0</v>
      </c>
      <c r="U176">
        <f t="shared" si="126"/>
        <v>0</v>
      </c>
      <c r="V176">
        <f t="shared" si="127"/>
        <v>0</v>
      </c>
      <c r="W176">
        <f t="shared" si="128"/>
        <v>0</v>
      </c>
      <c r="X176">
        <f t="shared" si="129"/>
        <v>0</v>
      </c>
      <c r="Y176">
        <f t="shared" si="130"/>
        <v>0</v>
      </c>
      <c r="AA176">
        <v>84185495</v>
      </c>
      <c r="AB176">
        <f t="shared" si="131"/>
        <v>10416.67</v>
      </c>
      <c r="AC176">
        <f t="shared" si="132"/>
        <v>10416.67</v>
      </c>
      <c r="AD176">
        <f t="shared" si="133"/>
        <v>0</v>
      </c>
      <c r="AE176">
        <f t="shared" si="134"/>
        <v>0</v>
      </c>
      <c r="AF176">
        <f t="shared" si="135"/>
        <v>0</v>
      </c>
      <c r="AG176">
        <f t="shared" si="136"/>
        <v>0</v>
      </c>
      <c r="AH176">
        <f t="shared" si="137"/>
        <v>0</v>
      </c>
      <c r="AI176">
        <f t="shared" si="138"/>
        <v>0</v>
      </c>
      <c r="AJ176">
        <f t="shared" si="139"/>
        <v>0</v>
      </c>
      <c r="AK176">
        <v>10416.67</v>
      </c>
      <c r="AL176">
        <v>10416.67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1</v>
      </c>
      <c r="AZ176">
        <v>1</v>
      </c>
      <c r="BA176">
        <v>1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3</v>
      </c>
      <c r="BI176">
        <v>1</v>
      </c>
      <c r="BJ176" t="s">
        <v>3</v>
      </c>
      <c r="BM176">
        <v>1100</v>
      </c>
      <c r="BN176">
        <v>0</v>
      </c>
      <c r="BO176" t="s">
        <v>3</v>
      </c>
      <c r="BP176">
        <v>0</v>
      </c>
      <c r="BQ176">
        <v>8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0</v>
      </c>
      <c r="CA176">
        <v>0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</v>
      </c>
      <c r="CO176">
        <v>0</v>
      </c>
      <c r="CP176">
        <f t="shared" si="140"/>
        <v>10416.67</v>
      </c>
      <c r="CQ176">
        <f t="shared" si="141"/>
        <v>10416.67</v>
      </c>
      <c r="CR176">
        <f t="shared" si="142"/>
        <v>0</v>
      </c>
      <c r="CS176">
        <f t="shared" si="143"/>
        <v>0</v>
      </c>
      <c r="CT176">
        <f t="shared" si="144"/>
        <v>0</v>
      </c>
      <c r="CU176">
        <f t="shared" si="145"/>
        <v>0</v>
      </c>
      <c r="CV176">
        <f t="shared" si="146"/>
        <v>0</v>
      </c>
      <c r="CW176">
        <f t="shared" si="147"/>
        <v>0</v>
      </c>
      <c r="CX176">
        <f t="shared" si="148"/>
        <v>0</v>
      </c>
      <c r="CY176">
        <f>(((S176+R176)*AT176)/100)</f>
        <v>0</v>
      </c>
      <c r="CZ176">
        <f>(((S176+R176)*AU176)/100)</f>
        <v>0</v>
      </c>
      <c r="DC176" t="s">
        <v>3</v>
      </c>
      <c r="DD176" t="s">
        <v>3</v>
      </c>
      <c r="DE176" t="s">
        <v>3</v>
      </c>
      <c r="DF176" t="s">
        <v>3</v>
      </c>
      <c r="DG176" t="s">
        <v>3</v>
      </c>
      <c r="DH176" t="s">
        <v>3</v>
      </c>
      <c r="DI176" t="s">
        <v>3</v>
      </c>
      <c r="DJ176" t="s">
        <v>3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1013</v>
      </c>
      <c r="DV176" t="s">
        <v>248</v>
      </c>
      <c r="DW176" t="s">
        <v>248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79402089</v>
      </c>
      <c r="EF176">
        <v>8</v>
      </c>
      <c r="EG176" t="s">
        <v>166</v>
      </c>
      <c r="EH176">
        <v>0</v>
      </c>
      <c r="EI176" t="s">
        <v>3</v>
      </c>
      <c r="EJ176">
        <v>1</v>
      </c>
      <c r="EK176">
        <v>1100</v>
      </c>
      <c r="EL176" t="s">
        <v>211</v>
      </c>
      <c r="EM176" t="s">
        <v>212</v>
      </c>
      <c r="EO176" t="s">
        <v>3</v>
      </c>
      <c r="EQ176">
        <v>0</v>
      </c>
      <c r="ER176">
        <v>10416.67</v>
      </c>
      <c r="ES176">
        <v>10416.67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5</v>
      </c>
      <c r="FC176">
        <v>1</v>
      </c>
      <c r="FD176">
        <v>18</v>
      </c>
      <c r="FF176">
        <v>12500</v>
      </c>
      <c r="FQ176">
        <v>0</v>
      </c>
      <c r="FR176">
        <f t="shared" si="151"/>
        <v>0</v>
      </c>
      <c r="FS176">
        <v>0</v>
      </c>
      <c r="FX176">
        <v>0</v>
      </c>
      <c r="FY176">
        <v>0</v>
      </c>
      <c r="GA176" t="s">
        <v>316</v>
      </c>
      <c r="GD176">
        <v>1</v>
      </c>
      <c r="GF176">
        <v>224188814</v>
      </c>
      <c r="GG176">
        <v>2</v>
      </c>
      <c r="GH176">
        <v>3</v>
      </c>
      <c r="GI176">
        <v>-2</v>
      </c>
      <c r="GJ176">
        <v>0</v>
      </c>
      <c r="GK176">
        <v>0</v>
      </c>
      <c r="GL176">
        <f t="shared" si="152"/>
        <v>0</v>
      </c>
      <c r="GM176">
        <f t="shared" si="153"/>
        <v>10416.67</v>
      </c>
      <c r="GN176">
        <f t="shared" si="154"/>
        <v>10416.67</v>
      </c>
      <c r="GO176">
        <f t="shared" si="155"/>
        <v>0</v>
      </c>
      <c r="GP176">
        <f t="shared" si="156"/>
        <v>0</v>
      </c>
      <c r="GR176">
        <v>1</v>
      </c>
      <c r="GS176">
        <v>1</v>
      </c>
      <c r="GT176">
        <v>0</v>
      </c>
      <c r="GU176" t="s">
        <v>3</v>
      </c>
      <c r="GV176">
        <f t="shared" si="157"/>
        <v>0</v>
      </c>
      <c r="GW176">
        <v>1</v>
      </c>
      <c r="GX176">
        <f t="shared" si="158"/>
        <v>0</v>
      </c>
      <c r="HA176">
        <v>0</v>
      </c>
      <c r="HB176">
        <v>0</v>
      </c>
      <c r="HC176">
        <f t="shared" si="159"/>
        <v>0</v>
      </c>
      <c r="HE176" t="s">
        <v>214</v>
      </c>
      <c r="HF176" t="s">
        <v>214</v>
      </c>
      <c r="HM176" t="s">
        <v>3</v>
      </c>
      <c r="HN176" t="s">
        <v>3</v>
      </c>
      <c r="HO176" t="s">
        <v>3</v>
      </c>
      <c r="HP176" t="s">
        <v>3</v>
      </c>
      <c r="HQ176" t="s">
        <v>3</v>
      </c>
      <c r="IK176">
        <v>0</v>
      </c>
    </row>
    <row r="177" spans="1:245" x14ac:dyDescent="0.2">
      <c r="A177">
        <v>17</v>
      </c>
      <c r="B177">
        <v>1</v>
      </c>
      <c r="E177" t="s">
        <v>317</v>
      </c>
      <c r="F177" t="s">
        <v>209</v>
      </c>
      <c r="G177" t="s">
        <v>318</v>
      </c>
      <c r="H177" t="s">
        <v>248</v>
      </c>
      <c r="I177">
        <v>1</v>
      </c>
      <c r="J177">
        <v>0</v>
      </c>
      <c r="K177">
        <v>1</v>
      </c>
      <c r="O177">
        <f t="shared" si="120"/>
        <v>10000</v>
      </c>
      <c r="P177">
        <f t="shared" si="121"/>
        <v>10000</v>
      </c>
      <c r="Q177">
        <f t="shared" si="122"/>
        <v>0</v>
      </c>
      <c r="R177">
        <f t="shared" si="123"/>
        <v>0</v>
      </c>
      <c r="S177">
        <f t="shared" si="124"/>
        <v>0</v>
      </c>
      <c r="T177">
        <f t="shared" si="125"/>
        <v>0</v>
      </c>
      <c r="U177">
        <f t="shared" si="126"/>
        <v>0</v>
      </c>
      <c r="V177">
        <f t="shared" si="127"/>
        <v>0</v>
      </c>
      <c r="W177">
        <f t="shared" si="128"/>
        <v>0</v>
      </c>
      <c r="X177">
        <f t="shared" si="129"/>
        <v>0</v>
      </c>
      <c r="Y177">
        <f t="shared" si="130"/>
        <v>0</v>
      </c>
      <c r="AA177">
        <v>84185495</v>
      </c>
      <c r="AB177">
        <f t="shared" si="131"/>
        <v>10000</v>
      </c>
      <c r="AC177">
        <f t="shared" si="132"/>
        <v>10000</v>
      </c>
      <c r="AD177">
        <f t="shared" si="133"/>
        <v>0</v>
      </c>
      <c r="AE177">
        <f t="shared" si="134"/>
        <v>0</v>
      </c>
      <c r="AF177">
        <f t="shared" si="135"/>
        <v>0</v>
      </c>
      <c r="AG177">
        <f t="shared" si="136"/>
        <v>0</v>
      </c>
      <c r="AH177">
        <f t="shared" si="137"/>
        <v>0</v>
      </c>
      <c r="AI177">
        <f t="shared" si="138"/>
        <v>0</v>
      </c>
      <c r="AJ177">
        <f t="shared" si="139"/>
        <v>0</v>
      </c>
      <c r="AK177">
        <v>10000</v>
      </c>
      <c r="AL177">
        <v>10000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1</v>
      </c>
      <c r="AW177">
        <v>1</v>
      </c>
      <c r="AZ177">
        <v>1</v>
      </c>
      <c r="BA177">
        <v>1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3</v>
      </c>
      <c r="BI177">
        <v>1</v>
      </c>
      <c r="BJ177" t="s">
        <v>3</v>
      </c>
      <c r="BM177">
        <v>1100</v>
      </c>
      <c r="BN177">
        <v>0</v>
      </c>
      <c r="BO177" t="s">
        <v>3</v>
      </c>
      <c r="BP177">
        <v>0</v>
      </c>
      <c r="BQ177">
        <v>8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0</v>
      </c>
      <c r="CA177">
        <v>0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</v>
      </c>
      <c r="CO177">
        <v>0</v>
      </c>
      <c r="CP177">
        <f t="shared" si="140"/>
        <v>10000</v>
      </c>
      <c r="CQ177">
        <f t="shared" si="141"/>
        <v>10000</v>
      </c>
      <c r="CR177">
        <f t="shared" si="142"/>
        <v>0</v>
      </c>
      <c r="CS177">
        <f t="shared" si="143"/>
        <v>0</v>
      </c>
      <c r="CT177">
        <f t="shared" si="144"/>
        <v>0</v>
      </c>
      <c r="CU177">
        <f t="shared" si="145"/>
        <v>0</v>
      </c>
      <c r="CV177">
        <f t="shared" si="146"/>
        <v>0</v>
      </c>
      <c r="CW177">
        <f t="shared" si="147"/>
        <v>0</v>
      </c>
      <c r="CX177">
        <f t="shared" si="148"/>
        <v>0</v>
      </c>
      <c r="CY177">
        <f>(((S177+R177)*AT177)/100)</f>
        <v>0</v>
      </c>
      <c r="CZ177">
        <f>(((S177+R177)*AU177)/100)</f>
        <v>0</v>
      </c>
      <c r="DC177" t="s">
        <v>3</v>
      </c>
      <c r="DD177" t="s">
        <v>3</v>
      </c>
      <c r="DE177" t="s">
        <v>3</v>
      </c>
      <c r="DF177" t="s">
        <v>3</v>
      </c>
      <c r="DG177" t="s">
        <v>3</v>
      </c>
      <c r="DH177" t="s">
        <v>3</v>
      </c>
      <c r="DI177" t="s">
        <v>3</v>
      </c>
      <c r="DJ177" t="s">
        <v>3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1013</v>
      </c>
      <c r="DV177" t="s">
        <v>248</v>
      </c>
      <c r="DW177" t="s">
        <v>248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79402089</v>
      </c>
      <c r="EF177">
        <v>8</v>
      </c>
      <c r="EG177" t="s">
        <v>166</v>
      </c>
      <c r="EH177">
        <v>0</v>
      </c>
      <c r="EI177" t="s">
        <v>3</v>
      </c>
      <c r="EJ177">
        <v>1</v>
      </c>
      <c r="EK177">
        <v>1100</v>
      </c>
      <c r="EL177" t="s">
        <v>211</v>
      </c>
      <c r="EM177" t="s">
        <v>212</v>
      </c>
      <c r="EO177" t="s">
        <v>3</v>
      </c>
      <c r="EQ177">
        <v>0</v>
      </c>
      <c r="ER177">
        <v>10000</v>
      </c>
      <c r="ES177">
        <v>10000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5</v>
      </c>
      <c r="FC177">
        <v>1</v>
      </c>
      <c r="FD177">
        <v>18</v>
      </c>
      <c r="FF177">
        <v>12000</v>
      </c>
      <c r="FQ177">
        <v>0</v>
      </c>
      <c r="FR177">
        <f t="shared" si="151"/>
        <v>0</v>
      </c>
      <c r="FS177">
        <v>0</v>
      </c>
      <c r="FX177">
        <v>0</v>
      </c>
      <c r="FY177">
        <v>0</v>
      </c>
      <c r="GA177" t="s">
        <v>319</v>
      </c>
      <c r="GD177">
        <v>1</v>
      </c>
      <c r="GF177">
        <v>1130901521</v>
      </c>
      <c r="GG177">
        <v>2</v>
      </c>
      <c r="GH177">
        <v>3</v>
      </c>
      <c r="GI177">
        <v>-2</v>
      </c>
      <c r="GJ177">
        <v>0</v>
      </c>
      <c r="GK177">
        <v>0</v>
      </c>
      <c r="GL177">
        <f t="shared" si="152"/>
        <v>0</v>
      </c>
      <c r="GM177">
        <f t="shared" si="153"/>
        <v>10000</v>
      </c>
      <c r="GN177">
        <f t="shared" si="154"/>
        <v>10000</v>
      </c>
      <c r="GO177">
        <f t="shared" si="155"/>
        <v>0</v>
      </c>
      <c r="GP177">
        <f t="shared" si="156"/>
        <v>0</v>
      </c>
      <c r="GR177">
        <v>1</v>
      </c>
      <c r="GS177">
        <v>1</v>
      </c>
      <c r="GT177">
        <v>0</v>
      </c>
      <c r="GU177" t="s">
        <v>3</v>
      </c>
      <c r="GV177">
        <f t="shared" si="157"/>
        <v>0</v>
      </c>
      <c r="GW177">
        <v>1</v>
      </c>
      <c r="GX177">
        <f t="shared" si="158"/>
        <v>0</v>
      </c>
      <c r="HA177">
        <v>0</v>
      </c>
      <c r="HB177">
        <v>0</v>
      </c>
      <c r="HC177">
        <f t="shared" si="159"/>
        <v>0</v>
      </c>
      <c r="HE177" t="s">
        <v>214</v>
      </c>
      <c r="HF177" t="s">
        <v>214</v>
      </c>
      <c r="HM177" t="s">
        <v>3</v>
      </c>
      <c r="HN177" t="s">
        <v>3</v>
      </c>
      <c r="HO177" t="s">
        <v>3</v>
      </c>
      <c r="HP177" t="s">
        <v>3</v>
      </c>
      <c r="HQ177" t="s">
        <v>3</v>
      </c>
      <c r="IK177">
        <v>0</v>
      </c>
    </row>
    <row r="178" spans="1:245" x14ac:dyDescent="0.2">
      <c r="A178">
        <v>17</v>
      </c>
      <c r="B178">
        <v>1</v>
      </c>
      <c r="E178" t="s">
        <v>320</v>
      </c>
      <c r="F178" t="s">
        <v>321</v>
      </c>
      <c r="G178" t="s">
        <v>322</v>
      </c>
      <c r="H178" t="s">
        <v>323</v>
      </c>
      <c r="I178">
        <f>ROUND(21/1000,9)</f>
        <v>2.1000000000000001E-2</v>
      </c>
      <c r="J178">
        <v>0</v>
      </c>
      <c r="K178">
        <f>ROUND(21/1000,9)</f>
        <v>2.1000000000000001E-2</v>
      </c>
      <c r="O178">
        <f t="shared" si="120"/>
        <v>1897.89</v>
      </c>
      <c r="P178">
        <f t="shared" si="121"/>
        <v>1897.89</v>
      </c>
      <c r="Q178">
        <f t="shared" si="122"/>
        <v>0</v>
      </c>
      <c r="R178">
        <f t="shared" si="123"/>
        <v>0</v>
      </c>
      <c r="S178">
        <f t="shared" si="124"/>
        <v>0</v>
      </c>
      <c r="T178">
        <f t="shared" si="125"/>
        <v>0</v>
      </c>
      <c r="U178">
        <f t="shared" si="126"/>
        <v>0</v>
      </c>
      <c r="V178">
        <f t="shared" si="127"/>
        <v>0</v>
      </c>
      <c r="W178">
        <f t="shared" si="128"/>
        <v>0</v>
      </c>
      <c r="X178">
        <f t="shared" si="129"/>
        <v>0</v>
      </c>
      <c r="Y178">
        <f t="shared" si="130"/>
        <v>0</v>
      </c>
      <c r="AA178">
        <v>84185495</v>
      </c>
      <c r="AB178">
        <f t="shared" si="131"/>
        <v>23908.94</v>
      </c>
      <c r="AC178">
        <f t="shared" si="132"/>
        <v>23908.94</v>
      </c>
      <c r="AD178">
        <f t="shared" si="133"/>
        <v>0</v>
      </c>
      <c r="AE178">
        <f t="shared" si="134"/>
        <v>0</v>
      </c>
      <c r="AF178">
        <f t="shared" si="135"/>
        <v>0</v>
      </c>
      <c r="AG178">
        <f t="shared" si="136"/>
        <v>0</v>
      </c>
      <c r="AH178">
        <f t="shared" si="137"/>
        <v>0</v>
      </c>
      <c r="AI178">
        <f t="shared" si="138"/>
        <v>0</v>
      </c>
      <c r="AJ178">
        <f t="shared" si="139"/>
        <v>0</v>
      </c>
      <c r="AK178">
        <v>23908.94</v>
      </c>
      <c r="AL178">
        <v>23908.94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1</v>
      </c>
      <c r="AW178">
        <v>1</v>
      </c>
      <c r="AZ178">
        <v>1</v>
      </c>
      <c r="BA178">
        <v>1</v>
      </c>
      <c r="BB178">
        <v>1</v>
      </c>
      <c r="BC178">
        <v>3.78</v>
      </c>
      <c r="BD178" t="s">
        <v>3</v>
      </c>
      <c r="BE178" t="s">
        <v>3</v>
      </c>
      <c r="BF178" t="s">
        <v>3</v>
      </c>
      <c r="BG178" t="s">
        <v>3</v>
      </c>
      <c r="BH178">
        <v>3</v>
      </c>
      <c r="BI178">
        <v>2</v>
      </c>
      <c r="BJ178" t="s">
        <v>324</v>
      </c>
      <c r="BM178">
        <v>500002</v>
      </c>
      <c r="BN178">
        <v>0</v>
      </c>
      <c r="BO178" t="s">
        <v>321</v>
      </c>
      <c r="BP178">
        <v>1</v>
      </c>
      <c r="BQ178">
        <v>12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0</v>
      </c>
      <c r="CA178">
        <v>0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</v>
      </c>
      <c r="CO178">
        <v>0</v>
      </c>
      <c r="CP178">
        <f t="shared" si="140"/>
        <v>1897.89</v>
      </c>
      <c r="CQ178">
        <f t="shared" si="141"/>
        <v>90375.793199999986</v>
      </c>
      <c r="CR178">
        <f t="shared" si="142"/>
        <v>0</v>
      </c>
      <c r="CS178">
        <f t="shared" si="143"/>
        <v>0</v>
      </c>
      <c r="CT178">
        <f t="shared" si="144"/>
        <v>0</v>
      </c>
      <c r="CU178">
        <f t="shared" si="145"/>
        <v>0</v>
      </c>
      <c r="CV178">
        <f t="shared" si="146"/>
        <v>0</v>
      </c>
      <c r="CW178">
        <f t="shared" si="147"/>
        <v>0</v>
      </c>
      <c r="CX178">
        <f t="shared" si="148"/>
        <v>0</v>
      </c>
      <c r="CY178">
        <f>0</f>
        <v>0</v>
      </c>
      <c r="CZ178">
        <f>0</f>
        <v>0</v>
      </c>
      <c r="DC178" t="s">
        <v>3</v>
      </c>
      <c r="DD178" t="s">
        <v>3</v>
      </c>
      <c r="DE178" t="s">
        <v>3</v>
      </c>
      <c r="DF178" t="s">
        <v>3</v>
      </c>
      <c r="DG178" t="s">
        <v>3</v>
      </c>
      <c r="DH178" t="s">
        <v>3</v>
      </c>
      <c r="DI178" t="s">
        <v>3</v>
      </c>
      <c r="DJ178" t="s">
        <v>3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323</v>
      </c>
      <c r="DW178" t="s">
        <v>325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79401763</v>
      </c>
      <c r="EF178">
        <v>12</v>
      </c>
      <c r="EG178" t="s">
        <v>189</v>
      </c>
      <c r="EH178">
        <v>0</v>
      </c>
      <c r="EI178" t="s">
        <v>3</v>
      </c>
      <c r="EJ178">
        <v>2</v>
      </c>
      <c r="EK178">
        <v>500002</v>
      </c>
      <c r="EL178" t="s">
        <v>190</v>
      </c>
      <c r="EM178" t="s">
        <v>191</v>
      </c>
      <c r="EO178" t="s">
        <v>3</v>
      </c>
      <c r="EQ178">
        <v>0</v>
      </c>
      <c r="ER178">
        <v>23908.94</v>
      </c>
      <c r="ES178">
        <v>23908.94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FQ178">
        <v>0</v>
      </c>
      <c r="FR178">
        <f t="shared" si="151"/>
        <v>0</v>
      </c>
      <c r="FS178">
        <v>0</v>
      </c>
      <c r="FX178">
        <v>0</v>
      </c>
      <c r="FY178">
        <v>0</v>
      </c>
      <c r="GA178" t="s">
        <v>3</v>
      </c>
      <c r="GD178">
        <v>1</v>
      </c>
      <c r="GF178">
        <v>-497340706</v>
      </c>
      <c r="GG178">
        <v>2</v>
      </c>
      <c r="GH178">
        <v>1</v>
      </c>
      <c r="GI178">
        <v>2</v>
      </c>
      <c r="GJ178">
        <v>0</v>
      </c>
      <c r="GK178">
        <v>0</v>
      </c>
      <c r="GL178">
        <f t="shared" si="152"/>
        <v>0</v>
      </c>
      <c r="GM178">
        <f t="shared" si="153"/>
        <v>1897.89</v>
      </c>
      <c r="GN178">
        <f t="shared" si="154"/>
        <v>0</v>
      </c>
      <c r="GO178">
        <f t="shared" si="155"/>
        <v>1897.89</v>
      </c>
      <c r="GP178">
        <f t="shared" si="156"/>
        <v>0</v>
      </c>
      <c r="GR178">
        <v>0</v>
      </c>
      <c r="GS178">
        <v>3</v>
      </c>
      <c r="GT178">
        <v>0</v>
      </c>
      <c r="GU178" t="s">
        <v>3</v>
      </c>
      <c r="GV178">
        <f t="shared" si="157"/>
        <v>0</v>
      </c>
      <c r="GW178">
        <v>1</v>
      </c>
      <c r="GX178">
        <f t="shared" si="158"/>
        <v>0</v>
      </c>
      <c r="HA178">
        <v>0</v>
      </c>
      <c r="HB178">
        <v>0</v>
      </c>
      <c r="HC178">
        <f t="shared" si="159"/>
        <v>0</v>
      </c>
      <c r="HE178" t="s">
        <v>3</v>
      </c>
      <c r="HF178" t="s">
        <v>3</v>
      </c>
      <c r="HM178" t="s">
        <v>3</v>
      </c>
      <c r="HN178" t="s">
        <v>3</v>
      </c>
      <c r="HO178" t="s">
        <v>3</v>
      </c>
      <c r="HP178" t="s">
        <v>3</v>
      </c>
      <c r="HQ178" t="s">
        <v>3</v>
      </c>
      <c r="IK178">
        <v>0</v>
      </c>
    </row>
    <row r="179" spans="1:245" x14ac:dyDescent="0.2">
      <c r="A179">
        <v>17</v>
      </c>
      <c r="B179">
        <v>1</v>
      </c>
      <c r="E179" t="s">
        <v>326</v>
      </c>
      <c r="F179" t="s">
        <v>327</v>
      </c>
      <c r="G179" t="s">
        <v>328</v>
      </c>
      <c r="H179" t="s">
        <v>135</v>
      </c>
      <c r="I179">
        <v>6</v>
      </c>
      <c r="J179">
        <v>0</v>
      </c>
      <c r="K179">
        <v>6</v>
      </c>
      <c r="O179">
        <f t="shared" si="120"/>
        <v>3799.43</v>
      </c>
      <c r="P179">
        <f t="shared" si="121"/>
        <v>3799.43</v>
      </c>
      <c r="Q179">
        <f t="shared" si="122"/>
        <v>0</v>
      </c>
      <c r="R179">
        <f t="shared" si="123"/>
        <v>0</v>
      </c>
      <c r="S179">
        <f t="shared" si="124"/>
        <v>0</v>
      </c>
      <c r="T179">
        <f t="shared" si="125"/>
        <v>0</v>
      </c>
      <c r="U179">
        <f t="shared" si="126"/>
        <v>0</v>
      </c>
      <c r="V179">
        <f t="shared" si="127"/>
        <v>0</v>
      </c>
      <c r="W179">
        <f t="shared" si="128"/>
        <v>0</v>
      </c>
      <c r="X179">
        <f t="shared" si="129"/>
        <v>0</v>
      </c>
      <c r="Y179">
        <f t="shared" si="130"/>
        <v>0</v>
      </c>
      <c r="AA179">
        <v>84185495</v>
      </c>
      <c r="AB179">
        <f t="shared" si="131"/>
        <v>57.83</v>
      </c>
      <c r="AC179">
        <f t="shared" si="132"/>
        <v>57.83</v>
      </c>
      <c r="AD179">
        <f t="shared" si="133"/>
        <v>0</v>
      </c>
      <c r="AE179">
        <f t="shared" si="134"/>
        <v>0</v>
      </c>
      <c r="AF179">
        <f t="shared" si="135"/>
        <v>0</v>
      </c>
      <c r="AG179">
        <f t="shared" si="136"/>
        <v>0</v>
      </c>
      <c r="AH179">
        <f t="shared" si="137"/>
        <v>0</v>
      </c>
      <c r="AI179">
        <f t="shared" si="138"/>
        <v>0</v>
      </c>
      <c r="AJ179">
        <f t="shared" si="139"/>
        <v>0</v>
      </c>
      <c r="AK179">
        <v>57.83</v>
      </c>
      <c r="AL179">
        <v>57.83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1</v>
      </c>
      <c r="AW179">
        <v>1</v>
      </c>
      <c r="AZ179">
        <v>1</v>
      </c>
      <c r="BA179">
        <v>1</v>
      </c>
      <c r="BB179">
        <v>1</v>
      </c>
      <c r="BC179">
        <v>10.95</v>
      </c>
      <c r="BD179" t="s">
        <v>3</v>
      </c>
      <c r="BE179" t="s">
        <v>3</v>
      </c>
      <c r="BF179" t="s">
        <v>3</v>
      </c>
      <c r="BG179" t="s">
        <v>3</v>
      </c>
      <c r="BH179">
        <v>3</v>
      </c>
      <c r="BI179">
        <v>1</v>
      </c>
      <c r="BJ179" t="s">
        <v>329</v>
      </c>
      <c r="BM179">
        <v>500001</v>
      </c>
      <c r="BN179">
        <v>0</v>
      </c>
      <c r="BO179" t="s">
        <v>327</v>
      </c>
      <c r="BP179">
        <v>1</v>
      </c>
      <c r="BQ179">
        <v>8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0</v>
      </c>
      <c r="CA179">
        <v>0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</v>
      </c>
      <c r="CO179">
        <v>0</v>
      </c>
      <c r="CP179">
        <f t="shared" si="140"/>
        <v>3799.43</v>
      </c>
      <c r="CQ179">
        <f t="shared" si="141"/>
        <v>633.23849999999993</v>
      </c>
      <c r="CR179">
        <f t="shared" si="142"/>
        <v>0</v>
      </c>
      <c r="CS179">
        <f t="shared" si="143"/>
        <v>0</v>
      </c>
      <c r="CT179">
        <f t="shared" si="144"/>
        <v>0</v>
      </c>
      <c r="CU179">
        <f t="shared" si="145"/>
        <v>0</v>
      </c>
      <c r="CV179">
        <f t="shared" si="146"/>
        <v>0</v>
      </c>
      <c r="CW179">
        <f t="shared" si="147"/>
        <v>0</v>
      </c>
      <c r="CX179">
        <f t="shared" si="148"/>
        <v>0</v>
      </c>
      <c r="CY179">
        <f>0</f>
        <v>0</v>
      </c>
      <c r="CZ179">
        <f>0</f>
        <v>0</v>
      </c>
      <c r="DC179" t="s">
        <v>3</v>
      </c>
      <c r="DD179" t="s">
        <v>3</v>
      </c>
      <c r="DE179" t="s">
        <v>3</v>
      </c>
      <c r="DF179" t="s">
        <v>3</v>
      </c>
      <c r="DG179" t="s">
        <v>3</v>
      </c>
      <c r="DH179" t="s">
        <v>3</v>
      </c>
      <c r="DI179" t="s">
        <v>3</v>
      </c>
      <c r="DJ179" t="s">
        <v>3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1010</v>
      </c>
      <c r="DV179" t="s">
        <v>135</v>
      </c>
      <c r="DW179" t="s">
        <v>135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79401762</v>
      </c>
      <c r="EF179">
        <v>8</v>
      </c>
      <c r="EG179" t="s">
        <v>166</v>
      </c>
      <c r="EH179">
        <v>0</v>
      </c>
      <c r="EI179" t="s">
        <v>3</v>
      </c>
      <c r="EJ179">
        <v>1</v>
      </c>
      <c r="EK179">
        <v>500001</v>
      </c>
      <c r="EL179" t="s">
        <v>167</v>
      </c>
      <c r="EM179" t="s">
        <v>168</v>
      </c>
      <c r="EO179" t="s">
        <v>3</v>
      </c>
      <c r="EQ179">
        <v>0</v>
      </c>
      <c r="ER179">
        <v>57.83</v>
      </c>
      <c r="ES179">
        <v>57.83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FQ179">
        <v>0</v>
      </c>
      <c r="FR179">
        <f t="shared" si="151"/>
        <v>0</v>
      </c>
      <c r="FS179">
        <v>0</v>
      </c>
      <c r="FX179">
        <v>0</v>
      </c>
      <c r="FY179">
        <v>0</v>
      </c>
      <c r="GA179" t="s">
        <v>3</v>
      </c>
      <c r="GD179">
        <v>1</v>
      </c>
      <c r="GF179">
        <v>1527325796</v>
      </c>
      <c r="GG179">
        <v>2</v>
      </c>
      <c r="GH179">
        <v>1</v>
      </c>
      <c r="GI179">
        <v>2</v>
      </c>
      <c r="GJ179">
        <v>0</v>
      </c>
      <c r="GK179">
        <v>0</v>
      </c>
      <c r="GL179">
        <f t="shared" si="152"/>
        <v>0</v>
      </c>
      <c r="GM179">
        <f t="shared" si="153"/>
        <v>3799.43</v>
      </c>
      <c r="GN179">
        <f t="shared" si="154"/>
        <v>3799.43</v>
      </c>
      <c r="GO179">
        <f t="shared" si="155"/>
        <v>0</v>
      </c>
      <c r="GP179">
        <f t="shared" si="156"/>
        <v>0</v>
      </c>
      <c r="GR179">
        <v>0</v>
      </c>
      <c r="GS179">
        <v>3</v>
      </c>
      <c r="GT179">
        <v>0</v>
      </c>
      <c r="GU179" t="s">
        <v>3</v>
      </c>
      <c r="GV179">
        <f t="shared" si="157"/>
        <v>0</v>
      </c>
      <c r="GW179">
        <v>1</v>
      </c>
      <c r="GX179">
        <f t="shared" si="158"/>
        <v>0</v>
      </c>
      <c r="HA179">
        <v>0</v>
      </c>
      <c r="HB179">
        <v>0</v>
      </c>
      <c r="HC179">
        <f t="shared" si="159"/>
        <v>0</v>
      </c>
      <c r="HE179" t="s">
        <v>3</v>
      </c>
      <c r="HF179" t="s">
        <v>3</v>
      </c>
      <c r="HM179" t="s">
        <v>3</v>
      </c>
      <c r="HN179" t="s">
        <v>3</v>
      </c>
      <c r="HO179" t="s">
        <v>3</v>
      </c>
      <c r="HP179" t="s">
        <v>3</v>
      </c>
      <c r="HQ179" t="s">
        <v>3</v>
      </c>
      <c r="IK179">
        <v>0</v>
      </c>
    </row>
    <row r="180" spans="1:245" x14ac:dyDescent="0.2">
      <c r="A180">
        <v>17</v>
      </c>
      <c r="B180">
        <v>1</v>
      </c>
      <c r="E180" t="s">
        <v>330</v>
      </c>
      <c r="F180" t="s">
        <v>331</v>
      </c>
      <c r="G180" t="s">
        <v>332</v>
      </c>
      <c r="H180" t="s">
        <v>333</v>
      </c>
      <c r="I180">
        <f>ROUND(6*2,9)</f>
        <v>12</v>
      </c>
      <c r="J180">
        <v>0</v>
      </c>
      <c r="K180">
        <f>ROUND(6*2,9)</f>
        <v>12</v>
      </c>
      <c r="O180">
        <f t="shared" si="120"/>
        <v>2477.34</v>
      </c>
      <c r="P180">
        <f t="shared" si="121"/>
        <v>2477.34</v>
      </c>
      <c r="Q180">
        <f t="shared" si="122"/>
        <v>0</v>
      </c>
      <c r="R180">
        <f t="shared" si="123"/>
        <v>0</v>
      </c>
      <c r="S180">
        <f t="shared" si="124"/>
        <v>0</v>
      </c>
      <c r="T180">
        <f t="shared" si="125"/>
        <v>0</v>
      </c>
      <c r="U180">
        <f t="shared" si="126"/>
        <v>0</v>
      </c>
      <c r="V180">
        <f t="shared" si="127"/>
        <v>0</v>
      </c>
      <c r="W180">
        <f t="shared" si="128"/>
        <v>0</v>
      </c>
      <c r="X180">
        <f t="shared" si="129"/>
        <v>0</v>
      </c>
      <c r="Y180">
        <f t="shared" si="130"/>
        <v>0</v>
      </c>
      <c r="AA180">
        <v>84185495</v>
      </c>
      <c r="AB180">
        <f t="shared" si="131"/>
        <v>20.79</v>
      </c>
      <c r="AC180">
        <f t="shared" si="132"/>
        <v>20.79</v>
      </c>
      <c r="AD180">
        <f t="shared" si="133"/>
        <v>0</v>
      </c>
      <c r="AE180">
        <f t="shared" si="134"/>
        <v>0</v>
      </c>
      <c r="AF180">
        <f t="shared" si="135"/>
        <v>0</v>
      </c>
      <c r="AG180">
        <f t="shared" si="136"/>
        <v>0</v>
      </c>
      <c r="AH180">
        <f t="shared" si="137"/>
        <v>0</v>
      </c>
      <c r="AI180">
        <f t="shared" si="138"/>
        <v>0</v>
      </c>
      <c r="AJ180">
        <f t="shared" si="139"/>
        <v>0</v>
      </c>
      <c r="AK180">
        <v>20.79</v>
      </c>
      <c r="AL180">
        <v>20.79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1</v>
      </c>
      <c r="AW180">
        <v>1</v>
      </c>
      <c r="AZ180">
        <v>1</v>
      </c>
      <c r="BA180">
        <v>1</v>
      </c>
      <c r="BB180">
        <v>1</v>
      </c>
      <c r="BC180">
        <v>9.93</v>
      </c>
      <c r="BD180" t="s">
        <v>3</v>
      </c>
      <c r="BE180" t="s">
        <v>3</v>
      </c>
      <c r="BF180" t="s">
        <v>3</v>
      </c>
      <c r="BG180" t="s">
        <v>3</v>
      </c>
      <c r="BH180">
        <v>3</v>
      </c>
      <c r="BI180">
        <v>1</v>
      </c>
      <c r="BJ180" t="s">
        <v>334</v>
      </c>
      <c r="BM180">
        <v>500001</v>
      </c>
      <c r="BN180">
        <v>0</v>
      </c>
      <c r="BO180" t="s">
        <v>331</v>
      </c>
      <c r="BP180">
        <v>1</v>
      </c>
      <c r="BQ180">
        <v>8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0</v>
      </c>
      <c r="CA180">
        <v>0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</v>
      </c>
      <c r="CO180">
        <v>0</v>
      </c>
      <c r="CP180">
        <f t="shared" si="140"/>
        <v>2477.34</v>
      </c>
      <c r="CQ180">
        <f t="shared" si="141"/>
        <v>206.44469999999998</v>
      </c>
      <c r="CR180">
        <f t="shared" si="142"/>
        <v>0</v>
      </c>
      <c r="CS180">
        <f t="shared" si="143"/>
        <v>0</v>
      </c>
      <c r="CT180">
        <f t="shared" si="144"/>
        <v>0</v>
      </c>
      <c r="CU180">
        <f t="shared" si="145"/>
        <v>0</v>
      </c>
      <c r="CV180">
        <f t="shared" si="146"/>
        <v>0</v>
      </c>
      <c r="CW180">
        <f t="shared" si="147"/>
        <v>0</v>
      </c>
      <c r="CX180">
        <f t="shared" si="148"/>
        <v>0</v>
      </c>
      <c r="CY180">
        <f>0</f>
        <v>0</v>
      </c>
      <c r="CZ180">
        <f>0</f>
        <v>0</v>
      </c>
      <c r="DC180" t="s">
        <v>3</v>
      </c>
      <c r="DD180" t="s">
        <v>3</v>
      </c>
      <c r="DE180" t="s">
        <v>3</v>
      </c>
      <c r="DF180" t="s">
        <v>3</v>
      </c>
      <c r="DG180" t="s">
        <v>3</v>
      </c>
      <c r="DH180" t="s">
        <v>3</v>
      </c>
      <c r="DI180" t="s">
        <v>3</v>
      </c>
      <c r="DJ180" t="s">
        <v>3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1003</v>
      </c>
      <c r="DV180" t="s">
        <v>333</v>
      </c>
      <c r="DW180" t="s">
        <v>333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79401762</v>
      </c>
      <c r="EF180">
        <v>8</v>
      </c>
      <c r="EG180" t="s">
        <v>166</v>
      </c>
      <c r="EH180">
        <v>0</v>
      </c>
      <c r="EI180" t="s">
        <v>3</v>
      </c>
      <c r="EJ180">
        <v>1</v>
      </c>
      <c r="EK180">
        <v>500001</v>
      </c>
      <c r="EL180" t="s">
        <v>167</v>
      </c>
      <c r="EM180" t="s">
        <v>168</v>
      </c>
      <c r="EO180" t="s">
        <v>3</v>
      </c>
      <c r="EQ180">
        <v>0</v>
      </c>
      <c r="ER180">
        <v>20.79</v>
      </c>
      <c r="ES180">
        <v>20.79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FQ180">
        <v>0</v>
      </c>
      <c r="FR180">
        <f t="shared" si="151"/>
        <v>0</v>
      </c>
      <c r="FS180">
        <v>0</v>
      </c>
      <c r="FX180">
        <v>0</v>
      </c>
      <c r="FY180">
        <v>0</v>
      </c>
      <c r="GA180" t="s">
        <v>3</v>
      </c>
      <c r="GD180">
        <v>1</v>
      </c>
      <c r="GF180">
        <v>1293560168</v>
      </c>
      <c r="GG180">
        <v>2</v>
      </c>
      <c r="GH180">
        <v>1</v>
      </c>
      <c r="GI180">
        <v>2</v>
      </c>
      <c r="GJ180">
        <v>0</v>
      </c>
      <c r="GK180">
        <v>0</v>
      </c>
      <c r="GL180">
        <f t="shared" si="152"/>
        <v>0</v>
      </c>
      <c r="GM180">
        <f t="shared" si="153"/>
        <v>2477.34</v>
      </c>
      <c r="GN180">
        <f t="shared" si="154"/>
        <v>2477.34</v>
      </c>
      <c r="GO180">
        <f t="shared" si="155"/>
        <v>0</v>
      </c>
      <c r="GP180">
        <f t="shared" si="156"/>
        <v>0</v>
      </c>
      <c r="GR180">
        <v>0</v>
      </c>
      <c r="GS180">
        <v>3</v>
      </c>
      <c r="GT180">
        <v>0</v>
      </c>
      <c r="GU180" t="s">
        <v>3</v>
      </c>
      <c r="GV180">
        <f t="shared" si="157"/>
        <v>0</v>
      </c>
      <c r="GW180">
        <v>1</v>
      </c>
      <c r="GX180">
        <f t="shared" si="158"/>
        <v>0</v>
      </c>
      <c r="HA180">
        <v>0</v>
      </c>
      <c r="HB180">
        <v>0</v>
      </c>
      <c r="HC180">
        <f t="shared" si="159"/>
        <v>0</v>
      </c>
      <c r="HE180" t="s">
        <v>3</v>
      </c>
      <c r="HF180" t="s">
        <v>3</v>
      </c>
      <c r="HM180" t="s">
        <v>3</v>
      </c>
      <c r="HN180" t="s">
        <v>3</v>
      </c>
      <c r="HO180" t="s">
        <v>3</v>
      </c>
      <c r="HP180" t="s">
        <v>3</v>
      </c>
      <c r="HQ180" t="s">
        <v>3</v>
      </c>
      <c r="IK180">
        <v>0</v>
      </c>
    </row>
    <row r="181" spans="1:245" x14ac:dyDescent="0.2">
      <c r="A181">
        <v>17</v>
      </c>
      <c r="B181">
        <v>1</v>
      </c>
      <c r="C181">
        <f>ROW(SmtRes!A124)</f>
        <v>124</v>
      </c>
      <c r="D181">
        <f>ROW(EtalonRes!A124)</f>
        <v>124</v>
      </c>
      <c r="E181" t="s">
        <v>335</v>
      </c>
      <c r="F181" t="s">
        <v>227</v>
      </c>
      <c r="G181" t="s">
        <v>228</v>
      </c>
      <c r="H181" t="s">
        <v>229</v>
      </c>
      <c r="I181">
        <v>2</v>
      </c>
      <c r="J181">
        <v>0</v>
      </c>
      <c r="K181">
        <v>2</v>
      </c>
      <c r="O181">
        <f t="shared" si="120"/>
        <v>2988.38</v>
      </c>
      <c r="P181">
        <f t="shared" si="121"/>
        <v>701.79</v>
      </c>
      <c r="Q181">
        <f t="shared" si="122"/>
        <v>1835.13</v>
      </c>
      <c r="R181">
        <f t="shared" si="123"/>
        <v>387.26</v>
      </c>
      <c r="S181">
        <f t="shared" si="124"/>
        <v>451.46</v>
      </c>
      <c r="T181">
        <f t="shared" si="125"/>
        <v>0</v>
      </c>
      <c r="U181">
        <f t="shared" si="126"/>
        <v>1.62</v>
      </c>
      <c r="V181">
        <f t="shared" si="127"/>
        <v>1.22</v>
      </c>
      <c r="W181">
        <f t="shared" si="128"/>
        <v>0</v>
      </c>
      <c r="X181">
        <f t="shared" si="129"/>
        <v>863.88</v>
      </c>
      <c r="Y181">
        <f t="shared" si="130"/>
        <v>503.23</v>
      </c>
      <c r="AA181">
        <v>84185495</v>
      </c>
      <c r="AB181">
        <f t="shared" si="131"/>
        <v>140.05000000000001</v>
      </c>
      <c r="AC181">
        <f t="shared" si="132"/>
        <v>33.26</v>
      </c>
      <c r="AD181">
        <f t="shared" si="133"/>
        <v>100.39</v>
      </c>
      <c r="AE181">
        <f t="shared" si="134"/>
        <v>5.49</v>
      </c>
      <c r="AF181">
        <f t="shared" si="135"/>
        <v>6.4</v>
      </c>
      <c r="AG181">
        <f t="shared" si="136"/>
        <v>0</v>
      </c>
      <c r="AH181">
        <f t="shared" si="137"/>
        <v>0.81</v>
      </c>
      <c r="AI181">
        <f t="shared" si="138"/>
        <v>0.61</v>
      </c>
      <c r="AJ181">
        <f t="shared" si="139"/>
        <v>0</v>
      </c>
      <c r="AK181">
        <v>140.05000000000001</v>
      </c>
      <c r="AL181">
        <v>33.26</v>
      </c>
      <c r="AM181">
        <v>100.39</v>
      </c>
      <c r="AN181">
        <v>5.49</v>
      </c>
      <c r="AO181">
        <v>6.4</v>
      </c>
      <c r="AP181">
        <v>0</v>
      </c>
      <c r="AQ181">
        <v>0.81</v>
      </c>
      <c r="AR181">
        <v>0.61</v>
      </c>
      <c r="AS181">
        <v>0</v>
      </c>
      <c r="AT181">
        <v>103</v>
      </c>
      <c r="AU181">
        <v>60</v>
      </c>
      <c r="AV181">
        <v>1</v>
      </c>
      <c r="AW181">
        <v>1</v>
      </c>
      <c r="AZ181">
        <v>1</v>
      </c>
      <c r="BA181">
        <v>35.270000000000003</v>
      </c>
      <c r="BB181">
        <v>9.14</v>
      </c>
      <c r="BC181">
        <v>10.55</v>
      </c>
      <c r="BD181" t="s">
        <v>3</v>
      </c>
      <c r="BE181" t="s">
        <v>3</v>
      </c>
      <c r="BF181" t="s">
        <v>3</v>
      </c>
      <c r="BG181" t="s">
        <v>3</v>
      </c>
      <c r="BH181">
        <v>0</v>
      </c>
      <c r="BI181">
        <v>1</v>
      </c>
      <c r="BJ181" t="s">
        <v>230</v>
      </c>
      <c r="BM181">
        <v>33001</v>
      </c>
      <c r="BN181">
        <v>0</v>
      </c>
      <c r="BO181" t="s">
        <v>227</v>
      </c>
      <c r="BP181">
        <v>1</v>
      </c>
      <c r="BQ181">
        <v>2</v>
      </c>
      <c r="BR181">
        <v>0</v>
      </c>
      <c r="BS181">
        <v>35.270000000000003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103</v>
      </c>
      <c r="CA181">
        <v>60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 t="shared" si="140"/>
        <v>2988.38</v>
      </c>
      <c r="CQ181">
        <f t="shared" si="141"/>
        <v>350.89300000000003</v>
      </c>
      <c r="CR181">
        <f t="shared" si="142"/>
        <v>917.56460000000004</v>
      </c>
      <c r="CS181">
        <f t="shared" si="143"/>
        <v>193.63230000000001</v>
      </c>
      <c r="CT181">
        <f t="shared" si="144"/>
        <v>225.72800000000004</v>
      </c>
      <c r="CU181">
        <f t="shared" si="145"/>
        <v>0</v>
      </c>
      <c r="CV181">
        <f t="shared" si="146"/>
        <v>0.81</v>
      </c>
      <c r="CW181">
        <f t="shared" si="147"/>
        <v>0.61</v>
      </c>
      <c r="CX181">
        <f t="shared" si="148"/>
        <v>0</v>
      </c>
      <c r="CY181">
        <f>(((S181+R181)*AT181)/100)</f>
        <v>863.88160000000005</v>
      </c>
      <c r="CZ181">
        <f>(((S181+R181)*AU181)/100)</f>
        <v>503.23200000000003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1013</v>
      </c>
      <c r="DV181" t="s">
        <v>229</v>
      </c>
      <c r="DW181" t="s">
        <v>229</v>
      </c>
      <c r="DX181">
        <v>1</v>
      </c>
      <c r="DZ181" t="s">
        <v>3</v>
      </c>
      <c r="EA181" t="s">
        <v>3</v>
      </c>
      <c r="EB181" t="s">
        <v>3</v>
      </c>
      <c r="EC181" t="s">
        <v>3</v>
      </c>
      <c r="EE181">
        <v>79401925</v>
      </c>
      <c r="EF181">
        <v>2</v>
      </c>
      <c r="EG181" t="s">
        <v>19</v>
      </c>
      <c r="EH181">
        <v>27</v>
      </c>
      <c r="EI181" t="s">
        <v>20</v>
      </c>
      <c r="EJ181">
        <v>1</v>
      </c>
      <c r="EK181">
        <v>33001</v>
      </c>
      <c r="EL181" t="s">
        <v>20</v>
      </c>
      <c r="EM181" t="s">
        <v>21</v>
      </c>
      <c r="EO181" t="s">
        <v>3</v>
      </c>
      <c r="EQ181">
        <v>0</v>
      </c>
      <c r="ER181">
        <v>140.05000000000001</v>
      </c>
      <c r="ES181">
        <v>33.26</v>
      </c>
      <c r="ET181">
        <v>100.39</v>
      </c>
      <c r="EU181">
        <v>5.49</v>
      </c>
      <c r="EV181">
        <v>6.4</v>
      </c>
      <c r="EW181">
        <v>0.81</v>
      </c>
      <c r="EX181">
        <v>0.61</v>
      </c>
      <c r="EY181">
        <v>0</v>
      </c>
      <c r="FQ181">
        <v>0</v>
      </c>
      <c r="FR181">
        <f t="shared" si="151"/>
        <v>0</v>
      </c>
      <c r="FS181">
        <v>0</v>
      </c>
      <c r="FX181">
        <v>103</v>
      </c>
      <c r="FY181">
        <v>60</v>
      </c>
      <c r="GA181" t="s">
        <v>3</v>
      </c>
      <c r="GD181">
        <v>1</v>
      </c>
      <c r="GF181">
        <v>-1716539149</v>
      </c>
      <c r="GG181">
        <v>2</v>
      </c>
      <c r="GH181">
        <v>1</v>
      </c>
      <c r="GI181">
        <v>2</v>
      </c>
      <c r="GJ181">
        <v>0</v>
      </c>
      <c r="GK181">
        <v>0</v>
      </c>
      <c r="GL181">
        <f t="shared" si="152"/>
        <v>0</v>
      </c>
      <c r="GM181">
        <f t="shared" si="153"/>
        <v>4355.49</v>
      </c>
      <c r="GN181">
        <f t="shared" si="154"/>
        <v>4355.49</v>
      </c>
      <c r="GO181">
        <f t="shared" si="155"/>
        <v>0</v>
      </c>
      <c r="GP181">
        <f t="shared" si="156"/>
        <v>0</v>
      </c>
      <c r="GR181">
        <v>0</v>
      </c>
      <c r="GS181">
        <v>3</v>
      </c>
      <c r="GT181">
        <v>0</v>
      </c>
      <c r="GU181" t="s">
        <v>3</v>
      </c>
      <c r="GV181">
        <f t="shared" si="157"/>
        <v>0</v>
      </c>
      <c r="GW181">
        <v>1</v>
      </c>
      <c r="GX181">
        <f t="shared" si="158"/>
        <v>0</v>
      </c>
      <c r="HA181">
        <v>0</v>
      </c>
      <c r="HB181">
        <v>0</v>
      </c>
      <c r="HC181">
        <f t="shared" si="159"/>
        <v>0</v>
      </c>
      <c r="HE181" t="s">
        <v>3</v>
      </c>
      <c r="HF181" t="s">
        <v>3</v>
      </c>
      <c r="HM181" t="s">
        <v>3</v>
      </c>
      <c r="HN181" t="s">
        <v>22</v>
      </c>
      <c r="HO181" t="s">
        <v>23</v>
      </c>
      <c r="HP181" t="s">
        <v>20</v>
      </c>
      <c r="HQ181" t="s">
        <v>20</v>
      </c>
      <c r="IK181">
        <v>0</v>
      </c>
    </row>
    <row r="182" spans="1:245" x14ac:dyDescent="0.2">
      <c r="A182">
        <v>18</v>
      </c>
      <c r="B182">
        <v>1</v>
      </c>
      <c r="C182">
        <v>124</v>
      </c>
      <c r="E182" t="s">
        <v>336</v>
      </c>
      <c r="F182" t="s">
        <v>232</v>
      </c>
      <c r="G182" t="s">
        <v>233</v>
      </c>
      <c r="H182" t="s">
        <v>126</v>
      </c>
      <c r="I182">
        <f>I181*J182</f>
        <v>-0.01</v>
      </c>
      <c r="J182">
        <v>-5.0000000000000001E-3</v>
      </c>
      <c r="K182">
        <v>-5.0000000000000001E-3</v>
      </c>
      <c r="O182">
        <f t="shared" si="120"/>
        <v>-694.35</v>
      </c>
      <c r="P182">
        <f t="shared" si="121"/>
        <v>-694.35</v>
      </c>
      <c r="Q182">
        <f t="shared" si="122"/>
        <v>0</v>
      </c>
      <c r="R182">
        <f t="shared" si="123"/>
        <v>0</v>
      </c>
      <c r="S182">
        <f t="shared" si="124"/>
        <v>0</v>
      </c>
      <c r="T182">
        <f t="shared" si="125"/>
        <v>0</v>
      </c>
      <c r="U182">
        <f t="shared" si="126"/>
        <v>0</v>
      </c>
      <c r="V182">
        <f t="shared" si="127"/>
        <v>0</v>
      </c>
      <c r="W182">
        <f t="shared" si="128"/>
        <v>0</v>
      </c>
      <c r="X182">
        <f t="shared" si="129"/>
        <v>0</v>
      </c>
      <c r="Y182">
        <f t="shared" si="130"/>
        <v>0</v>
      </c>
      <c r="AA182">
        <v>84185495</v>
      </c>
      <c r="AB182">
        <f t="shared" si="131"/>
        <v>6594</v>
      </c>
      <c r="AC182">
        <f t="shared" si="132"/>
        <v>6594</v>
      </c>
      <c r="AD182">
        <f t="shared" si="133"/>
        <v>0</v>
      </c>
      <c r="AE182">
        <f t="shared" si="134"/>
        <v>0</v>
      </c>
      <c r="AF182">
        <f t="shared" si="135"/>
        <v>0</v>
      </c>
      <c r="AG182">
        <f t="shared" si="136"/>
        <v>0</v>
      </c>
      <c r="AH182">
        <f t="shared" si="137"/>
        <v>0</v>
      </c>
      <c r="AI182">
        <f t="shared" si="138"/>
        <v>0</v>
      </c>
      <c r="AJ182">
        <f t="shared" si="139"/>
        <v>0</v>
      </c>
      <c r="AK182">
        <v>6594</v>
      </c>
      <c r="AL182">
        <v>6594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103</v>
      </c>
      <c r="AU182">
        <v>60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10.53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1</v>
      </c>
      <c r="BJ182" t="s">
        <v>234</v>
      </c>
      <c r="BM182">
        <v>33001</v>
      </c>
      <c r="BN182">
        <v>0</v>
      </c>
      <c r="BO182" t="s">
        <v>232</v>
      </c>
      <c r="BP182">
        <v>1</v>
      </c>
      <c r="BQ182">
        <v>2</v>
      </c>
      <c r="BR182">
        <v>1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103</v>
      </c>
      <c r="CA182">
        <v>60</v>
      </c>
      <c r="CB182" t="s">
        <v>3</v>
      </c>
      <c r="CE182">
        <v>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 t="shared" si="140"/>
        <v>-694.35</v>
      </c>
      <c r="CQ182">
        <f t="shared" si="141"/>
        <v>69434.819999999992</v>
      </c>
      <c r="CR182">
        <f t="shared" si="142"/>
        <v>0</v>
      </c>
      <c r="CS182">
        <f t="shared" si="143"/>
        <v>0</v>
      </c>
      <c r="CT182">
        <f t="shared" si="144"/>
        <v>0</v>
      </c>
      <c r="CU182">
        <f t="shared" si="145"/>
        <v>0</v>
      </c>
      <c r="CV182">
        <f t="shared" si="146"/>
        <v>0</v>
      </c>
      <c r="CW182">
        <f t="shared" si="147"/>
        <v>0</v>
      </c>
      <c r="CX182">
        <f t="shared" si="148"/>
        <v>0</v>
      </c>
      <c r="CY182">
        <f>(((S182+R182)*AT182)/100)</f>
        <v>0</v>
      </c>
      <c r="CZ182">
        <f>(((S182+R182)*AU182)/100)</f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1009</v>
      </c>
      <c r="DV182" t="s">
        <v>126</v>
      </c>
      <c r="DW182" t="s">
        <v>126</v>
      </c>
      <c r="DX182">
        <v>1000</v>
      </c>
      <c r="DZ182" t="s">
        <v>3</v>
      </c>
      <c r="EA182" t="s">
        <v>3</v>
      </c>
      <c r="EB182" t="s">
        <v>3</v>
      </c>
      <c r="EC182" t="s">
        <v>3</v>
      </c>
      <c r="EE182">
        <v>79401925</v>
      </c>
      <c r="EF182">
        <v>2</v>
      </c>
      <c r="EG182" t="s">
        <v>19</v>
      </c>
      <c r="EH182">
        <v>27</v>
      </c>
      <c r="EI182" t="s">
        <v>20</v>
      </c>
      <c r="EJ182">
        <v>1</v>
      </c>
      <c r="EK182">
        <v>33001</v>
      </c>
      <c r="EL182" t="s">
        <v>20</v>
      </c>
      <c r="EM182" t="s">
        <v>21</v>
      </c>
      <c r="EO182" t="s">
        <v>3</v>
      </c>
      <c r="EQ182">
        <v>32768</v>
      </c>
      <c r="ER182">
        <v>6594</v>
      </c>
      <c r="ES182">
        <v>6594</v>
      </c>
      <c r="ET182">
        <v>0</v>
      </c>
      <c r="EU182">
        <v>0</v>
      </c>
      <c r="EV182">
        <v>0</v>
      </c>
      <c r="EW182">
        <v>0</v>
      </c>
      <c r="EX182">
        <v>0</v>
      </c>
      <c r="FQ182">
        <v>0</v>
      </c>
      <c r="FR182">
        <f t="shared" si="151"/>
        <v>0</v>
      </c>
      <c r="FS182">
        <v>0</v>
      </c>
      <c r="FX182">
        <v>103</v>
      </c>
      <c r="FY182">
        <v>60</v>
      </c>
      <c r="GA182" t="s">
        <v>3</v>
      </c>
      <c r="GD182">
        <v>1</v>
      </c>
      <c r="GF182">
        <v>1308337192</v>
      </c>
      <c r="GG182">
        <v>2</v>
      </c>
      <c r="GH182">
        <v>1</v>
      </c>
      <c r="GI182">
        <v>2</v>
      </c>
      <c r="GJ182">
        <v>0</v>
      </c>
      <c r="GK182">
        <v>0</v>
      </c>
      <c r="GL182">
        <f t="shared" si="152"/>
        <v>0</v>
      </c>
      <c r="GM182">
        <f t="shared" si="153"/>
        <v>-694.35</v>
      </c>
      <c r="GN182">
        <f t="shared" si="154"/>
        <v>-694.35</v>
      </c>
      <c r="GO182">
        <f t="shared" si="155"/>
        <v>0</v>
      </c>
      <c r="GP182">
        <f t="shared" si="156"/>
        <v>0</v>
      </c>
      <c r="GR182">
        <v>0</v>
      </c>
      <c r="GS182">
        <v>3</v>
      </c>
      <c r="GT182">
        <v>0</v>
      </c>
      <c r="GU182" t="s">
        <v>3</v>
      </c>
      <c r="GV182">
        <f t="shared" si="157"/>
        <v>0</v>
      </c>
      <c r="GW182">
        <v>1</v>
      </c>
      <c r="GX182">
        <f t="shared" si="158"/>
        <v>0</v>
      </c>
      <c r="HA182">
        <v>0</v>
      </c>
      <c r="HB182">
        <v>0</v>
      </c>
      <c r="HC182">
        <f t="shared" si="159"/>
        <v>0</v>
      </c>
      <c r="HE182" t="s">
        <v>3</v>
      </c>
      <c r="HF182" t="s">
        <v>3</v>
      </c>
      <c r="HM182" t="s">
        <v>3</v>
      </c>
      <c r="HN182" t="s">
        <v>22</v>
      </c>
      <c r="HO182" t="s">
        <v>23</v>
      </c>
      <c r="HP182" t="s">
        <v>20</v>
      </c>
      <c r="HQ182" t="s">
        <v>20</v>
      </c>
      <c r="IK182">
        <v>0</v>
      </c>
    </row>
    <row r="183" spans="1:245" x14ac:dyDescent="0.2">
      <c r="A183">
        <v>17</v>
      </c>
      <c r="B183">
        <v>1</v>
      </c>
      <c r="E183" t="s">
        <v>337</v>
      </c>
      <c r="F183" t="s">
        <v>236</v>
      </c>
      <c r="G183" t="s">
        <v>237</v>
      </c>
      <c r="H183" t="s">
        <v>126</v>
      </c>
      <c r="I183">
        <v>1.1115E-2</v>
      </c>
      <c r="J183">
        <v>0</v>
      </c>
      <c r="K183">
        <v>1.1115E-2</v>
      </c>
      <c r="O183">
        <f t="shared" si="120"/>
        <v>922.9</v>
      </c>
      <c r="P183">
        <f t="shared" si="121"/>
        <v>922.9</v>
      </c>
      <c r="Q183">
        <f t="shared" si="122"/>
        <v>0</v>
      </c>
      <c r="R183">
        <f t="shared" si="123"/>
        <v>0</v>
      </c>
      <c r="S183">
        <f t="shared" si="124"/>
        <v>0</v>
      </c>
      <c r="T183">
        <f t="shared" si="125"/>
        <v>0</v>
      </c>
      <c r="U183">
        <f t="shared" si="126"/>
        <v>0</v>
      </c>
      <c r="V183">
        <f t="shared" si="127"/>
        <v>0</v>
      </c>
      <c r="W183">
        <f t="shared" si="128"/>
        <v>0</v>
      </c>
      <c r="X183">
        <f t="shared" si="129"/>
        <v>0</v>
      </c>
      <c r="Y183">
        <f t="shared" si="130"/>
        <v>0</v>
      </c>
      <c r="AA183">
        <v>84185495</v>
      </c>
      <c r="AB183">
        <f t="shared" si="131"/>
        <v>6074</v>
      </c>
      <c r="AC183">
        <f t="shared" si="132"/>
        <v>6074</v>
      </c>
      <c r="AD183">
        <f t="shared" si="133"/>
        <v>0</v>
      </c>
      <c r="AE183">
        <f t="shared" si="134"/>
        <v>0</v>
      </c>
      <c r="AF183">
        <f t="shared" si="135"/>
        <v>0</v>
      </c>
      <c r="AG183">
        <f t="shared" si="136"/>
        <v>0</v>
      </c>
      <c r="AH183">
        <f t="shared" si="137"/>
        <v>0</v>
      </c>
      <c r="AI183">
        <f t="shared" si="138"/>
        <v>0</v>
      </c>
      <c r="AJ183">
        <f t="shared" si="139"/>
        <v>0</v>
      </c>
      <c r="AK183">
        <v>6074</v>
      </c>
      <c r="AL183">
        <v>6074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13.67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1</v>
      </c>
      <c r="BJ183" t="s">
        <v>238</v>
      </c>
      <c r="BM183">
        <v>500001</v>
      </c>
      <c r="BN183">
        <v>0</v>
      </c>
      <c r="BO183" t="s">
        <v>236</v>
      </c>
      <c r="BP183">
        <v>1</v>
      </c>
      <c r="BQ183">
        <v>8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 t="shared" si="140"/>
        <v>922.9</v>
      </c>
      <c r="CQ183">
        <f t="shared" si="141"/>
        <v>83031.58</v>
      </c>
      <c r="CR183">
        <f t="shared" si="142"/>
        <v>0</v>
      </c>
      <c r="CS183">
        <f t="shared" si="143"/>
        <v>0</v>
      </c>
      <c r="CT183">
        <f t="shared" si="144"/>
        <v>0</v>
      </c>
      <c r="CU183">
        <f t="shared" si="145"/>
        <v>0</v>
      </c>
      <c r="CV183">
        <f t="shared" si="146"/>
        <v>0</v>
      </c>
      <c r="CW183">
        <f t="shared" si="147"/>
        <v>0</v>
      </c>
      <c r="CX183">
        <f t="shared" si="148"/>
        <v>0</v>
      </c>
      <c r="CY183">
        <f>0</f>
        <v>0</v>
      </c>
      <c r="CZ183">
        <f>0</f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1009</v>
      </c>
      <c r="DV183" t="s">
        <v>126</v>
      </c>
      <c r="DW183" t="s">
        <v>126</v>
      </c>
      <c r="DX183">
        <v>1000</v>
      </c>
      <c r="DZ183" t="s">
        <v>3</v>
      </c>
      <c r="EA183" t="s">
        <v>3</v>
      </c>
      <c r="EB183" t="s">
        <v>3</v>
      </c>
      <c r="EC183" t="s">
        <v>3</v>
      </c>
      <c r="EE183">
        <v>79401762</v>
      </c>
      <c r="EF183">
        <v>8</v>
      </c>
      <c r="EG183" t="s">
        <v>166</v>
      </c>
      <c r="EH183">
        <v>0</v>
      </c>
      <c r="EI183" t="s">
        <v>3</v>
      </c>
      <c r="EJ183">
        <v>1</v>
      </c>
      <c r="EK183">
        <v>500001</v>
      </c>
      <c r="EL183" t="s">
        <v>167</v>
      </c>
      <c r="EM183" t="s">
        <v>168</v>
      </c>
      <c r="EO183" t="s">
        <v>3</v>
      </c>
      <c r="EQ183">
        <v>0</v>
      </c>
      <c r="ER183">
        <v>6074</v>
      </c>
      <c r="ES183">
        <v>6074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FQ183">
        <v>0</v>
      </c>
      <c r="FR183">
        <f t="shared" si="151"/>
        <v>0</v>
      </c>
      <c r="FS183">
        <v>0</v>
      </c>
      <c r="FX183">
        <v>0</v>
      </c>
      <c r="FY183">
        <v>0</v>
      </c>
      <c r="GA183" t="s">
        <v>3</v>
      </c>
      <c r="GD183">
        <v>1</v>
      </c>
      <c r="GF183">
        <v>-362657570</v>
      </c>
      <c r="GG183">
        <v>2</v>
      </c>
      <c r="GH183">
        <v>1</v>
      </c>
      <c r="GI183">
        <v>2</v>
      </c>
      <c r="GJ183">
        <v>0</v>
      </c>
      <c r="GK183">
        <v>0</v>
      </c>
      <c r="GL183">
        <f t="shared" si="152"/>
        <v>0</v>
      </c>
      <c r="GM183">
        <f t="shared" si="153"/>
        <v>922.9</v>
      </c>
      <c r="GN183">
        <f t="shared" si="154"/>
        <v>922.9</v>
      </c>
      <c r="GO183">
        <f t="shared" si="155"/>
        <v>0</v>
      </c>
      <c r="GP183">
        <f t="shared" si="156"/>
        <v>0</v>
      </c>
      <c r="GR183">
        <v>0</v>
      </c>
      <c r="GS183">
        <v>3</v>
      </c>
      <c r="GT183">
        <v>0</v>
      </c>
      <c r="GU183" t="s">
        <v>3</v>
      </c>
      <c r="GV183">
        <f t="shared" si="157"/>
        <v>0</v>
      </c>
      <c r="GW183">
        <v>1</v>
      </c>
      <c r="GX183">
        <f t="shared" si="158"/>
        <v>0</v>
      </c>
      <c r="HA183">
        <v>0</v>
      </c>
      <c r="HB183">
        <v>0</v>
      </c>
      <c r="HC183">
        <f t="shared" si="159"/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C184">
        <f>ROW(SmtRes!A126)</f>
        <v>126</v>
      </c>
      <c r="D184">
        <f>ROW(EtalonRes!A126)</f>
        <v>126</v>
      </c>
      <c r="E184" t="s">
        <v>338</v>
      </c>
      <c r="F184" t="s">
        <v>25</v>
      </c>
      <c r="G184" t="s">
        <v>339</v>
      </c>
      <c r="H184" t="s">
        <v>27</v>
      </c>
      <c r="I184">
        <f>ROUND(3/100,9)</f>
        <v>0.03</v>
      </c>
      <c r="J184">
        <v>0</v>
      </c>
      <c r="K184">
        <f>ROUND(3/100,9)</f>
        <v>0.03</v>
      </c>
      <c r="O184">
        <f t="shared" si="120"/>
        <v>146.71</v>
      </c>
      <c r="P184">
        <f t="shared" si="121"/>
        <v>2.88</v>
      </c>
      <c r="Q184">
        <f t="shared" si="122"/>
        <v>0</v>
      </c>
      <c r="R184">
        <f t="shared" si="123"/>
        <v>0</v>
      </c>
      <c r="S184">
        <f t="shared" si="124"/>
        <v>143.83000000000001</v>
      </c>
      <c r="T184">
        <f t="shared" si="125"/>
        <v>0</v>
      </c>
      <c r="U184">
        <f t="shared" si="126"/>
        <v>0.45359999999999995</v>
      </c>
      <c r="V184">
        <f t="shared" si="127"/>
        <v>0</v>
      </c>
      <c r="W184">
        <f t="shared" si="128"/>
        <v>0</v>
      </c>
      <c r="X184">
        <f t="shared" si="129"/>
        <v>139.52000000000001</v>
      </c>
      <c r="Y184">
        <f t="shared" si="130"/>
        <v>73.349999999999994</v>
      </c>
      <c r="AA184">
        <v>84185495</v>
      </c>
      <c r="AB184">
        <f t="shared" si="131"/>
        <v>138.65</v>
      </c>
      <c r="AC184">
        <f t="shared" si="132"/>
        <v>2.72</v>
      </c>
      <c r="AD184">
        <f t="shared" si="133"/>
        <v>0</v>
      </c>
      <c r="AE184">
        <f t="shared" si="134"/>
        <v>0</v>
      </c>
      <c r="AF184">
        <f t="shared" si="135"/>
        <v>135.93</v>
      </c>
      <c r="AG184">
        <f t="shared" si="136"/>
        <v>0</v>
      </c>
      <c r="AH184">
        <f t="shared" si="137"/>
        <v>15.12</v>
      </c>
      <c r="AI184">
        <f t="shared" si="138"/>
        <v>0</v>
      </c>
      <c r="AJ184">
        <f t="shared" si="139"/>
        <v>0</v>
      </c>
      <c r="AK184">
        <v>138.65</v>
      </c>
      <c r="AL184">
        <v>2.72</v>
      </c>
      <c r="AM184">
        <v>0</v>
      </c>
      <c r="AN184">
        <v>0</v>
      </c>
      <c r="AO184">
        <v>135.93</v>
      </c>
      <c r="AP184">
        <v>0</v>
      </c>
      <c r="AQ184">
        <v>15.12</v>
      </c>
      <c r="AR184">
        <v>0</v>
      </c>
      <c r="AS184">
        <v>0</v>
      </c>
      <c r="AT184">
        <v>97</v>
      </c>
      <c r="AU184">
        <v>51</v>
      </c>
      <c r="AV184">
        <v>1</v>
      </c>
      <c r="AW184">
        <v>1</v>
      </c>
      <c r="AZ184">
        <v>1</v>
      </c>
      <c r="BA184">
        <v>35.270000000000003</v>
      </c>
      <c r="BB184">
        <v>1</v>
      </c>
      <c r="BC184">
        <v>35.25</v>
      </c>
      <c r="BD184" t="s">
        <v>3</v>
      </c>
      <c r="BE184" t="s">
        <v>3</v>
      </c>
      <c r="BF184" t="s">
        <v>3</v>
      </c>
      <c r="BG184" t="s">
        <v>3</v>
      </c>
      <c r="BH184">
        <v>0</v>
      </c>
      <c r="BI184">
        <v>2</v>
      </c>
      <c r="BJ184" t="s">
        <v>28</v>
      </c>
      <c r="BM184">
        <v>108001</v>
      </c>
      <c r="BN184">
        <v>0</v>
      </c>
      <c r="BO184" t="s">
        <v>25</v>
      </c>
      <c r="BP184">
        <v>1</v>
      </c>
      <c r="BQ184">
        <v>3</v>
      </c>
      <c r="BR184">
        <v>0</v>
      </c>
      <c r="BS184">
        <v>35.270000000000003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97</v>
      </c>
      <c r="CA184">
        <v>51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 t="shared" si="140"/>
        <v>146.71</v>
      </c>
      <c r="CQ184">
        <f t="shared" si="141"/>
        <v>95.88000000000001</v>
      </c>
      <c r="CR184">
        <f t="shared" si="142"/>
        <v>0</v>
      </c>
      <c r="CS184">
        <f t="shared" si="143"/>
        <v>0</v>
      </c>
      <c r="CT184">
        <f t="shared" si="144"/>
        <v>4794.2511000000004</v>
      </c>
      <c r="CU184">
        <f t="shared" si="145"/>
        <v>0</v>
      </c>
      <c r="CV184">
        <f t="shared" si="146"/>
        <v>15.12</v>
      </c>
      <c r="CW184">
        <f t="shared" si="147"/>
        <v>0</v>
      </c>
      <c r="CX184">
        <f t="shared" si="148"/>
        <v>0</v>
      </c>
      <c r="CY184">
        <f>(((S184+R184)*AT184)/100)</f>
        <v>139.51510000000002</v>
      </c>
      <c r="CZ184">
        <f>(((S184+R184)*AU184)/100)</f>
        <v>73.353300000000004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1010</v>
      </c>
      <c r="DV184" t="s">
        <v>27</v>
      </c>
      <c r="DW184" t="s">
        <v>27</v>
      </c>
      <c r="DX184">
        <v>100</v>
      </c>
      <c r="DZ184" t="s">
        <v>3</v>
      </c>
      <c r="EA184" t="s">
        <v>3</v>
      </c>
      <c r="EB184" t="s">
        <v>3</v>
      </c>
      <c r="EC184" t="s">
        <v>3</v>
      </c>
      <c r="EE184">
        <v>79401673</v>
      </c>
      <c r="EF184">
        <v>3</v>
      </c>
      <c r="EG184" t="s">
        <v>32</v>
      </c>
      <c r="EH184">
        <v>0</v>
      </c>
      <c r="EI184" t="s">
        <v>3</v>
      </c>
      <c r="EJ184">
        <v>2</v>
      </c>
      <c r="EK184">
        <v>108001</v>
      </c>
      <c r="EL184" t="s">
        <v>33</v>
      </c>
      <c r="EM184" t="s">
        <v>34</v>
      </c>
      <c r="EO184" t="s">
        <v>3</v>
      </c>
      <c r="EQ184">
        <v>0</v>
      </c>
      <c r="ER184">
        <v>138.65</v>
      </c>
      <c r="ES184">
        <v>2.72</v>
      </c>
      <c r="ET184">
        <v>0</v>
      </c>
      <c r="EU184">
        <v>0</v>
      </c>
      <c r="EV184">
        <v>135.93</v>
      </c>
      <c r="EW184">
        <v>15.12</v>
      </c>
      <c r="EX184">
        <v>0</v>
      </c>
      <c r="EY184">
        <v>0</v>
      </c>
      <c r="FQ184">
        <v>0</v>
      </c>
      <c r="FR184">
        <f t="shared" si="151"/>
        <v>0</v>
      </c>
      <c r="FS184">
        <v>0</v>
      </c>
      <c r="FX184">
        <v>97</v>
      </c>
      <c r="FY184">
        <v>51</v>
      </c>
      <c r="GA184" t="s">
        <v>3</v>
      </c>
      <c r="GD184">
        <v>1</v>
      </c>
      <c r="GF184">
        <v>-1346860303</v>
      </c>
      <c r="GG184">
        <v>2</v>
      </c>
      <c r="GH184">
        <v>1</v>
      </c>
      <c r="GI184">
        <v>2</v>
      </c>
      <c r="GJ184">
        <v>0</v>
      </c>
      <c r="GK184">
        <v>0</v>
      </c>
      <c r="GL184">
        <f t="shared" si="152"/>
        <v>0</v>
      </c>
      <c r="GM184">
        <f t="shared" si="153"/>
        <v>359.58</v>
      </c>
      <c r="GN184">
        <f t="shared" si="154"/>
        <v>0</v>
      </c>
      <c r="GO184">
        <f t="shared" si="155"/>
        <v>359.58</v>
      </c>
      <c r="GP184">
        <f t="shared" si="156"/>
        <v>0</v>
      </c>
      <c r="GR184">
        <v>0</v>
      </c>
      <c r="GS184">
        <v>3</v>
      </c>
      <c r="GT184">
        <v>0</v>
      </c>
      <c r="GU184" t="s">
        <v>3</v>
      </c>
      <c r="GV184">
        <f t="shared" si="157"/>
        <v>0</v>
      </c>
      <c r="GW184">
        <v>1</v>
      </c>
      <c r="GX184">
        <f t="shared" si="158"/>
        <v>0</v>
      </c>
      <c r="HA184">
        <v>0</v>
      </c>
      <c r="HB184">
        <v>0</v>
      </c>
      <c r="HC184">
        <f t="shared" si="159"/>
        <v>0</v>
      </c>
      <c r="HE184" t="s">
        <v>3</v>
      </c>
      <c r="HF184" t="s">
        <v>3</v>
      </c>
      <c r="HM184" t="s">
        <v>3</v>
      </c>
      <c r="HN184" t="s">
        <v>36</v>
      </c>
      <c r="HO184" t="s">
        <v>37</v>
      </c>
      <c r="HP184" t="s">
        <v>33</v>
      </c>
      <c r="HQ184" t="s">
        <v>33</v>
      </c>
      <c r="IK184">
        <v>0</v>
      </c>
    </row>
    <row r="186" spans="1:245" x14ac:dyDescent="0.2">
      <c r="A186" s="2">
        <v>51</v>
      </c>
      <c r="B186" s="2">
        <f>B160</f>
        <v>1</v>
      </c>
      <c r="C186" s="2">
        <f>A160</f>
        <v>4</v>
      </c>
      <c r="D186" s="2">
        <f>ROW(A160)</f>
        <v>160</v>
      </c>
      <c r="E186" s="2"/>
      <c r="F186" s="2" t="str">
        <f>IF(F160&lt;&gt;"",F160,"")</f>
        <v>Новый раздел</v>
      </c>
      <c r="G186" s="2" t="str">
        <f>IF(G160&lt;&gt;"",G160,"")</f>
        <v>Монтаж разъединителя</v>
      </c>
      <c r="H186" s="2">
        <v>0</v>
      </c>
      <c r="I186" s="2"/>
      <c r="J186" s="2"/>
      <c r="K186" s="2"/>
      <c r="L186" s="2"/>
      <c r="M186" s="2"/>
      <c r="N186" s="2"/>
      <c r="O186" s="2">
        <f t="shared" ref="O186:T186" si="160">ROUND(AB186,2)</f>
        <v>46850.36</v>
      </c>
      <c r="P186" s="2">
        <f t="shared" si="160"/>
        <v>39669.120000000003</v>
      </c>
      <c r="Q186" s="2">
        <f t="shared" si="160"/>
        <v>3456.76</v>
      </c>
      <c r="R186" s="2">
        <f t="shared" si="160"/>
        <v>685.89</v>
      </c>
      <c r="S186" s="2">
        <f t="shared" si="160"/>
        <v>3724.48</v>
      </c>
      <c r="T186" s="2">
        <f t="shared" si="160"/>
        <v>0</v>
      </c>
      <c r="U186" s="2">
        <f>AH186</f>
        <v>11.573051999999999</v>
      </c>
      <c r="V186" s="2">
        <f>AI186</f>
        <v>1.9194284000000001</v>
      </c>
      <c r="W186" s="2">
        <f>ROUND(AJ186,2)</f>
        <v>0</v>
      </c>
      <c r="X186" s="2">
        <f>ROUND(AK186,2)</f>
        <v>4506.2299999999996</v>
      </c>
      <c r="Y186" s="2">
        <f>ROUND(AL186,2)</f>
        <v>2591.5300000000002</v>
      </c>
      <c r="Z186" s="2"/>
      <c r="AA186" s="2"/>
      <c r="AB186" s="2">
        <f>ROUND(SUMIF(AA164:AA184,"=84185495",O164:O184),2)</f>
        <v>46850.36</v>
      </c>
      <c r="AC186" s="2">
        <f>ROUND(SUMIF(AA164:AA184,"=84185495",P164:P184),2)</f>
        <v>39669.120000000003</v>
      </c>
      <c r="AD186" s="2">
        <f>ROUND(SUMIF(AA164:AA184,"=84185495",Q164:Q184),2)</f>
        <v>3456.76</v>
      </c>
      <c r="AE186" s="2">
        <f>ROUND(SUMIF(AA164:AA184,"=84185495",R164:R184),2)</f>
        <v>685.89</v>
      </c>
      <c r="AF186" s="2">
        <f>ROUND(SUMIF(AA164:AA184,"=84185495",S164:S184),2)</f>
        <v>3724.48</v>
      </c>
      <c r="AG186" s="2">
        <f>ROUND(SUMIF(AA164:AA184,"=84185495",T164:T184),2)</f>
        <v>0</v>
      </c>
      <c r="AH186" s="2">
        <f>SUMIF(AA164:AA184,"=84185495",U164:U184)</f>
        <v>11.573051999999999</v>
      </c>
      <c r="AI186" s="2">
        <f>SUMIF(AA164:AA184,"=84185495",V164:V184)</f>
        <v>1.9194284000000001</v>
      </c>
      <c r="AJ186" s="2">
        <f>ROUND(SUMIF(AA164:AA184,"=84185495",W164:W184),2)</f>
        <v>0</v>
      </c>
      <c r="AK186" s="2">
        <f>ROUND(SUMIF(AA164:AA184,"=84185495",X164:X184),2)</f>
        <v>4506.2299999999996</v>
      </c>
      <c r="AL186" s="2">
        <f>ROUND(SUMIF(AA164:AA184,"=84185495",Y164:Y184),2)</f>
        <v>2591.5300000000002</v>
      </c>
      <c r="AM186" s="2"/>
      <c r="AN186" s="2"/>
      <c r="AO186" s="2">
        <f t="shared" ref="AO186:BD186" si="161">ROUND(BX186,2)</f>
        <v>0</v>
      </c>
      <c r="AP186" s="2">
        <f t="shared" si="161"/>
        <v>0</v>
      </c>
      <c r="AQ186" s="2">
        <f t="shared" si="161"/>
        <v>0</v>
      </c>
      <c r="AR186" s="2">
        <f t="shared" si="161"/>
        <v>53948.12</v>
      </c>
      <c r="AS186" s="2">
        <f t="shared" si="161"/>
        <v>47343</v>
      </c>
      <c r="AT186" s="2">
        <f t="shared" si="161"/>
        <v>6605.12</v>
      </c>
      <c r="AU186" s="2">
        <f t="shared" si="161"/>
        <v>0</v>
      </c>
      <c r="AV186" s="2">
        <f t="shared" si="161"/>
        <v>39669.120000000003</v>
      </c>
      <c r="AW186" s="2">
        <f t="shared" si="161"/>
        <v>39669.120000000003</v>
      </c>
      <c r="AX186" s="2">
        <f t="shared" si="161"/>
        <v>0</v>
      </c>
      <c r="AY186" s="2">
        <f t="shared" si="161"/>
        <v>39669.120000000003</v>
      </c>
      <c r="AZ186" s="2">
        <f t="shared" si="161"/>
        <v>0</v>
      </c>
      <c r="BA186" s="2">
        <f t="shared" si="161"/>
        <v>0</v>
      </c>
      <c r="BB186" s="2">
        <f t="shared" si="161"/>
        <v>0</v>
      </c>
      <c r="BC186" s="2">
        <f t="shared" si="161"/>
        <v>0</v>
      </c>
      <c r="BD186" s="2">
        <f t="shared" si="161"/>
        <v>0</v>
      </c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>
        <f>ROUND(SUMIF(AA164:AA184,"=84185495",FQ164:FQ184),2)</f>
        <v>0</v>
      </c>
      <c r="BY186" s="2">
        <f>ROUND(SUMIF(AA164:AA184,"=84185495",FR164:FR184),2)</f>
        <v>0</v>
      </c>
      <c r="BZ186" s="2">
        <f>ROUND(SUMIF(AA164:AA184,"=84185495",GL164:GL184),2)</f>
        <v>0</v>
      </c>
      <c r="CA186" s="2">
        <f>ROUND(SUMIF(AA164:AA184,"=84185495",GM164:GM184),2)</f>
        <v>53948.12</v>
      </c>
      <c r="CB186" s="2">
        <f>ROUND(SUMIF(AA164:AA184,"=84185495",GN164:GN184),2)</f>
        <v>47343</v>
      </c>
      <c r="CC186" s="2">
        <f>ROUND(SUMIF(AA164:AA184,"=84185495",GO164:GO184),2)</f>
        <v>6605.12</v>
      </c>
      <c r="CD186" s="2">
        <f>ROUND(SUMIF(AA164:AA184,"=84185495",GP164:GP184),2)</f>
        <v>0</v>
      </c>
      <c r="CE186" s="2">
        <f>AC186-BX186</f>
        <v>39669.120000000003</v>
      </c>
      <c r="CF186" s="2">
        <f>AC186-BY186</f>
        <v>39669.120000000003</v>
      </c>
      <c r="CG186" s="2">
        <f>BX186-BZ186</f>
        <v>0</v>
      </c>
      <c r="CH186" s="2">
        <f>AC186-BX186-BY186+BZ186</f>
        <v>39669.120000000003</v>
      </c>
      <c r="CI186" s="2">
        <f>BY186-BZ186</f>
        <v>0</v>
      </c>
      <c r="CJ186" s="2">
        <f>ROUND(SUMIF(AA164:AA184,"=84185495",GX164:GX184),2)</f>
        <v>0</v>
      </c>
      <c r="CK186" s="2">
        <f>ROUND(SUMIF(AA164:AA184,"=84185495",GY164:GY184),2)</f>
        <v>0</v>
      </c>
      <c r="CL186" s="2">
        <f>ROUND(SUMIF(AA164:AA184,"=84185495",GZ164:GZ184),2)</f>
        <v>0</v>
      </c>
      <c r="CM186" s="2">
        <f>ROUND(SUMIF(AA164:AA184,"=84185495",HD164:HD184),2)</f>
        <v>0</v>
      </c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>
        <v>0</v>
      </c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201</v>
      </c>
      <c r="F188" s="4">
        <f>ROUND(Source!O186,O188)</f>
        <v>46850.36</v>
      </c>
      <c r="G188" s="4" t="s">
        <v>38</v>
      </c>
      <c r="H188" s="4" t="s">
        <v>39</v>
      </c>
      <c r="I188" s="4"/>
      <c r="J188" s="4"/>
      <c r="K188" s="4">
        <v>201</v>
      </c>
      <c r="L188" s="4">
        <v>1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46850.36</v>
      </c>
      <c r="X188" s="4">
        <v>1</v>
      </c>
      <c r="Y188" s="4">
        <v>46850.36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0</v>
      </c>
      <c r="F189" s="4">
        <f>ROUND(Source!P186,O189)</f>
        <v>39669.120000000003</v>
      </c>
      <c r="G189" s="4" t="s">
        <v>40</v>
      </c>
      <c r="H189" s="4" t="s">
        <v>41</v>
      </c>
      <c r="I189" s="4"/>
      <c r="J189" s="4"/>
      <c r="K189" s="4">
        <v>202</v>
      </c>
      <c r="L189" s="4">
        <v>2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39669.120000000003</v>
      </c>
      <c r="X189" s="4">
        <v>1</v>
      </c>
      <c r="Y189" s="4">
        <v>39669.120000000003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222</v>
      </c>
      <c r="F190" s="4">
        <f>ROUND(Source!AO186,O190)</f>
        <v>0</v>
      </c>
      <c r="G190" s="4" t="s">
        <v>42</v>
      </c>
      <c r="H190" s="4" t="s">
        <v>43</v>
      </c>
      <c r="I190" s="4"/>
      <c r="J190" s="4"/>
      <c r="K190" s="4">
        <v>222</v>
      </c>
      <c r="L190" s="4">
        <v>3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225</v>
      </c>
      <c r="F191" s="4">
        <f>ROUND(Source!AV186,O191)</f>
        <v>39669.120000000003</v>
      </c>
      <c r="G191" s="4" t="s">
        <v>44</v>
      </c>
      <c r="H191" s="4" t="s">
        <v>45</v>
      </c>
      <c r="I191" s="4"/>
      <c r="J191" s="4"/>
      <c r="K191" s="4">
        <v>225</v>
      </c>
      <c r="L191" s="4">
        <v>4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39669.120000000003</v>
      </c>
      <c r="X191" s="4">
        <v>1</v>
      </c>
      <c r="Y191" s="4">
        <v>39669.120000000003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226</v>
      </c>
      <c r="F192" s="4">
        <f>ROUND(Source!AW186,O192)</f>
        <v>39669.120000000003</v>
      </c>
      <c r="G192" s="4" t="s">
        <v>46</v>
      </c>
      <c r="H192" s="4" t="s">
        <v>47</v>
      </c>
      <c r="I192" s="4"/>
      <c r="J192" s="4"/>
      <c r="K192" s="4">
        <v>226</v>
      </c>
      <c r="L192" s="4">
        <v>5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39669.120000000003</v>
      </c>
      <c r="X192" s="4">
        <v>1</v>
      </c>
      <c r="Y192" s="4">
        <v>39669.120000000003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227</v>
      </c>
      <c r="F193" s="4">
        <f>ROUND(Source!AX186,O193)</f>
        <v>0</v>
      </c>
      <c r="G193" s="4" t="s">
        <v>48</v>
      </c>
      <c r="H193" s="4" t="s">
        <v>49</v>
      </c>
      <c r="I193" s="4"/>
      <c r="J193" s="4"/>
      <c r="K193" s="4">
        <v>227</v>
      </c>
      <c r="L193" s="4">
        <v>6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228</v>
      </c>
      <c r="F194" s="4">
        <f>ROUND(Source!AY186,O194)</f>
        <v>39669.120000000003</v>
      </c>
      <c r="G194" s="4" t="s">
        <v>50</v>
      </c>
      <c r="H194" s="4" t="s">
        <v>51</v>
      </c>
      <c r="I194" s="4"/>
      <c r="J194" s="4"/>
      <c r="K194" s="4">
        <v>228</v>
      </c>
      <c r="L194" s="4">
        <v>7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39669.120000000003</v>
      </c>
      <c r="X194" s="4">
        <v>1</v>
      </c>
      <c r="Y194" s="4">
        <v>39669.120000000003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216</v>
      </c>
      <c r="F195" s="4">
        <f>ROUND(Source!AP186,O195)</f>
        <v>0</v>
      </c>
      <c r="G195" s="4" t="s">
        <v>52</v>
      </c>
      <c r="H195" s="4" t="s">
        <v>53</v>
      </c>
      <c r="I195" s="4"/>
      <c r="J195" s="4"/>
      <c r="K195" s="4">
        <v>216</v>
      </c>
      <c r="L195" s="4">
        <v>8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223</v>
      </c>
      <c r="F196" s="4">
        <f>ROUND(Source!AQ186,O196)</f>
        <v>0</v>
      </c>
      <c r="G196" s="4" t="s">
        <v>54</v>
      </c>
      <c r="H196" s="4" t="s">
        <v>55</v>
      </c>
      <c r="I196" s="4"/>
      <c r="J196" s="4"/>
      <c r="K196" s="4">
        <v>223</v>
      </c>
      <c r="L196" s="4">
        <v>9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229</v>
      </c>
      <c r="F197" s="4">
        <f>ROUND(Source!AZ186,O197)</f>
        <v>0</v>
      </c>
      <c r="G197" s="4" t="s">
        <v>56</v>
      </c>
      <c r="H197" s="4" t="s">
        <v>57</v>
      </c>
      <c r="I197" s="4"/>
      <c r="J197" s="4"/>
      <c r="K197" s="4">
        <v>229</v>
      </c>
      <c r="L197" s="4">
        <v>10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0</v>
      </c>
      <c r="F198" s="4">
        <f>ROUND(Source!Q186,O198)</f>
        <v>3456.76</v>
      </c>
      <c r="G198" s="4" t="s">
        <v>58</v>
      </c>
      <c r="H198" s="4" t="s">
        <v>59</v>
      </c>
      <c r="I198" s="4"/>
      <c r="J198" s="4"/>
      <c r="K198" s="4">
        <v>203</v>
      </c>
      <c r="L198" s="4">
        <v>11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3456.76</v>
      </c>
      <c r="X198" s="4">
        <v>1</v>
      </c>
      <c r="Y198" s="4">
        <v>3456.76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231</v>
      </c>
      <c r="F199" s="4">
        <f>ROUND(Source!BB186,O199)</f>
        <v>0</v>
      </c>
      <c r="G199" s="4" t="s">
        <v>60</v>
      </c>
      <c r="H199" s="4" t="s">
        <v>61</v>
      </c>
      <c r="I199" s="4"/>
      <c r="J199" s="4"/>
      <c r="K199" s="4">
        <v>231</v>
      </c>
      <c r="L199" s="4">
        <v>12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0</v>
      </c>
      <c r="F200" s="4">
        <f>ROUND(Source!R186,O200)</f>
        <v>685.89</v>
      </c>
      <c r="G200" s="4" t="s">
        <v>62</v>
      </c>
      <c r="H200" s="4" t="s">
        <v>63</v>
      </c>
      <c r="I200" s="4"/>
      <c r="J200" s="4"/>
      <c r="K200" s="4">
        <v>204</v>
      </c>
      <c r="L200" s="4">
        <v>13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685.89</v>
      </c>
      <c r="X200" s="4">
        <v>1</v>
      </c>
      <c r="Y200" s="4">
        <v>685.89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0</v>
      </c>
      <c r="F201" s="4">
        <f>ROUND(Source!S186,O201)</f>
        <v>3724.48</v>
      </c>
      <c r="G201" s="4" t="s">
        <v>64</v>
      </c>
      <c r="H201" s="4" t="s">
        <v>65</v>
      </c>
      <c r="I201" s="4"/>
      <c r="J201" s="4"/>
      <c r="K201" s="4">
        <v>205</v>
      </c>
      <c r="L201" s="4">
        <v>14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3724.48</v>
      </c>
      <c r="X201" s="4">
        <v>1</v>
      </c>
      <c r="Y201" s="4">
        <v>3724.48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232</v>
      </c>
      <c r="F202" s="4">
        <f>ROUND(Source!BC186,O202)</f>
        <v>0</v>
      </c>
      <c r="G202" s="4" t="s">
        <v>66</v>
      </c>
      <c r="H202" s="4" t="s">
        <v>67</v>
      </c>
      <c r="I202" s="4"/>
      <c r="J202" s="4"/>
      <c r="K202" s="4">
        <v>232</v>
      </c>
      <c r="L202" s="4">
        <v>15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214</v>
      </c>
      <c r="F203" s="4">
        <f>ROUND(Source!AS186,O203)</f>
        <v>47343</v>
      </c>
      <c r="G203" s="4" t="s">
        <v>68</v>
      </c>
      <c r="H203" s="4" t="s">
        <v>69</v>
      </c>
      <c r="I203" s="4"/>
      <c r="J203" s="4"/>
      <c r="K203" s="4">
        <v>214</v>
      </c>
      <c r="L203" s="4">
        <v>16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47343</v>
      </c>
      <c r="X203" s="4">
        <v>1</v>
      </c>
      <c r="Y203" s="4">
        <v>47343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215</v>
      </c>
      <c r="F204" s="4">
        <f>ROUND(Source!AT186,O204)</f>
        <v>6605.12</v>
      </c>
      <c r="G204" s="4" t="s">
        <v>70</v>
      </c>
      <c r="H204" s="4" t="s">
        <v>71</v>
      </c>
      <c r="I204" s="4"/>
      <c r="J204" s="4"/>
      <c r="K204" s="4">
        <v>215</v>
      </c>
      <c r="L204" s="4">
        <v>17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6605.12</v>
      </c>
      <c r="X204" s="4">
        <v>1</v>
      </c>
      <c r="Y204" s="4">
        <v>6605.12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217</v>
      </c>
      <c r="F205" s="4">
        <f>ROUND(Source!AU186,O205)</f>
        <v>0</v>
      </c>
      <c r="G205" s="4" t="s">
        <v>72</v>
      </c>
      <c r="H205" s="4" t="s">
        <v>73</v>
      </c>
      <c r="I205" s="4"/>
      <c r="J205" s="4"/>
      <c r="K205" s="4">
        <v>217</v>
      </c>
      <c r="L205" s="4">
        <v>18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230</v>
      </c>
      <c r="F206" s="4">
        <f>ROUND(Source!BA186,O206)</f>
        <v>0</v>
      </c>
      <c r="G206" s="4" t="s">
        <v>74</v>
      </c>
      <c r="H206" s="4" t="s">
        <v>75</v>
      </c>
      <c r="I206" s="4"/>
      <c r="J206" s="4"/>
      <c r="K206" s="4">
        <v>230</v>
      </c>
      <c r="L206" s="4">
        <v>19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206</v>
      </c>
      <c r="F207" s="4">
        <f>ROUND(Source!T186,O207)</f>
        <v>0</v>
      </c>
      <c r="G207" s="4" t="s">
        <v>76</v>
      </c>
      <c r="H207" s="4" t="s">
        <v>77</v>
      </c>
      <c r="I207" s="4"/>
      <c r="J207" s="4"/>
      <c r="K207" s="4">
        <v>206</v>
      </c>
      <c r="L207" s="4">
        <v>20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207</v>
      </c>
      <c r="F208" s="4">
        <f>Source!U186</f>
        <v>11.573051999999999</v>
      </c>
      <c r="G208" s="4" t="s">
        <v>78</v>
      </c>
      <c r="H208" s="4" t="s">
        <v>79</v>
      </c>
      <c r="I208" s="4"/>
      <c r="J208" s="4"/>
      <c r="K208" s="4">
        <v>207</v>
      </c>
      <c r="L208" s="4">
        <v>21</v>
      </c>
      <c r="M208" s="4">
        <v>3</v>
      </c>
      <c r="N208" s="4" t="s">
        <v>3</v>
      </c>
      <c r="O208" s="4">
        <v>-1</v>
      </c>
      <c r="P208" s="4"/>
      <c r="Q208" s="4"/>
      <c r="R208" s="4"/>
      <c r="S208" s="4"/>
      <c r="T208" s="4"/>
      <c r="U208" s="4"/>
      <c r="V208" s="4"/>
      <c r="W208" s="4">
        <v>11.573051999999999</v>
      </c>
      <c r="X208" s="4">
        <v>1</v>
      </c>
      <c r="Y208" s="4">
        <v>11.573051999999999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208</v>
      </c>
      <c r="F209" s="4">
        <f>Source!V186</f>
        <v>1.9194284000000001</v>
      </c>
      <c r="G209" s="4" t="s">
        <v>80</v>
      </c>
      <c r="H209" s="4" t="s">
        <v>81</v>
      </c>
      <c r="I209" s="4"/>
      <c r="J209" s="4"/>
      <c r="K209" s="4">
        <v>208</v>
      </c>
      <c r="L209" s="4">
        <v>22</v>
      </c>
      <c r="M209" s="4">
        <v>3</v>
      </c>
      <c r="N209" s="4" t="s">
        <v>3</v>
      </c>
      <c r="O209" s="4">
        <v>-1</v>
      </c>
      <c r="P209" s="4"/>
      <c r="Q209" s="4"/>
      <c r="R209" s="4"/>
      <c r="S209" s="4"/>
      <c r="T209" s="4"/>
      <c r="U209" s="4"/>
      <c r="V209" s="4"/>
      <c r="W209" s="4">
        <v>1.9194284000000001</v>
      </c>
      <c r="X209" s="4">
        <v>1</v>
      </c>
      <c r="Y209" s="4">
        <v>1.9194284000000001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209</v>
      </c>
      <c r="F210" s="4">
        <f>ROUND(Source!W186,O210)</f>
        <v>0</v>
      </c>
      <c r="G210" s="4" t="s">
        <v>82</v>
      </c>
      <c r="H210" s="4" t="s">
        <v>83</v>
      </c>
      <c r="I210" s="4"/>
      <c r="J210" s="4"/>
      <c r="K210" s="4">
        <v>209</v>
      </c>
      <c r="L210" s="4">
        <v>23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233</v>
      </c>
      <c r="F211" s="4">
        <f>ROUND(Source!BD186,O211)</f>
        <v>0</v>
      </c>
      <c r="G211" s="4" t="s">
        <v>84</v>
      </c>
      <c r="H211" s="4" t="s">
        <v>85</v>
      </c>
      <c r="I211" s="4"/>
      <c r="J211" s="4"/>
      <c r="K211" s="4">
        <v>233</v>
      </c>
      <c r="L211" s="4">
        <v>24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0</v>
      </c>
      <c r="F212" s="4">
        <f>ROUND(Source!X186,O212)</f>
        <v>4506.2299999999996</v>
      </c>
      <c r="G212" s="4" t="s">
        <v>86</v>
      </c>
      <c r="H212" s="4" t="s">
        <v>87</v>
      </c>
      <c r="I212" s="4"/>
      <c r="J212" s="4"/>
      <c r="K212" s="4">
        <v>210</v>
      </c>
      <c r="L212" s="4">
        <v>25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4506.2299999999996</v>
      </c>
      <c r="X212" s="4">
        <v>1</v>
      </c>
      <c r="Y212" s="4">
        <v>4506.2299999999996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0</v>
      </c>
      <c r="F213" s="4">
        <f>ROUND(Source!Y186,O213)</f>
        <v>2591.5300000000002</v>
      </c>
      <c r="G213" s="4" t="s">
        <v>88</v>
      </c>
      <c r="H213" s="4" t="s">
        <v>89</v>
      </c>
      <c r="I213" s="4"/>
      <c r="J213" s="4"/>
      <c r="K213" s="4">
        <v>211</v>
      </c>
      <c r="L213" s="4">
        <v>26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2591.5300000000002</v>
      </c>
      <c r="X213" s="4">
        <v>1</v>
      </c>
      <c r="Y213" s="4">
        <v>2591.5300000000002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224</v>
      </c>
      <c r="F214" s="4">
        <f>ROUND(Source!AR186,O214)</f>
        <v>53948.12</v>
      </c>
      <c r="G214" s="4" t="s">
        <v>90</v>
      </c>
      <c r="H214" s="4" t="s">
        <v>91</v>
      </c>
      <c r="I214" s="4"/>
      <c r="J214" s="4"/>
      <c r="K214" s="4">
        <v>224</v>
      </c>
      <c r="L214" s="4">
        <v>27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53948.12</v>
      </c>
      <c r="X214" s="4">
        <v>1</v>
      </c>
      <c r="Y214" s="4">
        <v>53948.12</v>
      </c>
      <c r="Z214" s="4"/>
      <c r="AA214" s="4"/>
      <c r="AB214" s="4"/>
    </row>
    <row r="215" spans="1:28" x14ac:dyDescent="0.2">
      <c r="A215" s="4">
        <v>50</v>
      </c>
      <c r="B215" s="4">
        <v>1</v>
      </c>
      <c r="C215" s="4">
        <v>0</v>
      </c>
      <c r="D215" s="4">
        <v>2</v>
      </c>
      <c r="E215" s="4">
        <v>205</v>
      </c>
      <c r="F215" s="4">
        <f>ROUND(F201,O215)</f>
        <v>3724.48</v>
      </c>
      <c r="G215" s="4" t="s">
        <v>92</v>
      </c>
      <c r="H215" s="4" t="s">
        <v>64</v>
      </c>
      <c r="I215" s="4"/>
      <c r="J215" s="4"/>
      <c r="K215" s="4">
        <v>212</v>
      </c>
      <c r="L215" s="4">
        <v>28</v>
      </c>
      <c r="M215" s="4">
        <v>0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3724.48</v>
      </c>
      <c r="X215" s="4">
        <v>1</v>
      </c>
      <c r="Y215" s="4">
        <v>3724.48</v>
      </c>
      <c r="Z215" s="4"/>
      <c r="AA215" s="4"/>
      <c r="AB215" s="4"/>
    </row>
    <row r="216" spans="1:28" x14ac:dyDescent="0.2">
      <c r="A216" s="4">
        <v>50</v>
      </c>
      <c r="B216" s="4">
        <v>1</v>
      </c>
      <c r="C216" s="4">
        <v>0</v>
      </c>
      <c r="D216" s="4">
        <v>2</v>
      </c>
      <c r="E216" s="4">
        <v>203</v>
      </c>
      <c r="F216" s="4">
        <f>ROUND(F198,O216)</f>
        <v>3456.76</v>
      </c>
      <c r="G216" s="4" t="s">
        <v>93</v>
      </c>
      <c r="H216" s="4" t="s">
        <v>94</v>
      </c>
      <c r="I216" s="4"/>
      <c r="J216" s="4"/>
      <c r="K216" s="4">
        <v>212</v>
      </c>
      <c r="L216" s="4">
        <v>29</v>
      </c>
      <c r="M216" s="4">
        <v>0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3456.76</v>
      </c>
      <c r="X216" s="4">
        <v>1</v>
      </c>
      <c r="Y216" s="4">
        <v>3456.76</v>
      </c>
      <c r="Z216" s="4"/>
      <c r="AA216" s="4"/>
      <c r="AB216" s="4"/>
    </row>
    <row r="217" spans="1:28" x14ac:dyDescent="0.2">
      <c r="A217" s="4">
        <v>50</v>
      </c>
      <c r="B217" s="4">
        <v>1</v>
      </c>
      <c r="C217" s="4">
        <v>0</v>
      </c>
      <c r="D217" s="4">
        <v>2</v>
      </c>
      <c r="E217" s="4">
        <v>204</v>
      </c>
      <c r="F217" s="4">
        <f>ROUND(F200,O217)</f>
        <v>685.89</v>
      </c>
      <c r="G217" s="4" t="s">
        <v>95</v>
      </c>
      <c r="H217" s="4" t="s">
        <v>96</v>
      </c>
      <c r="I217" s="4"/>
      <c r="J217" s="4"/>
      <c r="K217" s="4">
        <v>212</v>
      </c>
      <c r="L217" s="4">
        <v>30</v>
      </c>
      <c r="M217" s="4">
        <v>0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685.89</v>
      </c>
      <c r="X217" s="4">
        <v>1</v>
      </c>
      <c r="Y217" s="4">
        <v>685.89</v>
      </c>
      <c r="Z217" s="4"/>
      <c r="AA217" s="4"/>
      <c r="AB217" s="4"/>
    </row>
    <row r="218" spans="1:28" x14ac:dyDescent="0.2">
      <c r="A218" s="4">
        <v>50</v>
      </c>
      <c r="B218" s="4">
        <v>1</v>
      </c>
      <c r="C218" s="4">
        <v>0</v>
      </c>
      <c r="D218" s="4">
        <v>2</v>
      </c>
      <c r="E218" s="4">
        <v>202</v>
      </c>
      <c r="F218" s="4">
        <f>ROUND(F189,O218)</f>
        <v>39669.120000000003</v>
      </c>
      <c r="G218" s="4" t="s">
        <v>97</v>
      </c>
      <c r="H218" s="4" t="s">
        <v>98</v>
      </c>
      <c r="I218" s="4"/>
      <c r="J218" s="4"/>
      <c r="K218" s="4">
        <v>212</v>
      </c>
      <c r="L218" s="4">
        <v>31</v>
      </c>
      <c r="M218" s="4">
        <v>0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39669.120000000003</v>
      </c>
      <c r="X218" s="4">
        <v>1</v>
      </c>
      <c r="Y218" s="4">
        <v>39669.120000000003</v>
      </c>
      <c r="Z218" s="4"/>
      <c r="AA218" s="4"/>
      <c r="AB218" s="4"/>
    </row>
    <row r="219" spans="1:28" x14ac:dyDescent="0.2">
      <c r="A219" s="4">
        <v>50</v>
      </c>
      <c r="B219" s="4">
        <v>1</v>
      </c>
      <c r="C219" s="4">
        <v>0</v>
      </c>
      <c r="D219" s="4">
        <v>2</v>
      </c>
      <c r="E219" s="4">
        <v>210</v>
      </c>
      <c r="F219" s="4">
        <f>ROUND(F212,O219)</f>
        <v>4506.2299999999996</v>
      </c>
      <c r="G219" s="4" t="s">
        <v>99</v>
      </c>
      <c r="H219" s="4" t="s">
        <v>86</v>
      </c>
      <c r="I219" s="4"/>
      <c r="J219" s="4"/>
      <c r="K219" s="4">
        <v>212</v>
      </c>
      <c r="L219" s="4">
        <v>32</v>
      </c>
      <c r="M219" s="4">
        <v>0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4506.2299999999996</v>
      </c>
      <c r="X219" s="4">
        <v>1</v>
      </c>
      <c r="Y219" s="4">
        <v>4506.2299999999996</v>
      </c>
      <c r="Z219" s="4"/>
      <c r="AA219" s="4"/>
      <c r="AB219" s="4"/>
    </row>
    <row r="220" spans="1:28" x14ac:dyDescent="0.2">
      <c r="A220" s="4">
        <v>50</v>
      </c>
      <c r="B220" s="4">
        <v>1</v>
      </c>
      <c r="C220" s="4">
        <v>0</v>
      </c>
      <c r="D220" s="4">
        <v>2</v>
      </c>
      <c r="E220" s="4">
        <v>211</v>
      </c>
      <c r="F220" s="4">
        <f>ROUND(F213,O220)</f>
        <v>2591.5300000000002</v>
      </c>
      <c r="G220" s="4" t="s">
        <v>100</v>
      </c>
      <c r="H220" s="4" t="s">
        <v>101</v>
      </c>
      <c r="I220" s="4"/>
      <c r="J220" s="4"/>
      <c r="K220" s="4">
        <v>212</v>
      </c>
      <c r="L220" s="4">
        <v>33</v>
      </c>
      <c r="M220" s="4">
        <v>0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2591.5300000000002</v>
      </c>
      <c r="X220" s="4">
        <v>1</v>
      </c>
      <c r="Y220" s="4">
        <v>2591.5300000000002</v>
      </c>
      <c r="Z220" s="4"/>
      <c r="AA220" s="4"/>
      <c r="AB220" s="4"/>
    </row>
    <row r="221" spans="1:28" x14ac:dyDescent="0.2">
      <c r="A221" s="4">
        <v>50</v>
      </c>
      <c r="B221" s="4">
        <v>1</v>
      </c>
      <c r="C221" s="4">
        <v>0</v>
      </c>
      <c r="D221" s="4">
        <v>2</v>
      </c>
      <c r="E221" s="4">
        <v>213</v>
      </c>
      <c r="F221" s="4">
        <f>ROUND(F215+F216+F218+F219+F220,O221)</f>
        <v>53948.12</v>
      </c>
      <c r="G221" s="4" t="s">
        <v>102</v>
      </c>
      <c r="H221" s="4" t="s">
        <v>103</v>
      </c>
      <c r="I221" s="4"/>
      <c r="J221" s="4"/>
      <c r="K221" s="4">
        <v>212</v>
      </c>
      <c r="L221" s="4">
        <v>34</v>
      </c>
      <c r="M221" s="4">
        <v>0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53948.12</v>
      </c>
      <c r="X221" s="4">
        <v>1</v>
      </c>
      <c r="Y221" s="4">
        <v>53948.12</v>
      </c>
      <c r="Z221" s="4"/>
      <c r="AA221" s="4"/>
      <c r="AB221" s="4"/>
    </row>
    <row r="222" spans="1:28" x14ac:dyDescent="0.2">
      <c r="A222" s="4">
        <v>50</v>
      </c>
      <c r="B222" s="4">
        <v>1</v>
      </c>
      <c r="C222" s="4">
        <v>0</v>
      </c>
      <c r="D222" s="4">
        <v>2</v>
      </c>
      <c r="E222" s="4">
        <v>40729949</v>
      </c>
      <c r="F222" s="4">
        <f>ROUND(F221*0.2,O222)</f>
        <v>10789.62</v>
      </c>
      <c r="G222" s="4" t="s">
        <v>104</v>
      </c>
      <c r="H222" s="4" t="s">
        <v>105</v>
      </c>
      <c r="I222" s="4"/>
      <c r="J222" s="4"/>
      <c r="K222" s="4">
        <v>212</v>
      </c>
      <c r="L222" s="4">
        <v>35</v>
      </c>
      <c r="M222" s="4">
        <v>0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10789.62</v>
      </c>
      <c r="X222" s="4">
        <v>1</v>
      </c>
      <c r="Y222" s="4">
        <v>10789.62</v>
      </c>
      <c r="Z222" s="4"/>
      <c r="AA222" s="4"/>
      <c r="AB222" s="4"/>
    </row>
    <row r="223" spans="1:28" x14ac:dyDescent="0.2">
      <c r="A223" s="4">
        <v>50</v>
      </c>
      <c r="B223" s="4">
        <v>1</v>
      </c>
      <c r="C223" s="4">
        <v>0</v>
      </c>
      <c r="D223" s="4">
        <v>2</v>
      </c>
      <c r="E223" s="4">
        <v>65938917</v>
      </c>
      <c r="F223" s="4">
        <f>ROUND(F221+F222,O223)</f>
        <v>64737.74</v>
      </c>
      <c r="G223" s="4" t="s">
        <v>106</v>
      </c>
      <c r="H223" s="4" t="s">
        <v>107</v>
      </c>
      <c r="I223" s="4"/>
      <c r="J223" s="4"/>
      <c r="K223" s="4">
        <v>212</v>
      </c>
      <c r="L223" s="4">
        <v>36</v>
      </c>
      <c r="M223" s="4">
        <v>0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64737.74</v>
      </c>
      <c r="X223" s="4">
        <v>1</v>
      </c>
      <c r="Y223" s="4">
        <v>64737.74</v>
      </c>
      <c r="Z223" s="4"/>
      <c r="AA223" s="4"/>
      <c r="AB223" s="4"/>
    </row>
    <row r="225" spans="1:245" x14ac:dyDescent="0.2">
      <c r="A225" s="1">
        <v>4</v>
      </c>
      <c r="B225" s="1">
        <v>1</v>
      </c>
      <c r="C225" s="1"/>
      <c r="D225" s="1">
        <f>ROW(A235)</f>
        <v>235</v>
      </c>
      <c r="E225" s="1"/>
      <c r="F225" s="1" t="s">
        <v>12</v>
      </c>
      <c r="G225" s="1" t="s">
        <v>340</v>
      </c>
      <c r="H225" s="1" t="s">
        <v>3</v>
      </c>
      <c r="I225" s="1">
        <v>0</v>
      </c>
      <c r="J225" s="1"/>
      <c r="K225" s="1">
        <v>0</v>
      </c>
      <c r="L225" s="1"/>
      <c r="M225" s="1" t="s">
        <v>3</v>
      </c>
      <c r="N225" s="1"/>
      <c r="O225" s="1"/>
      <c r="P225" s="1"/>
      <c r="Q225" s="1"/>
      <c r="R225" s="1"/>
      <c r="S225" s="1">
        <v>0</v>
      </c>
      <c r="T225" s="1"/>
      <c r="U225" s="1" t="s">
        <v>3</v>
      </c>
      <c r="V225" s="1">
        <v>0</v>
      </c>
      <c r="W225" s="1"/>
      <c r="X225" s="1"/>
      <c r="Y225" s="1"/>
      <c r="Z225" s="1"/>
      <c r="AA225" s="1"/>
      <c r="AB225" s="1" t="s">
        <v>3</v>
      </c>
      <c r="AC225" s="1" t="s">
        <v>3</v>
      </c>
      <c r="AD225" s="1" t="s">
        <v>3</v>
      </c>
      <c r="AE225" s="1" t="s">
        <v>3</v>
      </c>
      <c r="AF225" s="1" t="s">
        <v>3</v>
      </c>
      <c r="AG225" s="1" t="s">
        <v>3</v>
      </c>
      <c r="AH225" s="1"/>
      <c r="AI225" s="1"/>
      <c r="AJ225" s="1"/>
      <c r="AK225" s="1"/>
      <c r="AL225" s="1"/>
      <c r="AM225" s="1"/>
      <c r="AN225" s="1"/>
      <c r="AO225" s="1"/>
      <c r="AP225" s="1" t="s">
        <v>3</v>
      </c>
      <c r="AQ225" s="1" t="s">
        <v>3</v>
      </c>
      <c r="AR225" s="1" t="s">
        <v>3</v>
      </c>
      <c r="AS225" s="1"/>
      <c r="AT225" s="1"/>
      <c r="AU225" s="1"/>
      <c r="AV225" s="1"/>
      <c r="AW225" s="1"/>
      <c r="AX225" s="1"/>
      <c r="AY225" s="1"/>
      <c r="AZ225" s="1" t="s">
        <v>3</v>
      </c>
      <c r="BA225" s="1"/>
      <c r="BB225" s="1" t="s">
        <v>3</v>
      </c>
      <c r="BC225" s="1" t="s">
        <v>3</v>
      </c>
      <c r="BD225" s="1" t="s">
        <v>3</v>
      </c>
      <c r="BE225" s="1" t="s">
        <v>3</v>
      </c>
      <c r="BF225" s="1" t="s">
        <v>3</v>
      </c>
      <c r="BG225" s="1" t="s">
        <v>3</v>
      </c>
      <c r="BH225" s="1" t="s">
        <v>3</v>
      </c>
      <c r="BI225" s="1" t="s">
        <v>3</v>
      </c>
      <c r="BJ225" s="1" t="s">
        <v>3</v>
      </c>
      <c r="BK225" s="1" t="s">
        <v>3</v>
      </c>
      <c r="BL225" s="1" t="s">
        <v>3</v>
      </c>
      <c r="BM225" s="1" t="s">
        <v>3</v>
      </c>
      <c r="BN225" s="1" t="s">
        <v>3</v>
      </c>
      <c r="BO225" s="1" t="s">
        <v>3</v>
      </c>
      <c r="BP225" s="1" t="s">
        <v>3</v>
      </c>
      <c r="BQ225" s="1"/>
      <c r="BR225" s="1"/>
      <c r="BS225" s="1"/>
      <c r="BT225" s="1"/>
      <c r="BU225" s="1"/>
      <c r="BV225" s="1"/>
      <c r="BW225" s="1"/>
      <c r="BX225" s="1">
        <v>0</v>
      </c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>
        <v>0</v>
      </c>
    </row>
    <row r="227" spans="1:245" x14ac:dyDescent="0.2">
      <c r="A227" s="2">
        <v>52</v>
      </c>
      <c r="B227" s="2">
        <f t="shared" ref="B227:G227" si="162">B235</f>
        <v>1</v>
      </c>
      <c r="C227" s="2">
        <f t="shared" si="162"/>
        <v>4</v>
      </c>
      <c r="D227" s="2">
        <f t="shared" si="162"/>
        <v>225</v>
      </c>
      <c r="E227" s="2">
        <f t="shared" si="162"/>
        <v>0</v>
      </c>
      <c r="F227" s="2" t="str">
        <f t="shared" si="162"/>
        <v>Новый раздел</v>
      </c>
      <c r="G227" s="2" t="str">
        <f t="shared" si="162"/>
        <v>Подвеска провода</v>
      </c>
      <c r="H227" s="2"/>
      <c r="I227" s="2"/>
      <c r="J227" s="2"/>
      <c r="K227" s="2"/>
      <c r="L227" s="2"/>
      <c r="M227" s="2"/>
      <c r="N227" s="2"/>
      <c r="O227" s="2">
        <f t="shared" ref="O227:AT227" si="163">O235</f>
        <v>1738.55</v>
      </c>
      <c r="P227" s="2">
        <f t="shared" si="163"/>
        <v>370.69</v>
      </c>
      <c r="Q227" s="2">
        <f t="shared" si="163"/>
        <v>723.6</v>
      </c>
      <c r="R227" s="2">
        <f t="shared" si="163"/>
        <v>229.19</v>
      </c>
      <c r="S227" s="2">
        <f t="shared" si="163"/>
        <v>644.26</v>
      </c>
      <c r="T227" s="2">
        <f t="shared" si="163"/>
        <v>0</v>
      </c>
      <c r="U227" s="2">
        <f t="shared" si="163"/>
        <v>2.1044199999999997</v>
      </c>
      <c r="V227" s="2">
        <f t="shared" si="163"/>
        <v>0.61016999999999988</v>
      </c>
      <c r="W227" s="2">
        <f t="shared" si="163"/>
        <v>0</v>
      </c>
      <c r="X227" s="2">
        <f t="shared" si="163"/>
        <v>899.65</v>
      </c>
      <c r="Y227" s="2">
        <f t="shared" si="163"/>
        <v>524.07000000000005</v>
      </c>
      <c r="Z227" s="2">
        <f t="shared" si="163"/>
        <v>0</v>
      </c>
      <c r="AA227" s="2">
        <f t="shared" si="163"/>
        <v>0</v>
      </c>
      <c r="AB227" s="2">
        <f t="shared" si="163"/>
        <v>1738.55</v>
      </c>
      <c r="AC227" s="2">
        <f t="shared" si="163"/>
        <v>370.69</v>
      </c>
      <c r="AD227" s="2">
        <f t="shared" si="163"/>
        <v>723.6</v>
      </c>
      <c r="AE227" s="2">
        <f t="shared" si="163"/>
        <v>229.19</v>
      </c>
      <c r="AF227" s="2">
        <f t="shared" si="163"/>
        <v>644.26</v>
      </c>
      <c r="AG227" s="2">
        <f t="shared" si="163"/>
        <v>0</v>
      </c>
      <c r="AH227" s="2">
        <f t="shared" si="163"/>
        <v>2.1044199999999997</v>
      </c>
      <c r="AI227" s="2">
        <f t="shared" si="163"/>
        <v>0.61016999999999988</v>
      </c>
      <c r="AJ227" s="2">
        <f t="shared" si="163"/>
        <v>0</v>
      </c>
      <c r="AK227" s="2">
        <f t="shared" si="163"/>
        <v>899.65</v>
      </c>
      <c r="AL227" s="2">
        <f t="shared" si="163"/>
        <v>524.07000000000005</v>
      </c>
      <c r="AM227" s="2">
        <f t="shared" si="163"/>
        <v>0</v>
      </c>
      <c r="AN227" s="2">
        <f t="shared" si="163"/>
        <v>0</v>
      </c>
      <c r="AO227" s="2">
        <f t="shared" si="163"/>
        <v>0</v>
      </c>
      <c r="AP227" s="2">
        <f t="shared" si="163"/>
        <v>0</v>
      </c>
      <c r="AQ227" s="2">
        <f t="shared" si="163"/>
        <v>0</v>
      </c>
      <c r="AR227" s="2">
        <f t="shared" si="163"/>
        <v>3162.27</v>
      </c>
      <c r="AS227" s="2">
        <f t="shared" si="163"/>
        <v>2940.48</v>
      </c>
      <c r="AT227" s="2">
        <f t="shared" si="163"/>
        <v>221.79</v>
      </c>
      <c r="AU227" s="2">
        <f t="shared" ref="AU227:BZ227" si="164">AU235</f>
        <v>0</v>
      </c>
      <c r="AV227" s="2">
        <f t="shared" si="164"/>
        <v>370.69</v>
      </c>
      <c r="AW227" s="2">
        <f t="shared" si="164"/>
        <v>370.69</v>
      </c>
      <c r="AX227" s="2">
        <f t="shared" si="164"/>
        <v>0</v>
      </c>
      <c r="AY227" s="2">
        <f t="shared" si="164"/>
        <v>370.69</v>
      </c>
      <c r="AZ227" s="2">
        <f t="shared" si="164"/>
        <v>0</v>
      </c>
      <c r="BA227" s="2">
        <f t="shared" si="164"/>
        <v>0</v>
      </c>
      <c r="BB227" s="2">
        <f t="shared" si="164"/>
        <v>0</v>
      </c>
      <c r="BC227" s="2">
        <f t="shared" si="164"/>
        <v>0</v>
      </c>
      <c r="BD227" s="2">
        <f t="shared" si="164"/>
        <v>0</v>
      </c>
      <c r="BE227" s="2">
        <f t="shared" si="164"/>
        <v>0</v>
      </c>
      <c r="BF227" s="2">
        <f t="shared" si="164"/>
        <v>0</v>
      </c>
      <c r="BG227" s="2">
        <f t="shared" si="164"/>
        <v>0</v>
      </c>
      <c r="BH227" s="2">
        <f t="shared" si="164"/>
        <v>0</v>
      </c>
      <c r="BI227" s="2">
        <f t="shared" si="164"/>
        <v>0</v>
      </c>
      <c r="BJ227" s="2">
        <f t="shared" si="164"/>
        <v>0</v>
      </c>
      <c r="BK227" s="2">
        <f t="shared" si="164"/>
        <v>0</v>
      </c>
      <c r="BL227" s="2">
        <f t="shared" si="164"/>
        <v>0</v>
      </c>
      <c r="BM227" s="2">
        <f t="shared" si="164"/>
        <v>0</v>
      </c>
      <c r="BN227" s="2">
        <f t="shared" si="164"/>
        <v>0</v>
      </c>
      <c r="BO227" s="2">
        <f t="shared" si="164"/>
        <v>0</v>
      </c>
      <c r="BP227" s="2">
        <f t="shared" si="164"/>
        <v>0</v>
      </c>
      <c r="BQ227" s="2">
        <f t="shared" si="164"/>
        <v>0</v>
      </c>
      <c r="BR227" s="2">
        <f t="shared" si="164"/>
        <v>0</v>
      </c>
      <c r="BS227" s="2">
        <f t="shared" si="164"/>
        <v>0</v>
      </c>
      <c r="BT227" s="2">
        <f t="shared" si="164"/>
        <v>0</v>
      </c>
      <c r="BU227" s="2">
        <f t="shared" si="164"/>
        <v>0</v>
      </c>
      <c r="BV227" s="2">
        <f t="shared" si="164"/>
        <v>0</v>
      </c>
      <c r="BW227" s="2">
        <f t="shared" si="164"/>
        <v>0</v>
      </c>
      <c r="BX227" s="2">
        <f t="shared" si="164"/>
        <v>0</v>
      </c>
      <c r="BY227" s="2">
        <f t="shared" si="164"/>
        <v>0</v>
      </c>
      <c r="BZ227" s="2">
        <f t="shared" si="164"/>
        <v>0</v>
      </c>
      <c r="CA227" s="2">
        <f t="shared" ref="CA227:DF227" si="165">CA235</f>
        <v>3162.27</v>
      </c>
      <c r="CB227" s="2">
        <f t="shared" si="165"/>
        <v>2940.48</v>
      </c>
      <c r="CC227" s="2">
        <f t="shared" si="165"/>
        <v>221.79</v>
      </c>
      <c r="CD227" s="2">
        <f t="shared" si="165"/>
        <v>0</v>
      </c>
      <c r="CE227" s="2">
        <f t="shared" si="165"/>
        <v>370.69</v>
      </c>
      <c r="CF227" s="2">
        <f t="shared" si="165"/>
        <v>370.69</v>
      </c>
      <c r="CG227" s="2">
        <f t="shared" si="165"/>
        <v>0</v>
      </c>
      <c r="CH227" s="2">
        <f t="shared" si="165"/>
        <v>370.69</v>
      </c>
      <c r="CI227" s="2">
        <f t="shared" si="165"/>
        <v>0</v>
      </c>
      <c r="CJ227" s="2">
        <f t="shared" si="165"/>
        <v>0</v>
      </c>
      <c r="CK227" s="2">
        <f t="shared" si="165"/>
        <v>0</v>
      </c>
      <c r="CL227" s="2">
        <f t="shared" si="165"/>
        <v>0</v>
      </c>
      <c r="CM227" s="2">
        <f t="shared" si="165"/>
        <v>0</v>
      </c>
      <c r="CN227" s="2">
        <f t="shared" si="165"/>
        <v>0</v>
      </c>
      <c r="CO227" s="2">
        <f t="shared" si="165"/>
        <v>0</v>
      </c>
      <c r="CP227" s="2">
        <f t="shared" si="165"/>
        <v>0</v>
      </c>
      <c r="CQ227" s="2">
        <f t="shared" si="165"/>
        <v>0</v>
      </c>
      <c r="CR227" s="2">
        <f t="shared" si="165"/>
        <v>0</v>
      </c>
      <c r="CS227" s="2">
        <f t="shared" si="165"/>
        <v>0</v>
      </c>
      <c r="CT227" s="2">
        <f t="shared" si="165"/>
        <v>0</v>
      </c>
      <c r="CU227" s="2">
        <f t="shared" si="165"/>
        <v>0</v>
      </c>
      <c r="CV227" s="2">
        <f t="shared" si="165"/>
        <v>0</v>
      </c>
      <c r="CW227" s="2">
        <f t="shared" si="165"/>
        <v>0</v>
      </c>
      <c r="CX227" s="2">
        <f t="shared" si="165"/>
        <v>0</v>
      </c>
      <c r="CY227" s="2">
        <f t="shared" si="165"/>
        <v>0</v>
      </c>
      <c r="CZ227" s="2">
        <f t="shared" si="165"/>
        <v>0</v>
      </c>
      <c r="DA227" s="2">
        <f t="shared" si="165"/>
        <v>0</v>
      </c>
      <c r="DB227" s="2">
        <f t="shared" si="165"/>
        <v>0</v>
      </c>
      <c r="DC227" s="2">
        <f t="shared" si="165"/>
        <v>0</v>
      </c>
      <c r="DD227" s="2">
        <f t="shared" si="165"/>
        <v>0</v>
      </c>
      <c r="DE227" s="2">
        <f t="shared" si="165"/>
        <v>0</v>
      </c>
      <c r="DF227" s="2">
        <f t="shared" si="165"/>
        <v>0</v>
      </c>
      <c r="DG227" s="3">
        <f t="shared" ref="DG227:EL227" si="166">DG235</f>
        <v>0</v>
      </c>
      <c r="DH227" s="3">
        <f t="shared" si="166"/>
        <v>0</v>
      </c>
      <c r="DI227" s="3">
        <f t="shared" si="166"/>
        <v>0</v>
      </c>
      <c r="DJ227" s="3">
        <f t="shared" si="166"/>
        <v>0</v>
      </c>
      <c r="DK227" s="3">
        <f t="shared" si="166"/>
        <v>0</v>
      </c>
      <c r="DL227" s="3">
        <f t="shared" si="166"/>
        <v>0</v>
      </c>
      <c r="DM227" s="3">
        <f t="shared" si="166"/>
        <v>0</v>
      </c>
      <c r="DN227" s="3">
        <f t="shared" si="166"/>
        <v>0</v>
      </c>
      <c r="DO227" s="3">
        <f t="shared" si="166"/>
        <v>0</v>
      </c>
      <c r="DP227" s="3">
        <f t="shared" si="166"/>
        <v>0</v>
      </c>
      <c r="DQ227" s="3">
        <f t="shared" si="166"/>
        <v>0</v>
      </c>
      <c r="DR227" s="3">
        <f t="shared" si="166"/>
        <v>0</v>
      </c>
      <c r="DS227" s="3">
        <f t="shared" si="166"/>
        <v>0</v>
      </c>
      <c r="DT227" s="3">
        <f t="shared" si="166"/>
        <v>0</v>
      </c>
      <c r="DU227" s="3">
        <f t="shared" si="166"/>
        <v>0</v>
      </c>
      <c r="DV227" s="3">
        <f t="shared" si="166"/>
        <v>0</v>
      </c>
      <c r="DW227" s="3">
        <f t="shared" si="166"/>
        <v>0</v>
      </c>
      <c r="DX227" s="3">
        <f t="shared" si="166"/>
        <v>0</v>
      </c>
      <c r="DY227" s="3">
        <f t="shared" si="166"/>
        <v>0</v>
      </c>
      <c r="DZ227" s="3">
        <f t="shared" si="166"/>
        <v>0</v>
      </c>
      <c r="EA227" s="3">
        <f t="shared" si="166"/>
        <v>0</v>
      </c>
      <c r="EB227" s="3">
        <f t="shared" si="166"/>
        <v>0</v>
      </c>
      <c r="EC227" s="3">
        <f t="shared" si="166"/>
        <v>0</v>
      </c>
      <c r="ED227" s="3">
        <f t="shared" si="166"/>
        <v>0</v>
      </c>
      <c r="EE227" s="3">
        <f t="shared" si="166"/>
        <v>0</v>
      </c>
      <c r="EF227" s="3">
        <f t="shared" si="166"/>
        <v>0</v>
      </c>
      <c r="EG227" s="3">
        <f t="shared" si="166"/>
        <v>0</v>
      </c>
      <c r="EH227" s="3">
        <f t="shared" si="166"/>
        <v>0</v>
      </c>
      <c r="EI227" s="3">
        <f t="shared" si="166"/>
        <v>0</v>
      </c>
      <c r="EJ227" s="3">
        <f t="shared" si="166"/>
        <v>0</v>
      </c>
      <c r="EK227" s="3">
        <f t="shared" si="166"/>
        <v>0</v>
      </c>
      <c r="EL227" s="3">
        <f t="shared" si="166"/>
        <v>0</v>
      </c>
      <c r="EM227" s="3">
        <f t="shared" ref="EM227:FR227" si="167">EM235</f>
        <v>0</v>
      </c>
      <c r="EN227" s="3">
        <f t="shared" si="167"/>
        <v>0</v>
      </c>
      <c r="EO227" s="3">
        <f t="shared" si="167"/>
        <v>0</v>
      </c>
      <c r="EP227" s="3">
        <f t="shared" si="167"/>
        <v>0</v>
      </c>
      <c r="EQ227" s="3">
        <f t="shared" si="167"/>
        <v>0</v>
      </c>
      <c r="ER227" s="3">
        <f t="shared" si="167"/>
        <v>0</v>
      </c>
      <c r="ES227" s="3">
        <f t="shared" si="167"/>
        <v>0</v>
      </c>
      <c r="ET227" s="3">
        <f t="shared" si="167"/>
        <v>0</v>
      </c>
      <c r="EU227" s="3">
        <f t="shared" si="167"/>
        <v>0</v>
      </c>
      <c r="EV227" s="3">
        <f t="shared" si="167"/>
        <v>0</v>
      </c>
      <c r="EW227" s="3">
        <f t="shared" si="167"/>
        <v>0</v>
      </c>
      <c r="EX227" s="3">
        <f t="shared" si="167"/>
        <v>0</v>
      </c>
      <c r="EY227" s="3">
        <f t="shared" si="167"/>
        <v>0</v>
      </c>
      <c r="EZ227" s="3">
        <f t="shared" si="167"/>
        <v>0</v>
      </c>
      <c r="FA227" s="3">
        <f t="shared" si="167"/>
        <v>0</v>
      </c>
      <c r="FB227" s="3">
        <f t="shared" si="167"/>
        <v>0</v>
      </c>
      <c r="FC227" s="3">
        <f t="shared" si="167"/>
        <v>0</v>
      </c>
      <c r="FD227" s="3">
        <f t="shared" si="167"/>
        <v>0</v>
      </c>
      <c r="FE227" s="3">
        <f t="shared" si="167"/>
        <v>0</v>
      </c>
      <c r="FF227" s="3">
        <f t="shared" si="167"/>
        <v>0</v>
      </c>
      <c r="FG227" s="3">
        <f t="shared" si="167"/>
        <v>0</v>
      </c>
      <c r="FH227" s="3">
        <f t="shared" si="167"/>
        <v>0</v>
      </c>
      <c r="FI227" s="3">
        <f t="shared" si="167"/>
        <v>0</v>
      </c>
      <c r="FJ227" s="3">
        <f t="shared" si="167"/>
        <v>0</v>
      </c>
      <c r="FK227" s="3">
        <f t="shared" si="167"/>
        <v>0</v>
      </c>
      <c r="FL227" s="3">
        <f t="shared" si="167"/>
        <v>0</v>
      </c>
      <c r="FM227" s="3">
        <f t="shared" si="167"/>
        <v>0</v>
      </c>
      <c r="FN227" s="3">
        <f t="shared" si="167"/>
        <v>0</v>
      </c>
      <c r="FO227" s="3">
        <f t="shared" si="167"/>
        <v>0</v>
      </c>
      <c r="FP227" s="3">
        <f t="shared" si="167"/>
        <v>0</v>
      </c>
      <c r="FQ227" s="3">
        <f t="shared" si="167"/>
        <v>0</v>
      </c>
      <c r="FR227" s="3">
        <f t="shared" si="167"/>
        <v>0</v>
      </c>
      <c r="FS227" s="3">
        <f t="shared" ref="FS227:GX227" si="168">FS235</f>
        <v>0</v>
      </c>
      <c r="FT227" s="3">
        <f t="shared" si="168"/>
        <v>0</v>
      </c>
      <c r="FU227" s="3">
        <f t="shared" si="168"/>
        <v>0</v>
      </c>
      <c r="FV227" s="3">
        <f t="shared" si="168"/>
        <v>0</v>
      </c>
      <c r="FW227" s="3">
        <f t="shared" si="168"/>
        <v>0</v>
      </c>
      <c r="FX227" s="3">
        <f t="shared" si="168"/>
        <v>0</v>
      </c>
      <c r="FY227" s="3">
        <f t="shared" si="168"/>
        <v>0</v>
      </c>
      <c r="FZ227" s="3">
        <f t="shared" si="168"/>
        <v>0</v>
      </c>
      <c r="GA227" s="3">
        <f t="shared" si="168"/>
        <v>0</v>
      </c>
      <c r="GB227" s="3">
        <f t="shared" si="168"/>
        <v>0</v>
      </c>
      <c r="GC227" s="3">
        <f t="shared" si="168"/>
        <v>0</v>
      </c>
      <c r="GD227" s="3">
        <f t="shared" si="168"/>
        <v>0</v>
      </c>
      <c r="GE227" s="3">
        <f t="shared" si="168"/>
        <v>0</v>
      </c>
      <c r="GF227" s="3">
        <f t="shared" si="168"/>
        <v>0</v>
      </c>
      <c r="GG227" s="3">
        <f t="shared" si="168"/>
        <v>0</v>
      </c>
      <c r="GH227" s="3">
        <f t="shared" si="168"/>
        <v>0</v>
      </c>
      <c r="GI227" s="3">
        <f t="shared" si="168"/>
        <v>0</v>
      </c>
      <c r="GJ227" s="3">
        <f t="shared" si="168"/>
        <v>0</v>
      </c>
      <c r="GK227" s="3">
        <f t="shared" si="168"/>
        <v>0</v>
      </c>
      <c r="GL227" s="3">
        <f t="shared" si="168"/>
        <v>0</v>
      </c>
      <c r="GM227" s="3">
        <f t="shared" si="168"/>
        <v>0</v>
      </c>
      <c r="GN227" s="3">
        <f t="shared" si="168"/>
        <v>0</v>
      </c>
      <c r="GO227" s="3">
        <f t="shared" si="168"/>
        <v>0</v>
      </c>
      <c r="GP227" s="3">
        <f t="shared" si="168"/>
        <v>0</v>
      </c>
      <c r="GQ227" s="3">
        <f t="shared" si="168"/>
        <v>0</v>
      </c>
      <c r="GR227" s="3">
        <f t="shared" si="168"/>
        <v>0</v>
      </c>
      <c r="GS227" s="3">
        <f t="shared" si="168"/>
        <v>0</v>
      </c>
      <c r="GT227" s="3">
        <f t="shared" si="168"/>
        <v>0</v>
      </c>
      <c r="GU227" s="3">
        <f t="shared" si="168"/>
        <v>0</v>
      </c>
      <c r="GV227" s="3">
        <f t="shared" si="168"/>
        <v>0</v>
      </c>
      <c r="GW227" s="3">
        <f t="shared" si="168"/>
        <v>0</v>
      </c>
      <c r="GX227" s="3">
        <f t="shared" si="168"/>
        <v>0</v>
      </c>
    </row>
    <row r="229" spans="1:245" x14ac:dyDescent="0.2">
      <c r="A229">
        <v>17</v>
      </c>
      <c r="B229">
        <v>1</v>
      </c>
      <c r="C229">
        <f>ROW(SmtRes!A140)</f>
        <v>140</v>
      </c>
      <c r="D229">
        <f>ROW(EtalonRes!A140)</f>
        <v>140</v>
      </c>
      <c r="E229" t="s">
        <v>341</v>
      </c>
      <c r="F229" t="s">
        <v>342</v>
      </c>
      <c r="G229" t="s">
        <v>343</v>
      </c>
      <c r="H229" t="s">
        <v>344</v>
      </c>
      <c r="I229">
        <f>ROUND(43/1000,9)</f>
        <v>4.2999999999999997E-2</v>
      </c>
      <c r="J229">
        <v>0</v>
      </c>
      <c r="K229">
        <f>ROUND(43/1000,9)</f>
        <v>4.2999999999999997E-2</v>
      </c>
      <c r="O229">
        <f>ROUND(CP229,2)</f>
        <v>1516.76</v>
      </c>
      <c r="P229">
        <f>ROUND(CQ229*I229,2)</f>
        <v>148.9</v>
      </c>
      <c r="Q229">
        <f>ROUND(CR229*I229,2)</f>
        <v>723.6</v>
      </c>
      <c r="R229">
        <f>ROUND(CS229*I229,2)</f>
        <v>229.19</v>
      </c>
      <c r="S229">
        <f>ROUND(CT229*I229,2)</f>
        <v>644.26</v>
      </c>
      <c r="T229">
        <f>ROUND(CU229*I229,2)</f>
        <v>0</v>
      </c>
      <c r="U229">
        <f>CV229*I229</f>
        <v>2.1044199999999997</v>
      </c>
      <c r="V229">
        <f>CW229*I229</f>
        <v>0.61016999999999988</v>
      </c>
      <c r="W229">
        <f>ROUND(CX229*I229,2)</f>
        <v>0</v>
      </c>
      <c r="X229">
        <f t="shared" ref="X229:Y233" si="169">ROUND(CY229,2)</f>
        <v>899.65</v>
      </c>
      <c r="Y229">
        <f t="shared" si="169"/>
        <v>524.07000000000005</v>
      </c>
      <c r="AA229">
        <v>84185495</v>
      </c>
      <c r="AB229">
        <f>ROUND((AC229+AD229+AF229),2)</f>
        <v>2096.8200000000002</v>
      </c>
      <c r="AC229">
        <f>ROUND((ES229),2)</f>
        <v>333.28</v>
      </c>
      <c r="AD229">
        <f>ROUND((((ET229)-(EU229))+AE229),2)</f>
        <v>1338.74</v>
      </c>
      <c r="AE229">
        <f t="shared" ref="AE229:AF233" si="170">ROUND((EU229),2)</f>
        <v>151.12</v>
      </c>
      <c r="AF229">
        <f t="shared" si="170"/>
        <v>424.8</v>
      </c>
      <c r="AG229">
        <f>ROUND((AP229),2)</f>
        <v>0</v>
      </c>
      <c r="AH229">
        <f t="shared" ref="AH229:AI233" si="171">(EW229)</f>
        <v>48.94</v>
      </c>
      <c r="AI229">
        <f t="shared" si="171"/>
        <v>14.19</v>
      </c>
      <c r="AJ229">
        <f>(AS229)</f>
        <v>0</v>
      </c>
      <c r="AK229">
        <v>2096.8200000000002</v>
      </c>
      <c r="AL229">
        <v>333.28</v>
      </c>
      <c r="AM229">
        <v>1338.74</v>
      </c>
      <c r="AN229">
        <v>151.12</v>
      </c>
      <c r="AO229">
        <v>424.8</v>
      </c>
      <c r="AP229">
        <v>0</v>
      </c>
      <c r="AQ229">
        <v>48.94</v>
      </c>
      <c r="AR229">
        <v>14.19</v>
      </c>
      <c r="AS229">
        <v>0</v>
      </c>
      <c r="AT229">
        <v>103</v>
      </c>
      <c r="AU229">
        <v>60</v>
      </c>
      <c r="AV229">
        <v>1</v>
      </c>
      <c r="AW229">
        <v>1</v>
      </c>
      <c r="AZ229">
        <v>1</v>
      </c>
      <c r="BA229">
        <v>35.270000000000003</v>
      </c>
      <c r="BB229">
        <v>12.57</v>
      </c>
      <c r="BC229">
        <v>10.39</v>
      </c>
      <c r="BD229" t="s">
        <v>3</v>
      </c>
      <c r="BE229" t="s">
        <v>3</v>
      </c>
      <c r="BF229" t="s">
        <v>3</v>
      </c>
      <c r="BG229" t="s">
        <v>3</v>
      </c>
      <c r="BH229">
        <v>0</v>
      </c>
      <c r="BI229">
        <v>1</v>
      </c>
      <c r="BJ229" t="s">
        <v>345</v>
      </c>
      <c r="BM229">
        <v>33001</v>
      </c>
      <c r="BN229">
        <v>0</v>
      </c>
      <c r="BO229" t="s">
        <v>342</v>
      </c>
      <c r="BP229">
        <v>1</v>
      </c>
      <c r="BQ229">
        <v>2</v>
      </c>
      <c r="BR229">
        <v>0</v>
      </c>
      <c r="BS229">
        <v>35.270000000000003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3</v>
      </c>
      <c r="BZ229">
        <v>103</v>
      </c>
      <c r="CA229">
        <v>60</v>
      </c>
      <c r="CB229" t="s">
        <v>3</v>
      </c>
      <c r="CE229">
        <v>0</v>
      </c>
      <c r="CF229">
        <v>0</v>
      </c>
      <c r="CG229">
        <v>0</v>
      </c>
      <c r="CM229">
        <v>0</v>
      </c>
      <c r="CN229" t="s">
        <v>3</v>
      </c>
      <c r="CO229">
        <v>0</v>
      </c>
      <c r="CP229">
        <f>(P229+Q229+S229)</f>
        <v>1516.76</v>
      </c>
      <c r="CQ229">
        <f>AC229*BC229</f>
        <v>3462.7791999999999</v>
      </c>
      <c r="CR229">
        <f>(((ET229)*BB229-(EU229)*BS229)+AE229*BS229)</f>
        <v>16827.961800000001</v>
      </c>
      <c r="CS229">
        <f>AE229*BS229</f>
        <v>5330.0024000000003</v>
      </c>
      <c r="CT229">
        <f>AF229*BA229</f>
        <v>14982.696000000002</v>
      </c>
      <c r="CU229">
        <f t="shared" ref="CU229:CX233" si="172">AG229</f>
        <v>0</v>
      </c>
      <c r="CV229">
        <f t="shared" si="172"/>
        <v>48.94</v>
      </c>
      <c r="CW229">
        <f t="shared" si="172"/>
        <v>14.19</v>
      </c>
      <c r="CX229">
        <f t="shared" si="172"/>
        <v>0</v>
      </c>
      <c r="CY229">
        <f>(((S229+R229)*AT229)/100)</f>
        <v>899.65350000000001</v>
      </c>
      <c r="CZ229">
        <f>(((S229+R229)*AU229)/100)</f>
        <v>524.07000000000005</v>
      </c>
      <c r="DC229" t="s">
        <v>3</v>
      </c>
      <c r="DD229" t="s">
        <v>3</v>
      </c>
      <c r="DE229" t="s">
        <v>3</v>
      </c>
      <c r="DF229" t="s">
        <v>3</v>
      </c>
      <c r="DG229" t="s">
        <v>3</v>
      </c>
      <c r="DH229" t="s">
        <v>3</v>
      </c>
      <c r="DI229" t="s">
        <v>3</v>
      </c>
      <c r="DJ229" t="s">
        <v>3</v>
      </c>
      <c r="DK229" t="s">
        <v>3</v>
      </c>
      <c r="DL229" t="s">
        <v>3</v>
      </c>
      <c r="DM229" t="s">
        <v>3</v>
      </c>
      <c r="DN229">
        <v>0</v>
      </c>
      <c r="DO229">
        <v>0</v>
      </c>
      <c r="DP229">
        <v>1</v>
      </c>
      <c r="DQ229">
        <v>1</v>
      </c>
      <c r="DU229">
        <v>1013</v>
      </c>
      <c r="DV229" t="s">
        <v>344</v>
      </c>
      <c r="DW229" t="s">
        <v>344</v>
      </c>
      <c r="DX229">
        <v>1</v>
      </c>
      <c r="DZ229" t="s">
        <v>3</v>
      </c>
      <c r="EA229" t="s">
        <v>3</v>
      </c>
      <c r="EB229" t="s">
        <v>3</v>
      </c>
      <c r="EC229" t="s">
        <v>3</v>
      </c>
      <c r="EE229">
        <v>79401925</v>
      </c>
      <c r="EF229">
        <v>2</v>
      </c>
      <c r="EG229" t="s">
        <v>19</v>
      </c>
      <c r="EH229">
        <v>27</v>
      </c>
      <c r="EI229" t="s">
        <v>20</v>
      </c>
      <c r="EJ229">
        <v>1</v>
      </c>
      <c r="EK229">
        <v>33001</v>
      </c>
      <c r="EL229" t="s">
        <v>20</v>
      </c>
      <c r="EM229" t="s">
        <v>21</v>
      </c>
      <c r="EO229" t="s">
        <v>3</v>
      </c>
      <c r="EQ229">
        <v>0</v>
      </c>
      <c r="ER229">
        <v>2096.8200000000002</v>
      </c>
      <c r="ES229">
        <v>333.28</v>
      </c>
      <c r="ET229">
        <v>1338.74</v>
      </c>
      <c r="EU229">
        <v>151.12</v>
      </c>
      <c r="EV229">
        <v>424.8</v>
      </c>
      <c r="EW229">
        <v>48.94</v>
      </c>
      <c r="EX229">
        <v>14.19</v>
      </c>
      <c r="EY229">
        <v>0</v>
      </c>
      <c r="FQ229">
        <v>0</v>
      </c>
      <c r="FR229">
        <f>ROUND(IF(BI229=3,GM229,0),2)</f>
        <v>0</v>
      </c>
      <c r="FS229">
        <v>0</v>
      </c>
      <c r="FX229">
        <v>103</v>
      </c>
      <c r="FY229">
        <v>60</v>
      </c>
      <c r="GA229" t="s">
        <v>3</v>
      </c>
      <c r="GD229">
        <v>1</v>
      </c>
      <c r="GF229">
        <v>936132017</v>
      </c>
      <c r="GG229">
        <v>2</v>
      </c>
      <c r="GH229">
        <v>1</v>
      </c>
      <c r="GI229">
        <v>2</v>
      </c>
      <c r="GJ229">
        <v>0</v>
      </c>
      <c r="GK229">
        <v>0</v>
      </c>
      <c r="GL229">
        <f>ROUND(IF(AND(BH229=3,BI229=3,FS229&lt;&gt;0),P229,0),2)</f>
        <v>0</v>
      </c>
      <c r="GM229">
        <f>ROUND(O229+X229+Y229,2)+GX229</f>
        <v>2940.48</v>
      </c>
      <c r="GN229">
        <f>IF(OR(BI229=0,BI229=1),GM229,0)</f>
        <v>2940.48</v>
      </c>
      <c r="GO229">
        <f>IF(BI229=2,GM229,0)</f>
        <v>0</v>
      </c>
      <c r="GP229">
        <f>IF(BI229=4,GM229+GX229,0)</f>
        <v>0</v>
      </c>
      <c r="GR229">
        <v>0</v>
      </c>
      <c r="GS229">
        <v>3</v>
      </c>
      <c r="GT229">
        <v>0</v>
      </c>
      <c r="GU229" t="s">
        <v>3</v>
      </c>
      <c r="GV229">
        <f>ROUND((GT229),2)</f>
        <v>0</v>
      </c>
      <c r="GW229">
        <v>1</v>
      </c>
      <c r="GX229">
        <f>ROUND(HC229*I229,2)</f>
        <v>0</v>
      </c>
      <c r="HA229">
        <v>0</v>
      </c>
      <c r="HB229">
        <v>0</v>
      </c>
      <c r="HC229">
        <f>GV229*GW229</f>
        <v>0</v>
      </c>
      <c r="HE229" t="s">
        <v>3</v>
      </c>
      <c r="HF229" t="s">
        <v>3</v>
      </c>
      <c r="HM229" t="s">
        <v>3</v>
      </c>
      <c r="HN229" t="s">
        <v>22</v>
      </c>
      <c r="HO229" t="s">
        <v>23</v>
      </c>
      <c r="HP229" t="s">
        <v>20</v>
      </c>
      <c r="HQ229" t="s">
        <v>20</v>
      </c>
      <c r="IK229">
        <v>0</v>
      </c>
    </row>
    <row r="230" spans="1:245" x14ac:dyDescent="0.2">
      <c r="A230">
        <v>18</v>
      </c>
      <c r="B230">
        <v>1</v>
      </c>
      <c r="C230">
        <v>136</v>
      </c>
      <c r="E230" t="s">
        <v>346</v>
      </c>
      <c r="F230" t="s">
        <v>347</v>
      </c>
      <c r="G230" t="s">
        <v>348</v>
      </c>
      <c r="H230" t="s">
        <v>126</v>
      </c>
      <c r="I230">
        <f>I229*J230</f>
        <v>0</v>
      </c>
      <c r="J230">
        <v>0</v>
      </c>
      <c r="K230">
        <v>0</v>
      </c>
      <c r="O230">
        <f>ROUND(CP230,2)</f>
        <v>0</v>
      </c>
      <c r="P230">
        <f>ROUND(CQ230*I230,2)</f>
        <v>0</v>
      </c>
      <c r="Q230">
        <f>ROUND(CR230*I230,2)</f>
        <v>0</v>
      </c>
      <c r="R230">
        <f>ROUND(CS230*I230,2)</f>
        <v>0</v>
      </c>
      <c r="S230">
        <f>ROUND(CT230*I230,2)</f>
        <v>0</v>
      </c>
      <c r="T230">
        <f>ROUND(CU230*I230,2)</f>
        <v>0</v>
      </c>
      <c r="U230">
        <f>CV230*I230</f>
        <v>0</v>
      </c>
      <c r="V230">
        <f>CW230*I230</f>
        <v>0</v>
      </c>
      <c r="W230">
        <f>ROUND(CX230*I230,2)</f>
        <v>0</v>
      </c>
      <c r="X230">
        <f t="shared" si="169"/>
        <v>0</v>
      </c>
      <c r="Y230">
        <f t="shared" si="169"/>
        <v>0</v>
      </c>
      <c r="AA230">
        <v>84185495</v>
      </c>
      <c r="AB230">
        <f>ROUND((AC230+AD230+AF230),2)</f>
        <v>0</v>
      </c>
      <c r="AC230">
        <f>ROUND((ES230),2)</f>
        <v>0</v>
      </c>
      <c r="AD230">
        <f>ROUND((((ET230)-(EU230))+AE230),2)</f>
        <v>0</v>
      </c>
      <c r="AE230">
        <f t="shared" si="170"/>
        <v>0</v>
      </c>
      <c r="AF230">
        <f t="shared" si="170"/>
        <v>0</v>
      </c>
      <c r="AG230">
        <f>ROUND((AP230),2)</f>
        <v>0</v>
      </c>
      <c r="AH230">
        <f t="shared" si="171"/>
        <v>0</v>
      </c>
      <c r="AI230">
        <f t="shared" si="171"/>
        <v>0</v>
      </c>
      <c r="AJ230">
        <f>(AS230)</f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103</v>
      </c>
      <c r="AU230">
        <v>60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3</v>
      </c>
      <c r="BE230" t="s">
        <v>3</v>
      </c>
      <c r="BF230" t="s">
        <v>3</v>
      </c>
      <c r="BG230" t="s">
        <v>3</v>
      </c>
      <c r="BH230">
        <v>3</v>
      </c>
      <c r="BI230">
        <v>1</v>
      </c>
      <c r="BJ230" t="s">
        <v>349</v>
      </c>
      <c r="BM230">
        <v>33001</v>
      </c>
      <c r="BN230">
        <v>0</v>
      </c>
      <c r="BO230" t="s">
        <v>3</v>
      </c>
      <c r="BP230">
        <v>0</v>
      </c>
      <c r="BQ230">
        <v>2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3</v>
      </c>
      <c r="BZ230">
        <v>103</v>
      </c>
      <c r="CA230">
        <v>60</v>
      </c>
      <c r="CB230" t="s">
        <v>3</v>
      </c>
      <c r="CE230">
        <v>0</v>
      </c>
      <c r="CF230">
        <v>0</v>
      </c>
      <c r="CG230">
        <v>0</v>
      </c>
      <c r="CM230">
        <v>0</v>
      </c>
      <c r="CN230" t="s">
        <v>3</v>
      </c>
      <c r="CO230">
        <v>0</v>
      </c>
      <c r="CP230">
        <f>(P230+Q230+S230)</f>
        <v>0</v>
      </c>
      <c r="CQ230">
        <f>AC230*BC230</f>
        <v>0</v>
      </c>
      <c r="CR230">
        <f>(((ET230)*BB230-(EU230)*BS230)+AE230*BS230)</f>
        <v>0</v>
      </c>
      <c r="CS230">
        <f>AE230*BS230</f>
        <v>0</v>
      </c>
      <c r="CT230">
        <f>AF230*BA230</f>
        <v>0</v>
      </c>
      <c r="CU230">
        <f t="shared" si="172"/>
        <v>0</v>
      </c>
      <c r="CV230">
        <f t="shared" si="172"/>
        <v>0</v>
      </c>
      <c r="CW230">
        <f t="shared" si="172"/>
        <v>0</v>
      </c>
      <c r="CX230">
        <f t="shared" si="172"/>
        <v>0</v>
      </c>
      <c r="CY230">
        <f>(((S230+R230)*AT230)/100)</f>
        <v>0</v>
      </c>
      <c r="CZ230">
        <f>(((S230+R230)*AU230)/100)</f>
        <v>0</v>
      </c>
      <c r="DC230" t="s">
        <v>3</v>
      </c>
      <c r="DD230" t="s">
        <v>3</v>
      </c>
      <c r="DE230" t="s">
        <v>3</v>
      </c>
      <c r="DF230" t="s">
        <v>3</v>
      </c>
      <c r="DG230" t="s">
        <v>3</v>
      </c>
      <c r="DH230" t="s">
        <v>3</v>
      </c>
      <c r="DI230" t="s">
        <v>3</v>
      </c>
      <c r="DJ230" t="s">
        <v>3</v>
      </c>
      <c r="DK230" t="s">
        <v>3</v>
      </c>
      <c r="DL230" t="s">
        <v>3</v>
      </c>
      <c r="DM230" t="s">
        <v>3</v>
      </c>
      <c r="DN230">
        <v>0</v>
      </c>
      <c r="DO230">
        <v>0</v>
      </c>
      <c r="DP230">
        <v>1</v>
      </c>
      <c r="DQ230">
        <v>1</v>
      </c>
      <c r="DU230">
        <v>1009</v>
      </c>
      <c r="DV230" t="s">
        <v>126</v>
      </c>
      <c r="DW230" t="s">
        <v>126</v>
      </c>
      <c r="DX230">
        <v>1000</v>
      </c>
      <c r="DZ230" t="s">
        <v>3</v>
      </c>
      <c r="EA230" t="s">
        <v>3</v>
      </c>
      <c r="EB230" t="s">
        <v>3</v>
      </c>
      <c r="EC230" t="s">
        <v>3</v>
      </c>
      <c r="EE230">
        <v>79401925</v>
      </c>
      <c r="EF230">
        <v>2</v>
      </c>
      <c r="EG230" t="s">
        <v>19</v>
      </c>
      <c r="EH230">
        <v>27</v>
      </c>
      <c r="EI230" t="s">
        <v>20</v>
      </c>
      <c r="EJ230">
        <v>1</v>
      </c>
      <c r="EK230">
        <v>33001</v>
      </c>
      <c r="EL230" t="s">
        <v>20</v>
      </c>
      <c r="EM230" t="s">
        <v>21</v>
      </c>
      <c r="EO230" t="s">
        <v>3</v>
      </c>
      <c r="EQ230">
        <v>0</v>
      </c>
      <c r="ER230">
        <v>0</v>
      </c>
      <c r="ES230">
        <v>0</v>
      </c>
      <c r="ET230">
        <v>0</v>
      </c>
      <c r="EU230">
        <v>0</v>
      </c>
      <c r="EV230">
        <v>0</v>
      </c>
      <c r="EW230">
        <v>0</v>
      </c>
      <c r="EX230">
        <v>0</v>
      </c>
      <c r="FQ230">
        <v>0</v>
      </c>
      <c r="FR230">
        <f>ROUND(IF(BI230=3,GM230,0),2)</f>
        <v>0</v>
      </c>
      <c r="FS230">
        <v>0</v>
      </c>
      <c r="FX230">
        <v>103</v>
      </c>
      <c r="FY230">
        <v>60</v>
      </c>
      <c r="GA230" t="s">
        <v>3</v>
      </c>
      <c r="GD230">
        <v>1</v>
      </c>
      <c r="GF230">
        <v>-1855669986</v>
      </c>
      <c r="GG230">
        <v>2</v>
      </c>
      <c r="GH230">
        <v>1</v>
      </c>
      <c r="GI230">
        <v>-2</v>
      </c>
      <c r="GJ230">
        <v>0</v>
      </c>
      <c r="GK230">
        <v>0</v>
      </c>
      <c r="GL230">
        <f>ROUND(IF(AND(BH230=3,BI230=3,FS230&lt;&gt;0),P230,0),2)</f>
        <v>0</v>
      </c>
      <c r="GM230">
        <f>ROUND(O230+X230+Y230,2)+GX230</f>
        <v>0</v>
      </c>
      <c r="GN230">
        <f>IF(OR(BI230=0,BI230=1),GM230,0)</f>
        <v>0</v>
      </c>
      <c r="GO230">
        <f>IF(BI230=2,GM230,0)</f>
        <v>0</v>
      </c>
      <c r="GP230">
        <f>IF(BI230=4,GM230+GX230,0)</f>
        <v>0</v>
      </c>
      <c r="GR230">
        <v>0</v>
      </c>
      <c r="GS230">
        <v>3</v>
      </c>
      <c r="GT230">
        <v>0</v>
      </c>
      <c r="GU230" t="s">
        <v>3</v>
      </c>
      <c r="GV230">
        <f>ROUND((GT230),2)</f>
        <v>0</v>
      </c>
      <c r="GW230">
        <v>1</v>
      </c>
      <c r="GX230">
        <f>ROUND(HC230*I230,2)</f>
        <v>0</v>
      </c>
      <c r="HA230">
        <v>0</v>
      </c>
      <c r="HB230">
        <v>0</v>
      </c>
      <c r="HC230">
        <f>GV230*GW230</f>
        <v>0</v>
      </c>
      <c r="HE230" t="s">
        <v>3</v>
      </c>
      <c r="HF230" t="s">
        <v>3</v>
      </c>
      <c r="HM230" t="s">
        <v>3</v>
      </c>
      <c r="HN230" t="s">
        <v>22</v>
      </c>
      <c r="HO230" t="s">
        <v>23</v>
      </c>
      <c r="HP230" t="s">
        <v>20</v>
      </c>
      <c r="HQ230" t="s">
        <v>20</v>
      </c>
      <c r="IK230">
        <v>0</v>
      </c>
    </row>
    <row r="231" spans="1:245" x14ac:dyDescent="0.2">
      <c r="A231">
        <v>18</v>
      </c>
      <c r="B231">
        <v>1</v>
      </c>
      <c r="C231">
        <v>137</v>
      </c>
      <c r="E231" t="s">
        <v>350</v>
      </c>
      <c r="F231" t="s">
        <v>351</v>
      </c>
      <c r="G231" t="s">
        <v>352</v>
      </c>
      <c r="H231" t="s">
        <v>126</v>
      </c>
      <c r="I231">
        <f>I229*J231</f>
        <v>0</v>
      </c>
      <c r="J231">
        <v>0</v>
      </c>
      <c r="K231">
        <v>0</v>
      </c>
      <c r="O231">
        <f>ROUND(CP231,2)</f>
        <v>0</v>
      </c>
      <c r="P231">
        <f>ROUND(CQ231*I231,2)</f>
        <v>0</v>
      </c>
      <c r="Q231">
        <f>ROUND(CR231*I231,2)</f>
        <v>0</v>
      </c>
      <c r="R231">
        <f>ROUND(CS231*I231,2)</f>
        <v>0</v>
      </c>
      <c r="S231">
        <f>ROUND(CT231*I231,2)</f>
        <v>0</v>
      </c>
      <c r="T231">
        <f>ROUND(CU231*I231,2)</f>
        <v>0</v>
      </c>
      <c r="U231">
        <f>CV231*I231</f>
        <v>0</v>
      </c>
      <c r="V231">
        <f>CW231*I231</f>
        <v>0</v>
      </c>
      <c r="W231">
        <f>ROUND(CX231*I231,2)</f>
        <v>0</v>
      </c>
      <c r="X231">
        <f t="shared" si="169"/>
        <v>0</v>
      </c>
      <c r="Y231">
        <f t="shared" si="169"/>
        <v>0</v>
      </c>
      <c r="AA231">
        <v>84185495</v>
      </c>
      <c r="AB231">
        <f>ROUND((AC231+AD231+AF231),2)</f>
        <v>0</v>
      </c>
      <c r="AC231">
        <f>ROUND((ES231),2)</f>
        <v>0</v>
      </c>
      <c r="AD231">
        <f>ROUND((((ET231)-(EU231))+AE231),2)</f>
        <v>0</v>
      </c>
      <c r="AE231">
        <f t="shared" si="170"/>
        <v>0</v>
      </c>
      <c r="AF231">
        <f t="shared" si="170"/>
        <v>0</v>
      </c>
      <c r="AG231">
        <f>ROUND((AP231),2)</f>
        <v>0</v>
      </c>
      <c r="AH231">
        <f t="shared" si="171"/>
        <v>0</v>
      </c>
      <c r="AI231">
        <f t="shared" si="171"/>
        <v>0</v>
      </c>
      <c r="AJ231">
        <f>(AS231)</f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103</v>
      </c>
      <c r="AU231">
        <v>60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3</v>
      </c>
      <c r="BE231" t="s">
        <v>3</v>
      </c>
      <c r="BF231" t="s">
        <v>3</v>
      </c>
      <c r="BG231" t="s">
        <v>3</v>
      </c>
      <c r="BH231">
        <v>3</v>
      </c>
      <c r="BI231">
        <v>1</v>
      </c>
      <c r="BJ231" t="s">
        <v>353</v>
      </c>
      <c r="BM231">
        <v>33001</v>
      </c>
      <c r="BN231">
        <v>0</v>
      </c>
      <c r="BO231" t="s">
        <v>3</v>
      </c>
      <c r="BP231">
        <v>0</v>
      </c>
      <c r="BQ231">
        <v>2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3</v>
      </c>
      <c r="BZ231">
        <v>103</v>
      </c>
      <c r="CA231">
        <v>60</v>
      </c>
      <c r="CB231" t="s">
        <v>3</v>
      </c>
      <c r="CE231">
        <v>0</v>
      </c>
      <c r="CF231">
        <v>0</v>
      </c>
      <c r="CG231">
        <v>0</v>
      </c>
      <c r="CM231">
        <v>0</v>
      </c>
      <c r="CN231" t="s">
        <v>3</v>
      </c>
      <c r="CO231">
        <v>0</v>
      </c>
      <c r="CP231">
        <f>(P231+Q231+S231)</f>
        <v>0</v>
      </c>
      <c r="CQ231">
        <f>AC231*BC231</f>
        <v>0</v>
      </c>
      <c r="CR231">
        <f>(((ET231)*BB231-(EU231)*BS231)+AE231*BS231)</f>
        <v>0</v>
      </c>
      <c r="CS231">
        <f>AE231*BS231</f>
        <v>0</v>
      </c>
      <c r="CT231">
        <f>AF231*BA231</f>
        <v>0</v>
      </c>
      <c r="CU231">
        <f t="shared" si="172"/>
        <v>0</v>
      </c>
      <c r="CV231">
        <f t="shared" si="172"/>
        <v>0</v>
      </c>
      <c r="CW231">
        <f t="shared" si="172"/>
        <v>0</v>
      </c>
      <c r="CX231">
        <f t="shared" si="172"/>
        <v>0</v>
      </c>
      <c r="CY231">
        <f>(((S231+R231)*AT231)/100)</f>
        <v>0</v>
      </c>
      <c r="CZ231">
        <f>(((S231+R231)*AU231)/100)</f>
        <v>0</v>
      </c>
      <c r="DC231" t="s">
        <v>3</v>
      </c>
      <c r="DD231" t="s">
        <v>3</v>
      </c>
      <c r="DE231" t="s">
        <v>3</v>
      </c>
      <c r="DF231" t="s">
        <v>3</v>
      </c>
      <c r="DG231" t="s">
        <v>3</v>
      </c>
      <c r="DH231" t="s">
        <v>3</v>
      </c>
      <c r="DI231" t="s">
        <v>3</v>
      </c>
      <c r="DJ231" t="s">
        <v>3</v>
      </c>
      <c r="DK231" t="s">
        <v>3</v>
      </c>
      <c r="DL231" t="s">
        <v>3</v>
      </c>
      <c r="DM231" t="s">
        <v>3</v>
      </c>
      <c r="DN231">
        <v>0</v>
      </c>
      <c r="DO231">
        <v>0</v>
      </c>
      <c r="DP231">
        <v>1</v>
      </c>
      <c r="DQ231">
        <v>1</v>
      </c>
      <c r="DU231">
        <v>1009</v>
      </c>
      <c r="DV231" t="s">
        <v>126</v>
      </c>
      <c r="DW231" t="s">
        <v>126</v>
      </c>
      <c r="DX231">
        <v>1000</v>
      </c>
      <c r="DZ231" t="s">
        <v>3</v>
      </c>
      <c r="EA231" t="s">
        <v>3</v>
      </c>
      <c r="EB231" t="s">
        <v>3</v>
      </c>
      <c r="EC231" t="s">
        <v>3</v>
      </c>
      <c r="EE231">
        <v>79401925</v>
      </c>
      <c r="EF231">
        <v>2</v>
      </c>
      <c r="EG231" t="s">
        <v>19</v>
      </c>
      <c r="EH231">
        <v>27</v>
      </c>
      <c r="EI231" t="s">
        <v>20</v>
      </c>
      <c r="EJ231">
        <v>1</v>
      </c>
      <c r="EK231">
        <v>33001</v>
      </c>
      <c r="EL231" t="s">
        <v>20</v>
      </c>
      <c r="EM231" t="s">
        <v>21</v>
      </c>
      <c r="EO231" t="s">
        <v>3</v>
      </c>
      <c r="EQ231">
        <v>0</v>
      </c>
      <c r="ER231">
        <v>0</v>
      </c>
      <c r="ES231">
        <v>0</v>
      </c>
      <c r="ET231">
        <v>0</v>
      </c>
      <c r="EU231">
        <v>0</v>
      </c>
      <c r="EV231">
        <v>0</v>
      </c>
      <c r="EW231">
        <v>0</v>
      </c>
      <c r="EX231">
        <v>0</v>
      </c>
      <c r="FQ231">
        <v>0</v>
      </c>
      <c r="FR231">
        <f>ROUND(IF(BI231=3,GM231,0),2)</f>
        <v>0</v>
      </c>
      <c r="FS231">
        <v>0</v>
      </c>
      <c r="FX231">
        <v>103</v>
      </c>
      <c r="FY231">
        <v>60</v>
      </c>
      <c r="GA231" t="s">
        <v>3</v>
      </c>
      <c r="GD231">
        <v>1</v>
      </c>
      <c r="GF231">
        <v>-1609352925</v>
      </c>
      <c r="GG231">
        <v>2</v>
      </c>
      <c r="GH231">
        <v>1</v>
      </c>
      <c r="GI231">
        <v>-2</v>
      </c>
      <c r="GJ231">
        <v>0</v>
      </c>
      <c r="GK231">
        <v>0</v>
      </c>
      <c r="GL231">
        <f>ROUND(IF(AND(BH231=3,BI231=3,FS231&lt;&gt;0),P231,0),2)</f>
        <v>0</v>
      </c>
      <c r="GM231">
        <f>ROUND(O231+X231+Y231,2)+GX231</f>
        <v>0</v>
      </c>
      <c r="GN231">
        <f>IF(OR(BI231=0,BI231=1),GM231,0)</f>
        <v>0</v>
      </c>
      <c r="GO231">
        <f>IF(BI231=2,GM231,0)</f>
        <v>0</v>
      </c>
      <c r="GP231">
        <f>IF(BI231=4,GM231+GX231,0)</f>
        <v>0</v>
      </c>
      <c r="GR231">
        <v>0</v>
      </c>
      <c r="GS231">
        <v>3</v>
      </c>
      <c r="GT231">
        <v>0</v>
      </c>
      <c r="GU231" t="s">
        <v>3</v>
      </c>
      <c r="GV231">
        <f>ROUND((GT231),2)</f>
        <v>0</v>
      </c>
      <c r="GW231">
        <v>1</v>
      </c>
      <c r="GX231">
        <f>ROUND(HC231*I231,2)</f>
        <v>0</v>
      </c>
      <c r="HA231">
        <v>0</v>
      </c>
      <c r="HB231">
        <v>0</v>
      </c>
      <c r="HC231">
        <f>GV231*GW231</f>
        <v>0</v>
      </c>
      <c r="HE231" t="s">
        <v>3</v>
      </c>
      <c r="HF231" t="s">
        <v>3</v>
      </c>
      <c r="HM231" t="s">
        <v>3</v>
      </c>
      <c r="HN231" t="s">
        <v>22</v>
      </c>
      <c r="HO231" t="s">
        <v>23</v>
      </c>
      <c r="HP231" t="s">
        <v>20</v>
      </c>
      <c r="HQ231" t="s">
        <v>20</v>
      </c>
      <c r="IK231">
        <v>0</v>
      </c>
    </row>
    <row r="232" spans="1:245" x14ac:dyDescent="0.2">
      <c r="A232">
        <v>18</v>
      </c>
      <c r="B232">
        <v>1</v>
      </c>
      <c r="C232">
        <v>138</v>
      </c>
      <c r="E232" t="s">
        <v>354</v>
      </c>
      <c r="F232" t="s">
        <v>306</v>
      </c>
      <c r="G232" t="s">
        <v>307</v>
      </c>
      <c r="H232" t="s">
        <v>126</v>
      </c>
      <c r="I232">
        <f>I229*J232</f>
        <v>0</v>
      </c>
      <c r="J232">
        <v>0</v>
      </c>
      <c r="K232">
        <v>0</v>
      </c>
      <c r="O232">
        <f>ROUND(CP232,2)</f>
        <v>0</v>
      </c>
      <c r="P232">
        <f>ROUND(CQ232*I232,2)</f>
        <v>0</v>
      </c>
      <c r="Q232">
        <f>ROUND(CR232*I232,2)</f>
        <v>0</v>
      </c>
      <c r="R232">
        <f>ROUND(CS232*I232,2)</f>
        <v>0</v>
      </c>
      <c r="S232">
        <f>ROUND(CT232*I232,2)</f>
        <v>0</v>
      </c>
      <c r="T232">
        <f>ROUND(CU232*I232,2)</f>
        <v>0</v>
      </c>
      <c r="U232">
        <f>CV232*I232</f>
        <v>0</v>
      </c>
      <c r="V232">
        <f>CW232*I232</f>
        <v>0</v>
      </c>
      <c r="W232">
        <f>ROUND(CX232*I232,2)</f>
        <v>0</v>
      </c>
      <c r="X232">
        <f t="shared" si="169"/>
        <v>0</v>
      </c>
      <c r="Y232">
        <f t="shared" si="169"/>
        <v>0</v>
      </c>
      <c r="AA232">
        <v>84185495</v>
      </c>
      <c r="AB232">
        <f>ROUND((AC232+AD232+AF232),2)</f>
        <v>0</v>
      </c>
      <c r="AC232">
        <f>ROUND((ES232),2)</f>
        <v>0</v>
      </c>
      <c r="AD232">
        <f>ROUND((((ET232)-(EU232))+AE232),2)</f>
        <v>0</v>
      </c>
      <c r="AE232">
        <f t="shared" si="170"/>
        <v>0</v>
      </c>
      <c r="AF232">
        <f t="shared" si="170"/>
        <v>0</v>
      </c>
      <c r="AG232">
        <f>ROUND((AP232),2)</f>
        <v>0</v>
      </c>
      <c r="AH232">
        <f t="shared" si="171"/>
        <v>0</v>
      </c>
      <c r="AI232">
        <f t="shared" si="171"/>
        <v>0</v>
      </c>
      <c r="AJ232">
        <f>(AS232)</f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103</v>
      </c>
      <c r="AU232">
        <v>60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3</v>
      </c>
      <c r="BE232" t="s">
        <v>3</v>
      </c>
      <c r="BF232" t="s">
        <v>3</v>
      </c>
      <c r="BG232" t="s">
        <v>3</v>
      </c>
      <c r="BH232">
        <v>3</v>
      </c>
      <c r="BI232">
        <v>1</v>
      </c>
      <c r="BJ232" t="s">
        <v>308</v>
      </c>
      <c r="BM232">
        <v>33001</v>
      </c>
      <c r="BN232">
        <v>0</v>
      </c>
      <c r="BO232" t="s">
        <v>3</v>
      </c>
      <c r="BP232">
        <v>0</v>
      </c>
      <c r="BQ232">
        <v>2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3</v>
      </c>
      <c r="BZ232">
        <v>103</v>
      </c>
      <c r="CA232">
        <v>60</v>
      </c>
      <c r="CB232" t="s">
        <v>3</v>
      </c>
      <c r="CE232">
        <v>0</v>
      </c>
      <c r="CF232">
        <v>0</v>
      </c>
      <c r="CG232">
        <v>0</v>
      </c>
      <c r="CM232">
        <v>0</v>
      </c>
      <c r="CN232" t="s">
        <v>3</v>
      </c>
      <c r="CO232">
        <v>0</v>
      </c>
      <c r="CP232">
        <f>(P232+Q232+S232)</f>
        <v>0</v>
      </c>
      <c r="CQ232">
        <f>AC232*BC232</f>
        <v>0</v>
      </c>
      <c r="CR232">
        <f>(((ET232)*BB232-(EU232)*BS232)+AE232*BS232)</f>
        <v>0</v>
      </c>
      <c r="CS232">
        <f>AE232*BS232</f>
        <v>0</v>
      </c>
      <c r="CT232">
        <f>AF232*BA232</f>
        <v>0</v>
      </c>
      <c r="CU232">
        <f t="shared" si="172"/>
        <v>0</v>
      </c>
      <c r="CV232">
        <f t="shared" si="172"/>
        <v>0</v>
      </c>
      <c r="CW232">
        <f t="shared" si="172"/>
        <v>0</v>
      </c>
      <c r="CX232">
        <f t="shared" si="172"/>
        <v>0</v>
      </c>
      <c r="CY232">
        <f>(((S232+R232)*AT232)/100)</f>
        <v>0</v>
      </c>
      <c r="CZ232">
        <f>(((S232+R232)*AU232)/100)</f>
        <v>0</v>
      </c>
      <c r="DC232" t="s">
        <v>3</v>
      </c>
      <c r="DD232" t="s">
        <v>3</v>
      </c>
      <c r="DE232" t="s">
        <v>3</v>
      </c>
      <c r="DF232" t="s">
        <v>3</v>
      </c>
      <c r="DG232" t="s">
        <v>3</v>
      </c>
      <c r="DH232" t="s">
        <v>3</v>
      </c>
      <c r="DI232" t="s">
        <v>3</v>
      </c>
      <c r="DJ232" t="s">
        <v>3</v>
      </c>
      <c r="DK232" t="s">
        <v>3</v>
      </c>
      <c r="DL232" t="s">
        <v>3</v>
      </c>
      <c r="DM232" t="s">
        <v>3</v>
      </c>
      <c r="DN232">
        <v>0</v>
      </c>
      <c r="DO232">
        <v>0</v>
      </c>
      <c r="DP232">
        <v>1</v>
      </c>
      <c r="DQ232">
        <v>1</v>
      </c>
      <c r="DU232">
        <v>1009</v>
      </c>
      <c r="DV232" t="s">
        <v>126</v>
      </c>
      <c r="DW232" t="s">
        <v>126</v>
      </c>
      <c r="DX232">
        <v>1000</v>
      </c>
      <c r="DZ232" t="s">
        <v>3</v>
      </c>
      <c r="EA232" t="s">
        <v>3</v>
      </c>
      <c r="EB232" t="s">
        <v>3</v>
      </c>
      <c r="EC232" t="s">
        <v>3</v>
      </c>
      <c r="EE232">
        <v>79401925</v>
      </c>
      <c r="EF232">
        <v>2</v>
      </c>
      <c r="EG232" t="s">
        <v>19</v>
      </c>
      <c r="EH232">
        <v>27</v>
      </c>
      <c r="EI232" t="s">
        <v>20</v>
      </c>
      <c r="EJ232">
        <v>1</v>
      </c>
      <c r="EK232">
        <v>33001</v>
      </c>
      <c r="EL232" t="s">
        <v>20</v>
      </c>
      <c r="EM232" t="s">
        <v>21</v>
      </c>
      <c r="EO232" t="s">
        <v>3</v>
      </c>
      <c r="EQ232">
        <v>0</v>
      </c>
      <c r="ER232">
        <v>0</v>
      </c>
      <c r="ES232">
        <v>0</v>
      </c>
      <c r="ET232">
        <v>0</v>
      </c>
      <c r="EU232">
        <v>0</v>
      </c>
      <c r="EV232">
        <v>0</v>
      </c>
      <c r="EW232">
        <v>0</v>
      </c>
      <c r="EX232">
        <v>0</v>
      </c>
      <c r="FQ232">
        <v>0</v>
      </c>
      <c r="FR232">
        <f>ROUND(IF(BI232=3,GM232,0),2)</f>
        <v>0</v>
      </c>
      <c r="FS232">
        <v>0</v>
      </c>
      <c r="FX232">
        <v>103</v>
      </c>
      <c r="FY232">
        <v>60</v>
      </c>
      <c r="GA232" t="s">
        <v>3</v>
      </c>
      <c r="GD232">
        <v>1</v>
      </c>
      <c r="GF232">
        <v>533926792</v>
      </c>
      <c r="GG232">
        <v>2</v>
      </c>
      <c r="GH232">
        <v>1</v>
      </c>
      <c r="GI232">
        <v>-2</v>
      </c>
      <c r="GJ232">
        <v>0</v>
      </c>
      <c r="GK232">
        <v>0</v>
      </c>
      <c r="GL232">
        <f>ROUND(IF(AND(BH232=3,BI232=3,FS232&lt;&gt;0),P232,0),2)</f>
        <v>0</v>
      </c>
      <c r="GM232">
        <f>ROUND(O232+X232+Y232,2)+GX232</f>
        <v>0</v>
      </c>
      <c r="GN232">
        <f>IF(OR(BI232=0,BI232=1),GM232,0)</f>
        <v>0</v>
      </c>
      <c r="GO232">
        <f>IF(BI232=2,GM232,0)</f>
        <v>0</v>
      </c>
      <c r="GP232">
        <f>IF(BI232=4,GM232+GX232,0)</f>
        <v>0</v>
      </c>
      <c r="GR232">
        <v>0</v>
      </c>
      <c r="GS232">
        <v>3</v>
      </c>
      <c r="GT232">
        <v>0</v>
      </c>
      <c r="GU232" t="s">
        <v>3</v>
      </c>
      <c r="GV232">
        <f>ROUND((GT232),2)</f>
        <v>0</v>
      </c>
      <c r="GW232">
        <v>1</v>
      </c>
      <c r="GX232">
        <f>ROUND(HC232*I232,2)</f>
        <v>0</v>
      </c>
      <c r="HA232">
        <v>0</v>
      </c>
      <c r="HB232">
        <v>0</v>
      </c>
      <c r="HC232">
        <f>GV232*GW232</f>
        <v>0</v>
      </c>
      <c r="HE232" t="s">
        <v>3</v>
      </c>
      <c r="HF232" t="s">
        <v>3</v>
      </c>
      <c r="HM232" t="s">
        <v>3</v>
      </c>
      <c r="HN232" t="s">
        <v>22</v>
      </c>
      <c r="HO232" t="s">
        <v>23</v>
      </c>
      <c r="HP232" t="s">
        <v>20</v>
      </c>
      <c r="HQ232" t="s">
        <v>20</v>
      </c>
      <c r="IK232">
        <v>0</v>
      </c>
    </row>
    <row r="233" spans="1:245" x14ac:dyDescent="0.2">
      <c r="A233">
        <v>17</v>
      </c>
      <c r="B233">
        <v>1</v>
      </c>
      <c r="E233" t="s">
        <v>355</v>
      </c>
      <c r="F233" t="s">
        <v>356</v>
      </c>
      <c r="G233" t="s">
        <v>357</v>
      </c>
      <c r="H233" t="s">
        <v>135</v>
      </c>
      <c r="I233">
        <v>3</v>
      </c>
      <c r="J233">
        <v>0</v>
      </c>
      <c r="K233">
        <v>3</v>
      </c>
      <c r="O233">
        <f>ROUND(CP233,2)</f>
        <v>221.79</v>
      </c>
      <c r="P233">
        <f>ROUND(CQ233*I233,2)</f>
        <v>221.79</v>
      </c>
      <c r="Q233">
        <f>ROUND(CR233*I233,2)</f>
        <v>0</v>
      </c>
      <c r="R233">
        <f>ROUND(CS233*I233,2)</f>
        <v>0</v>
      </c>
      <c r="S233">
        <f>ROUND(CT233*I233,2)</f>
        <v>0</v>
      </c>
      <c r="T233">
        <f>ROUND(CU233*I233,2)</f>
        <v>0</v>
      </c>
      <c r="U233">
        <f>CV233*I233</f>
        <v>0</v>
      </c>
      <c r="V233">
        <f>CW233*I233</f>
        <v>0</v>
      </c>
      <c r="W233">
        <f>ROUND(CX233*I233,2)</f>
        <v>0</v>
      </c>
      <c r="X233">
        <f t="shared" si="169"/>
        <v>0</v>
      </c>
      <c r="Y233">
        <f t="shared" si="169"/>
        <v>0</v>
      </c>
      <c r="AA233">
        <v>84185495</v>
      </c>
      <c r="AB233">
        <f>ROUND((AC233+AD233+AF233),2)</f>
        <v>6.89</v>
      </c>
      <c r="AC233">
        <f>ROUND((ES233),2)</f>
        <v>6.89</v>
      </c>
      <c r="AD233">
        <f>ROUND((((ET233)-(EU233))+AE233),2)</f>
        <v>0</v>
      </c>
      <c r="AE233">
        <f t="shared" si="170"/>
        <v>0</v>
      </c>
      <c r="AF233">
        <f t="shared" si="170"/>
        <v>0</v>
      </c>
      <c r="AG233">
        <f>ROUND((AP233),2)</f>
        <v>0</v>
      </c>
      <c r="AH233">
        <f t="shared" si="171"/>
        <v>0</v>
      </c>
      <c r="AI233">
        <f t="shared" si="171"/>
        <v>0</v>
      </c>
      <c r="AJ233">
        <f>(AS233)</f>
        <v>0</v>
      </c>
      <c r="AK233">
        <v>6.89</v>
      </c>
      <c r="AL233">
        <v>6.89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10.73</v>
      </c>
      <c r="BD233" t="s">
        <v>3</v>
      </c>
      <c r="BE233" t="s">
        <v>3</v>
      </c>
      <c r="BF233" t="s">
        <v>3</v>
      </c>
      <c r="BG233" t="s">
        <v>3</v>
      </c>
      <c r="BH233">
        <v>3</v>
      </c>
      <c r="BI233">
        <v>2</v>
      </c>
      <c r="BJ233" t="s">
        <v>358</v>
      </c>
      <c r="BM233">
        <v>500002</v>
      </c>
      <c r="BN233">
        <v>0</v>
      </c>
      <c r="BO233" t="s">
        <v>356</v>
      </c>
      <c r="BP233">
        <v>1</v>
      </c>
      <c r="BQ233">
        <v>12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3</v>
      </c>
      <c r="BZ233">
        <v>0</v>
      </c>
      <c r="CA233">
        <v>0</v>
      </c>
      <c r="CB233" t="s">
        <v>3</v>
      </c>
      <c r="CE233">
        <v>0</v>
      </c>
      <c r="CF233">
        <v>0</v>
      </c>
      <c r="CG233">
        <v>0</v>
      </c>
      <c r="CM233">
        <v>0</v>
      </c>
      <c r="CN233" t="s">
        <v>3</v>
      </c>
      <c r="CO233">
        <v>0</v>
      </c>
      <c r="CP233">
        <f>(P233+Q233+S233)</f>
        <v>221.79</v>
      </c>
      <c r="CQ233">
        <f>AC233*BC233</f>
        <v>73.929699999999997</v>
      </c>
      <c r="CR233">
        <f>(((ET233)*BB233-(EU233)*BS233)+AE233*BS233)</f>
        <v>0</v>
      </c>
      <c r="CS233">
        <f>AE233*BS233</f>
        <v>0</v>
      </c>
      <c r="CT233">
        <f>AF233*BA233</f>
        <v>0</v>
      </c>
      <c r="CU233">
        <f t="shared" si="172"/>
        <v>0</v>
      </c>
      <c r="CV233">
        <f t="shared" si="172"/>
        <v>0</v>
      </c>
      <c r="CW233">
        <f t="shared" si="172"/>
        <v>0</v>
      </c>
      <c r="CX233">
        <f t="shared" si="172"/>
        <v>0</v>
      </c>
      <c r="CY233">
        <f>0</f>
        <v>0</v>
      </c>
      <c r="CZ233">
        <f>0</f>
        <v>0</v>
      </c>
      <c r="DC233" t="s">
        <v>3</v>
      </c>
      <c r="DD233" t="s">
        <v>3</v>
      </c>
      <c r="DE233" t="s">
        <v>3</v>
      </c>
      <c r="DF233" t="s">
        <v>3</v>
      </c>
      <c r="DG233" t="s">
        <v>3</v>
      </c>
      <c r="DH233" t="s">
        <v>3</v>
      </c>
      <c r="DI233" t="s">
        <v>3</v>
      </c>
      <c r="DJ233" t="s">
        <v>3</v>
      </c>
      <c r="DK233" t="s">
        <v>3</v>
      </c>
      <c r="DL233" t="s">
        <v>3</v>
      </c>
      <c r="DM233" t="s">
        <v>3</v>
      </c>
      <c r="DN233">
        <v>0</v>
      </c>
      <c r="DO233">
        <v>0</v>
      </c>
      <c r="DP233">
        <v>1</v>
      </c>
      <c r="DQ233">
        <v>1</v>
      </c>
      <c r="DU233">
        <v>1010</v>
      </c>
      <c r="DV233" t="s">
        <v>135</v>
      </c>
      <c r="DW233" t="s">
        <v>135</v>
      </c>
      <c r="DX233">
        <v>1</v>
      </c>
      <c r="DZ233" t="s">
        <v>3</v>
      </c>
      <c r="EA233" t="s">
        <v>3</v>
      </c>
      <c r="EB233" t="s">
        <v>3</v>
      </c>
      <c r="EC233" t="s">
        <v>3</v>
      </c>
      <c r="EE233">
        <v>79401763</v>
      </c>
      <c r="EF233">
        <v>12</v>
      </c>
      <c r="EG233" t="s">
        <v>189</v>
      </c>
      <c r="EH233">
        <v>0</v>
      </c>
      <c r="EI233" t="s">
        <v>3</v>
      </c>
      <c r="EJ233">
        <v>2</v>
      </c>
      <c r="EK233">
        <v>500002</v>
      </c>
      <c r="EL233" t="s">
        <v>190</v>
      </c>
      <c r="EM233" t="s">
        <v>191</v>
      </c>
      <c r="EO233" t="s">
        <v>3</v>
      </c>
      <c r="EQ233">
        <v>0</v>
      </c>
      <c r="ER233">
        <v>6.89</v>
      </c>
      <c r="ES233">
        <v>6.89</v>
      </c>
      <c r="ET233">
        <v>0</v>
      </c>
      <c r="EU233">
        <v>0</v>
      </c>
      <c r="EV233">
        <v>0</v>
      </c>
      <c r="EW233">
        <v>0</v>
      </c>
      <c r="EX233">
        <v>0</v>
      </c>
      <c r="EY233">
        <v>0</v>
      </c>
      <c r="FQ233">
        <v>0</v>
      </c>
      <c r="FR233">
        <f>ROUND(IF(BI233=3,GM233,0),2)</f>
        <v>0</v>
      </c>
      <c r="FS233">
        <v>0</v>
      </c>
      <c r="FX233">
        <v>0</v>
      </c>
      <c r="FY233">
        <v>0</v>
      </c>
      <c r="GA233" t="s">
        <v>3</v>
      </c>
      <c r="GD233">
        <v>1</v>
      </c>
      <c r="GF233">
        <v>-939521780</v>
      </c>
      <c r="GG233">
        <v>2</v>
      </c>
      <c r="GH233">
        <v>1</v>
      </c>
      <c r="GI233">
        <v>2</v>
      </c>
      <c r="GJ233">
        <v>0</v>
      </c>
      <c r="GK233">
        <v>0</v>
      </c>
      <c r="GL233">
        <f>ROUND(IF(AND(BH233=3,BI233=3,FS233&lt;&gt;0),P233,0),2)</f>
        <v>0</v>
      </c>
      <c r="GM233">
        <f>ROUND(O233+X233+Y233,2)+GX233</f>
        <v>221.79</v>
      </c>
      <c r="GN233">
        <f>IF(OR(BI233=0,BI233=1),GM233,0)</f>
        <v>0</v>
      </c>
      <c r="GO233">
        <f>IF(BI233=2,GM233,0)</f>
        <v>221.79</v>
      </c>
      <c r="GP233">
        <f>IF(BI233=4,GM233+GX233,0)</f>
        <v>0</v>
      </c>
      <c r="GR233">
        <v>0</v>
      </c>
      <c r="GS233">
        <v>3</v>
      </c>
      <c r="GT233">
        <v>0</v>
      </c>
      <c r="GU233" t="s">
        <v>3</v>
      </c>
      <c r="GV233">
        <f>ROUND((GT233),2)</f>
        <v>0</v>
      </c>
      <c r="GW233">
        <v>1</v>
      </c>
      <c r="GX233">
        <f>ROUND(HC233*I233,2)</f>
        <v>0</v>
      </c>
      <c r="HA233">
        <v>0</v>
      </c>
      <c r="HB233">
        <v>0</v>
      </c>
      <c r="HC233">
        <f>GV233*GW233</f>
        <v>0</v>
      </c>
      <c r="HE233" t="s">
        <v>3</v>
      </c>
      <c r="HF233" t="s">
        <v>3</v>
      </c>
      <c r="HM233" t="s">
        <v>3</v>
      </c>
      <c r="HN233" t="s">
        <v>3</v>
      </c>
      <c r="HO233" t="s">
        <v>3</v>
      </c>
      <c r="HP233" t="s">
        <v>3</v>
      </c>
      <c r="HQ233" t="s">
        <v>3</v>
      </c>
      <c r="IK233">
        <v>0</v>
      </c>
    </row>
    <row r="235" spans="1:245" x14ac:dyDescent="0.2">
      <c r="A235" s="2">
        <v>51</v>
      </c>
      <c r="B235" s="2">
        <f>B225</f>
        <v>1</v>
      </c>
      <c r="C235" s="2">
        <f>A225</f>
        <v>4</v>
      </c>
      <c r="D235" s="2">
        <f>ROW(A225)</f>
        <v>225</v>
      </c>
      <c r="E235" s="2"/>
      <c r="F235" s="2" t="str">
        <f>IF(F225&lt;&gt;"",F225,"")</f>
        <v>Новый раздел</v>
      </c>
      <c r="G235" s="2" t="str">
        <f>IF(G225&lt;&gt;"",G225,"")</f>
        <v>Подвеска провода</v>
      </c>
      <c r="H235" s="2">
        <v>0</v>
      </c>
      <c r="I235" s="2"/>
      <c r="J235" s="2"/>
      <c r="K235" s="2"/>
      <c r="L235" s="2"/>
      <c r="M235" s="2"/>
      <c r="N235" s="2"/>
      <c r="O235" s="2">
        <f t="shared" ref="O235:T235" si="173">ROUND(AB235,2)</f>
        <v>1738.55</v>
      </c>
      <c r="P235" s="2">
        <f t="shared" si="173"/>
        <v>370.69</v>
      </c>
      <c r="Q235" s="2">
        <f t="shared" si="173"/>
        <v>723.6</v>
      </c>
      <c r="R235" s="2">
        <f t="shared" si="173"/>
        <v>229.19</v>
      </c>
      <c r="S235" s="2">
        <f t="shared" si="173"/>
        <v>644.26</v>
      </c>
      <c r="T235" s="2">
        <f t="shared" si="173"/>
        <v>0</v>
      </c>
      <c r="U235" s="2">
        <f>AH235</f>
        <v>2.1044199999999997</v>
      </c>
      <c r="V235" s="2">
        <f>AI235</f>
        <v>0.61016999999999988</v>
      </c>
      <c r="W235" s="2">
        <f>ROUND(AJ235,2)</f>
        <v>0</v>
      </c>
      <c r="X235" s="2">
        <f>ROUND(AK235,2)</f>
        <v>899.65</v>
      </c>
      <c r="Y235" s="2">
        <f>ROUND(AL235,2)</f>
        <v>524.07000000000005</v>
      </c>
      <c r="Z235" s="2"/>
      <c r="AA235" s="2"/>
      <c r="AB235" s="2">
        <f>ROUND(SUMIF(AA229:AA233,"=84185495",O229:O233),2)</f>
        <v>1738.55</v>
      </c>
      <c r="AC235" s="2">
        <f>ROUND(SUMIF(AA229:AA233,"=84185495",P229:P233),2)</f>
        <v>370.69</v>
      </c>
      <c r="AD235" s="2">
        <f>ROUND(SUMIF(AA229:AA233,"=84185495",Q229:Q233),2)</f>
        <v>723.6</v>
      </c>
      <c r="AE235" s="2">
        <f>ROUND(SUMIF(AA229:AA233,"=84185495",R229:R233),2)</f>
        <v>229.19</v>
      </c>
      <c r="AF235" s="2">
        <f>ROUND(SUMIF(AA229:AA233,"=84185495",S229:S233),2)</f>
        <v>644.26</v>
      </c>
      <c r="AG235" s="2">
        <f>ROUND(SUMIF(AA229:AA233,"=84185495",T229:T233),2)</f>
        <v>0</v>
      </c>
      <c r="AH235" s="2">
        <f>SUMIF(AA229:AA233,"=84185495",U229:U233)</f>
        <v>2.1044199999999997</v>
      </c>
      <c r="AI235" s="2">
        <f>SUMIF(AA229:AA233,"=84185495",V229:V233)</f>
        <v>0.61016999999999988</v>
      </c>
      <c r="AJ235" s="2">
        <f>ROUND(SUMIF(AA229:AA233,"=84185495",W229:W233),2)</f>
        <v>0</v>
      </c>
      <c r="AK235" s="2">
        <f>ROUND(SUMIF(AA229:AA233,"=84185495",X229:X233),2)</f>
        <v>899.65</v>
      </c>
      <c r="AL235" s="2">
        <f>ROUND(SUMIF(AA229:AA233,"=84185495",Y229:Y233),2)</f>
        <v>524.07000000000005</v>
      </c>
      <c r="AM235" s="2"/>
      <c r="AN235" s="2"/>
      <c r="AO235" s="2">
        <f t="shared" ref="AO235:BD235" si="174">ROUND(BX235,2)</f>
        <v>0</v>
      </c>
      <c r="AP235" s="2">
        <f t="shared" si="174"/>
        <v>0</v>
      </c>
      <c r="AQ235" s="2">
        <f t="shared" si="174"/>
        <v>0</v>
      </c>
      <c r="AR235" s="2">
        <f t="shared" si="174"/>
        <v>3162.27</v>
      </c>
      <c r="AS235" s="2">
        <f t="shared" si="174"/>
        <v>2940.48</v>
      </c>
      <c r="AT235" s="2">
        <f t="shared" si="174"/>
        <v>221.79</v>
      </c>
      <c r="AU235" s="2">
        <f t="shared" si="174"/>
        <v>0</v>
      </c>
      <c r="AV235" s="2">
        <f t="shared" si="174"/>
        <v>370.69</v>
      </c>
      <c r="AW235" s="2">
        <f t="shared" si="174"/>
        <v>370.69</v>
      </c>
      <c r="AX235" s="2">
        <f t="shared" si="174"/>
        <v>0</v>
      </c>
      <c r="AY235" s="2">
        <f t="shared" si="174"/>
        <v>370.69</v>
      </c>
      <c r="AZ235" s="2">
        <f t="shared" si="174"/>
        <v>0</v>
      </c>
      <c r="BA235" s="2">
        <f t="shared" si="174"/>
        <v>0</v>
      </c>
      <c r="BB235" s="2">
        <f t="shared" si="174"/>
        <v>0</v>
      </c>
      <c r="BC235" s="2">
        <f t="shared" si="174"/>
        <v>0</v>
      </c>
      <c r="BD235" s="2">
        <f t="shared" si="174"/>
        <v>0</v>
      </c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>
        <f>ROUND(SUMIF(AA229:AA233,"=84185495",FQ229:FQ233),2)</f>
        <v>0</v>
      </c>
      <c r="BY235" s="2">
        <f>ROUND(SUMIF(AA229:AA233,"=84185495",FR229:FR233),2)</f>
        <v>0</v>
      </c>
      <c r="BZ235" s="2">
        <f>ROUND(SUMIF(AA229:AA233,"=84185495",GL229:GL233),2)</f>
        <v>0</v>
      </c>
      <c r="CA235" s="2">
        <f>ROUND(SUMIF(AA229:AA233,"=84185495",GM229:GM233),2)</f>
        <v>3162.27</v>
      </c>
      <c r="CB235" s="2">
        <f>ROUND(SUMIF(AA229:AA233,"=84185495",GN229:GN233),2)</f>
        <v>2940.48</v>
      </c>
      <c r="CC235" s="2">
        <f>ROUND(SUMIF(AA229:AA233,"=84185495",GO229:GO233),2)</f>
        <v>221.79</v>
      </c>
      <c r="CD235" s="2">
        <f>ROUND(SUMIF(AA229:AA233,"=84185495",GP229:GP233),2)</f>
        <v>0</v>
      </c>
      <c r="CE235" s="2">
        <f>AC235-BX235</f>
        <v>370.69</v>
      </c>
      <c r="CF235" s="2">
        <f>AC235-BY235</f>
        <v>370.69</v>
      </c>
      <c r="CG235" s="2">
        <f>BX235-BZ235</f>
        <v>0</v>
      </c>
      <c r="CH235" s="2">
        <f>AC235-BX235-BY235+BZ235</f>
        <v>370.69</v>
      </c>
      <c r="CI235" s="2">
        <f>BY235-BZ235</f>
        <v>0</v>
      </c>
      <c r="CJ235" s="2">
        <f>ROUND(SUMIF(AA229:AA233,"=84185495",GX229:GX233),2)</f>
        <v>0</v>
      </c>
      <c r="CK235" s="2">
        <f>ROUND(SUMIF(AA229:AA233,"=84185495",GY229:GY233),2)</f>
        <v>0</v>
      </c>
      <c r="CL235" s="2">
        <f>ROUND(SUMIF(AA229:AA233,"=84185495",GZ229:GZ233),2)</f>
        <v>0</v>
      </c>
      <c r="CM235" s="2">
        <f>ROUND(SUMIF(AA229:AA233,"=84185495",HD229:HD233),2)</f>
        <v>0</v>
      </c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>
        <v>0</v>
      </c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201</v>
      </c>
      <c r="F237" s="4">
        <f>ROUND(Source!O235,O237)</f>
        <v>1738.55</v>
      </c>
      <c r="G237" s="4" t="s">
        <v>38</v>
      </c>
      <c r="H237" s="4" t="s">
        <v>39</v>
      </c>
      <c r="I237" s="4"/>
      <c r="J237" s="4"/>
      <c r="K237" s="4">
        <v>201</v>
      </c>
      <c r="L237" s="4">
        <v>1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1738.55</v>
      </c>
      <c r="X237" s="4">
        <v>1</v>
      </c>
      <c r="Y237" s="4">
        <v>1738.55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0</v>
      </c>
      <c r="F238" s="4">
        <f>ROUND(Source!P235,O238)</f>
        <v>370.69</v>
      </c>
      <c r="G238" s="4" t="s">
        <v>40</v>
      </c>
      <c r="H238" s="4" t="s">
        <v>41</v>
      </c>
      <c r="I238" s="4"/>
      <c r="J238" s="4"/>
      <c r="K238" s="4">
        <v>202</v>
      </c>
      <c r="L238" s="4">
        <v>2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370.69</v>
      </c>
      <c r="X238" s="4">
        <v>1</v>
      </c>
      <c r="Y238" s="4">
        <v>370.69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222</v>
      </c>
      <c r="F239" s="4">
        <f>ROUND(Source!AO235,O239)</f>
        <v>0</v>
      </c>
      <c r="G239" s="4" t="s">
        <v>42</v>
      </c>
      <c r="H239" s="4" t="s">
        <v>43</v>
      </c>
      <c r="I239" s="4"/>
      <c r="J239" s="4"/>
      <c r="K239" s="4">
        <v>222</v>
      </c>
      <c r="L239" s="4">
        <v>3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225</v>
      </c>
      <c r="F240" s="4">
        <f>ROUND(Source!AV235,O240)</f>
        <v>370.69</v>
      </c>
      <c r="G240" s="4" t="s">
        <v>44</v>
      </c>
      <c r="H240" s="4" t="s">
        <v>45</v>
      </c>
      <c r="I240" s="4"/>
      <c r="J240" s="4"/>
      <c r="K240" s="4">
        <v>225</v>
      </c>
      <c r="L240" s="4">
        <v>4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370.69</v>
      </c>
      <c r="X240" s="4">
        <v>1</v>
      </c>
      <c r="Y240" s="4">
        <v>370.69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226</v>
      </c>
      <c r="F241" s="4">
        <f>ROUND(Source!AW235,O241)</f>
        <v>370.69</v>
      </c>
      <c r="G241" s="4" t="s">
        <v>46</v>
      </c>
      <c r="H241" s="4" t="s">
        <v>47</v>
      </c>
      <c r="I241" s="4"/>
      <c r="J241" s="4"/>
      <c r="K241" s="4">
        <v>226</v>
      </c>
      <c r="L241" s="4">
        <v>5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370.69</v>
      </c>
      <c r="X241" s="4">
        <v>1</v>
      </c>
      <c r="Y241" s="4">
        <v>370.69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227</v>
      </c>
      <c r="F242" s="4">
        <f>ROUND(Source!AX235,O242)</f>
        <v>0</v>
      </c>
      <c r="G242" s="4" t="s">
        <v>48</v>
      </c>
      <c r="H242" s="4" t="s">
        <v>49</v>
      </c>
      <c r="I242" s="4"/>
      <c r="J242" s="4"/>
      <c r="K242" s="4">
        <v>227</v>
      </c>
      <c r="L242" s="4">
        <v>6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228</v>
      </c>
      <c r="F243" s="4">
        <f>ROUND(Source!AY235,O243)</f>
        <v>370.69</v>
      </c>
      <c r="G243" s="4" t="s">
        <v>50</v>
      </c>
      <c r="H243" s="4" t="s">
        <v>51</v>
      </c>
      <c r="I243" s="4"/>
      <c r="J243" s="4"/>
      <c r="K243" s="4">
        <v>228</v>
      </c>
      <c r="L243" s="4">
        <v>7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370.69</v>
      </c>
      <c r="X243" s="4">
        <v>1</v>
      </c>
      <c r="Y243" s="4">
        <v>370.69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216</v>
      </c>
      <c r="F244" s="4">
        <f>ROUND(Source!AP235,O244)</f>
        <v>0</v>
      </c>
      <c r="G244" s="4" t="s">
        <v>52</v>
      </c>
      <c r="H244" s="4" t="s">
        <v>53</v>
      </c>
      <c r="I244" s="4"/>
      <c r="J244" s="4"/>
      <c r="K244" s="4">
        <v>216</v>
      </c>
      <c r="L244" s="4">
        <v>8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223</v>
      </c>
      <c r="F245" s="4">
        <f>ROUND(Source!AQ235,O245)</f>
        <v>0</v>
      </c>
      <c r="G245" s="4" t="s">
        <v>54</v>
      </c>
      <c r="H245" s="4" t="s">
        <v>55</v>
      </c>
      <c r="I245" s="4"/>
      <c r="J245" s="4"/>
      <c r="K245" s="4">
        <v>223</v>
      </c>
      <c r="L245" s="4">
        <v>9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229</v>
      </c>
      <c r="F246" s="4">
        <f>ROUND(Source!AZ235,O246)</f>
        <v>0</v>
      </c>
      <c r="G246" s="4" t="s">
        <v>56</v>
      </c>
      <c r="H246" s="4" t="s">
        <v>57</v>
      </c>
      <c r="I246" s="4"/>
      <c r="J246" s="4"/>
      <c r="K246" s="4">
        <v>229</v>
      </c>
      <c r="L246" s="4">
        <v>10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0</v>
      </c>
      <c r="F247" s="4">
        <f>ROUND(Source!Q235,O247)</f>
        <v>723.6</v>
      </c>
      <c r="G247" s="4" t="s">
        <v>58</v>
      </c>
      <c r="H247" s="4" t="s">
        <v>59</v>
      </c>
      <c r="I247" s="4"/>
      <c r="J247" s="4"/>
      <c r="K247" s="4">
        <v>203</v>
      </c>
      <c r="L247" s="4">
        <v>11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723.6</v>
      </c>
      <c r="X247" s="4">
        <v>1</v>
      </c>
      <c r="Y247" s="4">
        <v>723.6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231</v>
      </c>
      <c r="F248" s="4">
        <f>ROUND(Source!BB235,O248)</f>
        <v>0</v>
      </c>
      <c r="G248" s="4" t="s">
        <v>60</v>
      </c>
      <c r="H248" s="4" t="s">
        <v>61</v>
      </c>
      <c r="I248" s="4"/>
      <c r="J248" s="4"/>
      <c r="K248" s="4">
        <v>231</v>
      </c>
      <c r="L248" s="4">
        <v>12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0</v>
      </c>
      <c r="F249" s="4">
        <f>ROUND(Source!R235,O249)</f>
        <v>229.19</v>
      </c>
      <c r="G249" s="4" t="s">
        <v>62</v>
      </c>
      <c r="H249" s="4" t="s">
        <v>63</v>
      </c>
      <c r="I249" s="4"/>
      <c r="J249" s="4"/>
      <c r="K249" s="4">
        <v>204</v>
      </c>
      <c r="L249" s="4">
        <v>13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229.19</v>
      </c>
      <c r="X249" s="4">
        <v>1</v>
      </c>
      <c r="Y249" s="4">
        <v>229.19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0</v>
      </c>
      <c r="F250" s="4">
        <f>ROUND(Source!S235,O250)</f>
        <v>644.26</v>
      </c>
      <c r="G250" s="4" t="s">
        <v>64</v>
      </c>
      <c r="H250" s="4" t="s">
        <v>65</v>
      </c>
      <c r="I250" s="4"/>
      <c r="J250" s="4"/>
      <c r="K250" s="4">
        <v>205</v>
      </c>
      <c r="L250" s="4">
        <v>14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644.26</v>
      </c>
      <c r="X250" s="4">
        <v>1</v>
      </c>
      <c r="Y250" s="4">
        <v>644.26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232</v>
      </c>
      <c r="F251" s="4">
        <f>ROUND(Source!BC235,O251)</f>
        <v>0</v>
      </c>
      <c r="G251" s="4" t="s">
        <v>66</v>
      </c>
      <c r="H251" s="4" t="s">
        <v>67</v>
      </c>
      <c r="I251" s="4"/>
      <c r="J251" s="4"/>
      <c r="K251" s="4">
        <v>232</v>
      </c>
      <c r="L251" s="4">
        <v>15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214</v>
      </c>
      <c r="F252" s="4">
        <f>ROUND(Source!AS235,O252)</f>
        <v>2940.48</v>
      </c>
      <c r="G252" s="4" t="s">
        <v>68</v>
      </c>
      <c r="H252" s="4" t="s">
        <v>69</v>
      </c>
      <c r="I252" s="4"/>
      <c r="J252" s="4"/>
      <c r="K252" s="4">
        <v>214</v>
      </c>
      <c r="L252" s="4">
        <v>16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2940.48</v>
      </c>
      <c r="X252" s="4">
        <v>1</v>
      </c>
      <c r="Y252" s="4">
        <v>2940.48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215</v>
      </c>
      <c r="F253" s="4">
        <f>ROUND(Source!AT235,O253)</f>
        <v>221.79</v>
      </c>
      <c r="G253" s="4" t="s">
        <v>70</v>
      </c>
      <c r="H253" s="4" t="s">
        <v>71</v>
      </c>
      <c r="I253" s="4"/>
      <c r="J253" s="4"/>
      <c r="K253" s="4">
        <v>215</v>
      </c>
      <c r="L253" s="4">
        <v>17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221.79</v>
      </c>
      <c r="X253" s="4">
        <v>1</v>
      </c>
      <c r="Y253" s="4">
        <v>221.79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217</v>
      </c>
      <c r="F254" s="4">
        <f>ROUND(Source!AU235,O254)</f>
        <v>0</v>
      </c>
      <c r="G254" s="4" t="s">
        <v>72</v>
      </c>
      <c r="H254" s="4" t="s">
        <v>73</v>
      </c>
      <c r="I254" s="4"/>
      <c r="J254" s="4"/>
      <c r="K254" s="4">
        <v>217</v>
      </c>
      <c r="L254" s="4">
        <v>18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230</v>
      </c>
      <c r="F255" s="4">
        <f>ROUND(Source!BA235,O255)</f>
        <v>0</v>
      </c>
      <c r="G255" s="4" t="s">
        <v>74</v>
      </c>
      <c r="H255" s="4" t="s">
        <v>75</v>
      </c>
      <c r="I255" s="4"/>
      <c r="J255" s="4"/>
      <c r="K255" s="4">
        <v>230</v>
      </c>
      <c r="L255" s="4">
        <v>19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206</v>
      </c>
      <c r="F256" s="4">
        <f>ROUND(Source!T235,O256)</f>
        <v>0</v>
      </c>
      <c r="G256" s="4" t="s">
        <v>76</v>
      </c>
      <c r="H256" s="4" t="s">
        <v>77</v>
      </c>
      <c r="I256" s="4"/>
      <c r="J256" s="4"/>
      <c r="K256" s="4">
        <v>206</v>
      </c>
      <c r="L256" s="4">
        <v>20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207</v>
      </c>
      <c r="F257" s="4">
        <f>Source!U235</f>
        <v>2.1044199999999997</v>
      </c>
      <c r="G257" s="4" t="s">
        <v>78</v>
      </c>
      <c r="H257" s="4" t="s">
        <v>79</v>
      </c>
      <c r="I257" s="4"/>
      <c r="J257" s="4"/>
      <c r="K257" s="4">
        <v>207</v>
      </c>
      <c r="L257" s="4">
        <v>21</v>
      </c>
      <c r="M257" s="4">
        <v>3</v>
      </c>
      <c r="N257" s="4" t="s">
        <v>3</v>
      </c>
      <c r="O257" s="4">
        <v>-1</v>
      </c>
      <c r="P257" s="4"/>
      <c r="Q257" s="4"/>
      <c r="R257" s="4"/>
      <c r="S257" s="4"/>
      <c r="T257" s="4"/>
      <c r="U257" s="4"/>
      <c r="V257" s="4"/>
      <c r="W257" s="4">
        <v>2.1044200000000002</v>
      </c>
      <c r="X257" s="4">
        <v>1</v>
      </c>
      <c r="Y257" s="4">
        <v>2.1044200000000002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208</v>
      </c>
      <c r="F258" s="4">
        <f>Source!V235</f>
        <v>0.61016999999999988</v>
      </c>
      <c r="G258" s="4" t="s">
        <v>80</v>
      </c>
      <c r="H258" s="4" t="s">
        <v>81</v>
      </c>
      <c r="I258" s="4"/>
      <c r="J258" s="4"/>
      <c r="K258" s="4">
        <v>208</v>
      </c>
      <c r="L258" s="4">
        <v>22</v>
      </c>
      <c r="M258" s="4">
        <v>3</v>
      </c>
      <c r="N258" s="4" t="s">
        <v>3</v>
      </c>
      <c r="O258" s="4">
        <v>-1</v>
      </c>
      <c r="P258" s="4"/>
      <c r="Q258" s="4"/>
      <c r="R258" s="4"/>
      <c r="S258" s="4"/>
      <c r="T258" s="4"/>
      <c r="U258" s="4"/>
      <c r="V258" s="4"/>
      <c r="W258" s="4">
        <v>0.61016999999999999</v>
      </c>
      <c r="X258" s="4">
        <v>1</v>
      </c>
      <c r="Y258" s="4">
        <v>0.61016999999999999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209</v>
      </c>
      <c r="F259" s="4">
        <f>ROUND(Source!W235,O259)</f>
        <v>0</v>
      </c>
      <c r="G259" s="4" t="s">
        <v>82</v>
      </c>
      <c r="H259" s="4" t="s">
        <v>83</v>
      </c>
      <c r="I259" s="4"/>
      <c r="J259" s="4"/>
      <c r="K259" s="4">
        <v>209</v>
      </c>
      <c r="L259" s="4">
        <v>23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233</v>
      </c>
      <c r="F260" s="4">
        <f>ROUND(Source!BD235,O260)</f>
        <v>0</v>
      </c>
      <c r="G260" s="4" t="s">
        <v>84</v>
      </c>
      <c r="H260" s="4" t="s">
        <v>85</v>
      </c>
      <c r="I260" s="4"/>
      <c r="J260" s="4"/>
      <c r="K260" s="4">
        <v>233</v>
      </c>
      <c r="L260" s="4">
        <v>24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0</v>
      </c>
      <c r="F261" s="4">
        <f>ROUND(Source!X235,O261)</f>
        <v>899.65</v>
      </c>
      <c r="G261" s="4" t="s">
        <v>86</v>
      </c>
      <c r="H261" s="4" t="s">
        <v>87</v>
      </c>
      <c r="I261" s="4"/>
      <c r="J261" s="4"/>
      <c r="K261" s="4">
        <v>210</v>
      </c>
      <c r="L261" s="4">
        <v>25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899.65</v>
      </c>
      <c r="X261" s="4">
        <v>1</v>
      </c>
      <c r="Y261" s="4">
        <v>899.65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0</v>
      </c>
      <c r="F262" s="4">
        <f>ROUND(Source!Y235,O262)</f>
        <v>524.07000000000005</v>
      </c>
      <c r="G262" s="4" t="s">
        <v>88</v>
      </c>
      <c r="H262" s="4" t="s">
        <v>89</v>
      </c>
      <c r="I262" s="4"/>
      <c r="J262" s="4"/>
      <c r="K262" s="4">
        <v>211</v>
      </c>
      <c r="L262" s="4">
        <v>26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524.07000000000005</v>
      </c>
      <c r="X262" s="4">
        <v>1</v>
      </c>
      <c r="Y262" s="4">
        <v>524.07000000000005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224</v>
      </c>
      <c r="F263" s="4">
        <f>ROUND(Source!AR235,O263)</f>
        <v>3162.27</v>
      </c>
      <c r="G263" s="4" t="s">
        <v>90</v>
      </c>
      <c r="H263" s="4" t="s">
        <v>91</v>
      </c>
      <c r="I263" s="4"/>
      <c r="J263" s="4"/>
      <c r="K263" s="4">
        <v>224</v>
      </c>
      <c r="L263" s="4">
        <v>27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3162.27</v>
      </c>
      <c r="X263" s="4">
        <v>1</v>
      </c>
      <c r="Y263" s="4">
        <v>3162.27</v>
      </c>
      <c r="Z263" s="4"/>
      <c r="AA263" s="4"/>
      <c r="AB263" s="4"/>
    </row>
    <row r="264" spans="1:28" x14ac:dyDescent="0.2">
      <c r="A264" s="4">
        <v>50</v>
      </c>
      <c r="B264" s="4">
        <v>1</v>
      </c>
      <c r="C264" s="4">
        <v>0</v>
      </c>
      <c r="D264" s="4">
        <v>2</v>
      </c>
      <c r="E264" s="4">
        <v>205</v>
      </c>
      <c r="F264" s="4">
        <f>ROUND(F250,O264)</f>
        <v>644.26</v>
      </c>
      <c r="G264" s="4" t="s">
        <v>92</v>
      </c>
      <c r="H264" s="4" t="s">
        <v>64</v>
      </c>
      <c r="I264" s="4"/>
      <c r="J264" s="4"/>
      <c r="K264" s="4">
        <v>212</v>
      </c>
      <c r="L264" s="4">
        <v>28</v>
      </c>
      <c r="M264" s="4">
        <v>0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644.26</v>
      </c>
      <c r="X264" s="4">
        <v>1</v>
      </c>
      <c r="Y264" s="4">
        <v>644.26</v>
      </c>
      <c r="Z264" s="4"/>
      <c r="AA264" s="4"/>
      <c r="AB264" s="4"/>
    </row>
    <row r="265" spans="1:28" x14ac:dyDescent="0.2">
      <c r="A265" s="4">
        <v>50</v>
      </c>
      <c r="B265" s="4">
        <v>1</v>
      </c>
      <c r="C265" s="4">
        <v>0</v>
      </c>
      <c r="D265" s="4">
        <v>2</v>
      </c>
      <c r="E265" s="4">
        <v>203</v>
      </c>
      <c r="F265" s="4">
        <f>ROUND(F247,O265)</f>
        <v>723.6</v>
      </c>
      <c r="G265" s="4" t="s">
        <v>93</v>
      </c>
      <c r="H265" s="4" t="s">
        <v>94</v>
      </c>
      <c r="I265" s="4"/>
      <c r="J265" s="4"/>
      <c r="K265" s="4">
        <v>212</v>
      </c>
      <c r="L265" s="4">
        <v>29</v>
      </c>
      <c r="M265" s="4">
        <v>0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723.6</v>
      </c>
      <c r="X265" s="4">
        <v>1</v>
      </c>
      <c r="Y265" s="4">
        <v>723.6</v>
      </c>
      <c r="Z265" s="4"/>
      <c r="AA265" s="4"/>
      <c r="AB265" s="4"/>
    </row>
    <row r="266" spans="1:28" x14ac:dyDescent="0.2">
      <c r="A266" s="4">
        <v>50</v>
      </c>
      <c r="B266" s="4">
        <v>1</v>
      </c>
      <c r="C266" s="4">
        <v>0</v>
      </c>
      <c r="D266" s="4">
        <v>2</v>
      </c>
      <c r="E266" s="4">
        <v>204</v>
      </c>
      <c r="F266" s="4">
        <f>ROUND(F249,O266)</f>
        <v>229.19</v>
      </c>
      <c r="G266" s="4" t="s">
        <v>95</v>
      </c>
      <c r="H266" s="4" t="s">
        <v>96</v>
      </c>
      <c r="I266" s="4"/>
      <c r="J266" s="4"/>
      <c r="K266" s="4">
        <v>212</v>
      </c>
      <c r="L266" s="4">
        <v>30</v>
      </c>
      <c r="M266" s="4">
        <v>0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229.19</v>
      </c>
      <c r="X266" s="4">
        <v>1</v>
      </c>
      <c r="Y266" s="4">
        <v>229.19</v>
      </c>
      <c r="Z266" s="4"/>
      <c r="AA266" s="4"/>
      <c r="AB266" s="4"/>
    </row>
    <row r="267" spans="1:28" x14ac:dyDescent="0.2">
      <c r="A267" s="4">
        <v>50</v>
      </c>
      <c r="B267" s="4">
        <v>1</v>
      </c>
      <c r="C267" s="4">
        <v>0</v>
      </c>
      <c r="D267" s="4">
        <v>2</v>
      </c>
      <c r="E267" s="4">
        <v>202</v>
      </c>
      <c r="F267" s="4">
        <f>ROUND(F238,O267)</f>
        <v>370.69</v>
      </c>
      <c r="G267" s="4" t="s">
        <v>97</v>
      </c>
      <c r="H267" s="4" t="s">
        <v>98</v>
      </c>
      <c r="I267" s="4"/>
      <c r="J267" s="4"/>
      <c r="K267" s="4">
        <v>212</v>
      </c>
      <c r="L267" s="4">
        <v>31</v>
      </c>
      <c r="M267" s="4">
        <v>0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370.69</v>
      </c>
      <c r="X267" s="4">
        <v>1</v>
      </c>
      <c r="Y267" s="4">
        <v>370.69</v>
      </c>
      <c r="Z267" s="4"/>
      <c r="AA267" s="4"/>
      <c r="AB267" s="4"/>
    </row>
    <row r="268" spans="1:28" x14ac:dyDescent="0.2">
      <c r="A268" s="4">
        <v>50</v>
      </c>
      <c r="B268" s="4">
        <v>1</v>
      </c>
      <c r="C268" s="4">
        <v>0</v>
      </c>
      <c r="D268" s="4">
        <v>2</v>
      </c>
      <c r="E268" s="4">
        <v>210</v>
      </c>
      <c r="F268" s="4">
        <f>ROUND(F261,O268)</f>
        <v>899.65</v>
      </c>
      <c r="G268" s="4" t="s">
        <v>99</v>
      </c>
      <c r="H268" s="4" t="s">
        <v>86</v>
      </c>
      <c r="I268" s="4"/>
      <c r="J268" s="4"/>
      <c r="K268" s="4">
        <v>212</v>
      </c>
      <c r="L268" s="4">
        <v>32</v>
      </c>
      <c r="M268" s="4">
        <v>0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899.65</v>
      </c>
      <c r="X268" s="4">
        <v>1</v>
      </c>
      <c r="Y268" s="4">
        <v>899.65</v>
      </c>
      <c r="Z268" s="4"/>
      <c r="AA268" s="4"/>
      <c r="AB268" s="4"/>
    </row>
    <row r="269" spans="1:28" x14ac:dyDescent="0.2">
      <c r="A269" s="4">
        <v>50</v>
      </c>
      <c r="B269" s="4">
        <v>1</v>
      </c>
      <c r="C269" s="4">
        <v>0</v>
      </c>
      <c r="D269" s="4">
        <v>2</v>
      </c>
      <c r="E269" s="4">
        <v>211</v>
      </c>
      <c r="F269" s="4">
        <f>ROUND(F262,O269)</f>
        <v>524.07000000000005</v>
      </c>
      <c r="G269" s="4" t="s">
        <v>100</v>
      </c>
      <c r="H269" s="4" t="s">
        <v>101</v>
      </c>
      <c r="I269" s="4"/>
      <c r="J269" s="4"/>
      <c r="K269" s="4">
        <v>212</v>
      </c>
      <c r="L269" s="4">
        <v>33</v>
      </c>
      <c r="M269" s="4">
        <v>0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524.07000000000005</v>
      </c>
      <c r="X269" s="4">
        <v>1</v>
      </c>
      <c r="Y269" s="4">
        <v>524.07000000000005</v>
      </c>
      <c r="Z269" s="4"/>
      <c r="AA269" s="4"/>
      <c r="AB269" s="4"/>
    </row>
    <row r="270" spans="1:28" x14ac:dyDescent="0.2">
      <c r="A270" s="4">
        <v>50</v>
      </c>
      <c r="B270" s="4">
        <v>1</v>
      </c>
      <c r="C270" s="4">
        <v>0</v>
      </c>
      <c r="D270" s="4">
        <v>2</v>
      </c>
      <c r="E270" s="4">
        <v>213</v>
      </c>
      <c r="F270" s="4">
        <f>ROUND(F264+F265+F267+F268+F269,O270)</f>
        <v>3162.27</v>
      </c>
      <c r="G270" s="4" t="s">
        <v>102</v>
      </c>
      <c r="H270" s="4" t="s">
        <v>103</v>
      </c>
      <c r="I270" s="4"/>
      <c r="J270" s="4"/>
      <c r="K270" s="4">
        <v>212</v>
      </c>
      <c r="L270" s="4">
        <v>34</v>
      </c>
      <c r="M270" s="4">
        <v>0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3162.27</v>
      </c>
      <c r="X270" s="4">
        <v>1</v>
      </c>
      <c r="Y270" s="4">
        <v>3162.27</v>
      </c>
      <c r="Z270" s="4"/>
      <c r="AA270" s="4"/>
      <c r="AB270" s="4"/>
    </row>
    <row r="271" spans="1:28" x14ac:dyDescent="0.2">
      <c r="A271" s="4">
        <v>50</v>
      </c>
      <c r="B271" s="4">
        <v>1</v>
      </c>
      <c r="C271" s="4">
        <v>0</v>
      </c>
      <c r="D271" s="4">
        <v>2</v>
      </c>
      <c r="E271" s="4">
        <v>40729949</v>
      </c>
      <c r="F271" s="4">
        <f>ROUND(F270*0.2,O271)</f>
        <v>632.45000000000005</v>
      </c>
      <c r="G271" s="4" t="s">
        <v>104</v>
      </c>
      <c r="H271" s="4" t="s">
        <v>105</v>
      </c>
      <c r="I271" s="4"/>
      <c r="J271" s="4"/>
      <c r="K271" s="4">
        <v>212</v>
      </c>
      <c r="L271" s="4">
        <v>35</v>
      </c>
      <c r="M271" s="4">
        <v>0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632.45000000000005</v>
      </c>
      <c r="X271" s="4">
        <v>1</v>
      </c>
      <c r="Y271" s="4">
        <v>632.45000000000005</v>
      </c>
      <c r="Z271" s="4"/>
      <c r="AA271" s="4"/>
      <c r="AB271" s="4"/>
    </row>
    <row r="272" spans="1:28" x14ac:dyDescent="0.2">
      <c r="A272" s="4">
        <v>50</v>
      </c>
      <c r="B272" s="4">
        <v>1</v>
      </c>
      <c r="C272" s="4">
        <v>0</v>
      </c>
      <c r="D272" s="4">
        <v>2</v>
      </c>
      <c r="E272" s="4">
        <v>65938917</v>
      </c>
      <c r="F272" s="4">
        <f>ROUND(F270+F271,O272)</f>
        <v>3794.72</v>
      </c>
      <c r="G272" s="4" t="s">
        <v>106</v>
      </c>
      <c r="H272" s="4" t="s">
        <v>107</v>
      </c>
      <c r="I272" s="4"/>
      <c r="J272" s="4"/>
      <c r="K272" s="4">
        <v>212</v>
      </c>
      <c r="L272" s="4">
        <v>36</v>
      </c>
      <c r="M272" s="4">
        <v>0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3794.72</v>
      </c>
      <c r="X272" s="4">
        <v>1</v>
      </c>
      <c r="Y272" s="4">
        <v>3794.72</v>
      </c>
      <c r="Z272" s="4"/>
      <c r="AA272" s="4"/>
      <c r="AB272" s="4"/>
    </row>
    <row r="274" spans="1:206" x14ac:dyDescent="0.2">
      <c r="A274" s="2">
        <v>51</v>
      </c>
      <c r="B274" s="2">
        <f>B20</f>
        <v>1</v>
      </c>
      <c r="C274" s="2">
        <f>A20</f>
        <v>3</v>
      </c>
      <c r="D274" s="2">
        <f>ROW(A20)</f>
        <v>20</v>
      </c>
      <c r="E274" s="2"/>
      <c r="F274" s="2" t="str">
        <f>IF(F20&lt;&gt;"",F20,"")</f>
        <v/>
      </c>
      <c r="G274" s="2" t="str">
        <f>IF(G20&lt;&gt;"",G20,"")</f>
        <v/>
      </c>
      <c r="H274" s="2">
        <v>0</v>
      </c>
      <c r="I274" s="2"/>
      <c r="J274" s="2"/>
      <c r="K274" s="2"/>
      <c r="L274" s="2"/>
      <c r="M274" s="2"/>
      <c r="N274" s="2"/>
      <c r="O274" s="2">
        <f t="shared" ref="O274:T274" si="175">ROUND(O31+O121+O186+O235+AB274,2)</f>
        <v>168833.97</v>
      </c>
      <c r="P274" s="2">
        <f t="shared" si="175"/>
        <v>114574.24</v>
      </c>
      <c r="Q274" s="2">
        <f t="shared" si="175"/>
        <v>27350.080000000002</v>
      </c>
      <c r="R274" s="2">
        <f t="shared" si="175"/>
        <v>6426.67</v>
      </c>
      <c r="S274" s="2">
        <f t="shared" si="175"/>
        <v>26909.65</v>
      </c>
      <c r="T274" s="2">
        <f t="shared" si="175"/>
        <v>0</v>
      </c>
      <c r="U274" s="2">
        <f>U31+U121+U186+U235+AH274</f>
        <v>83.73784400000001</v>
      </c>
      <c r="V274" s="2">
        <f>V31+V121+V186+V235+AI274</f>
        <v>18.338918799999998</v>
      </c>
      <c r="W274" s="2">
        <f>ROUND(W31+W121+W186+W235+AJ274,2)</f>
        <v>0</v>
      </c>
      <c r="X274" s="2">
        <f>ROUND(X31+X121+X186+X235+AK274,2)</f>
        <v>32478.15</v>
      </c>
      <c r="Y274" s="2">
        <f>ROUND(Y31+Y121+Y186+Y235+AL274,2)</f>
        <v>18259.560000000001</v>
      </c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>
        <f t="shared" ref="AO274:BD274" si="176">ROUND(AO31+AO121+AO186+AO235+BX274,2)</f>
        <v>0</v>
      </c>
      <c r="AP274" s="2">
        <f t="shared" si="176"/>
        <v>0</v>
      </c>
      <c r="AQ274" s="2">
        <f t="shared" si="176"/>
        <v>0</v>
      </c>
      <c r="AR274" s="2">
        <f t="shared" si="176"/>
        <v>219571.68</v>
      </c>
      <c r="AS274" s="2">
        <f t="shared" si="176"/>
        <v>191041.84</v>
      </c>
      <c r="AT274" s="2">
        <f t="shared" si="176"/>
        <v>17445.580000000002</v>
      </c>
      <c r="AU274" s="2">
        <f t="shared" si="176"/>
        <v>11084.26</v>
      </c>
      <c r="AV274" s="2">
        <f t="shared" si="176"/>
        <v>114574.24</v>
      </c>
      <c r="AW274" s="2">
        <f t="shared" si="176"/>
        <v>114574.24</v>
      </c>
      <c r="AX274" s="2">
        <f t="shared" si="176"/>
        <v>0</v>
      </c>
      <c r="AY274" s="2">
        <f t="shared" si="176"/>
        <v>114574.24</v>
      </c>
      <c r="AZ274" s="2">
        <f t="shared" si="176"/>
        <v>0</v>
      </c>
      <c r="BA274" s="2">
        <f t="shared" si="176"/>
        <v>0</v>
      </c>
      <c r="BB274" s="2">
        <f t="shared" si="176"/>
        <v>0</v>
      </c>
      <c r="BC274" s="2">
        <f t="shared" si="176"/>
        <v>0</v>
      </c>
      <c r="BD274" s="2">
        <f t="shared" si="176"/>
        <v>0</v>
      </c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3"/>
      <c r="DH274" s="3"/>
      <c r="DI274" s="3"/>
      <c r="DJ274" s="3"/>
      <c r="DK274" s="3"/>
      <c r="DL274" s="3"/>
      <c r="DM274" s="3"/>
      <c r="DN274" s="3"/>
      <c r="DO274" s="3"/>
      <c r="DP274" s="3"/>
      <c r="DQ274" s="3"/>
      <c r="DR274" s="3"/>
      <c r="DS274" s="3"/>
      <c r="DT274" s="3"/>
      <c r="DU274" s="3"/>
      <c r="DV274" s="3"/>
      <c r="DW274" s="3"/>
      <c r="DX274" s="3"/>
      <c r="DY274" s="3"/>
      <c r="DZ274" s="3"/>
      <c r="EA274" s="3"/>
      <c r="EB274" s="3"/>
      <c r="EC274" s="3"/>
      <c r="ED274" s="3"/>
      <c r="EE274" s="3"/>
      <c r="EF274" s="3"/>
      <c r="EG274" s="3"/>
      <c r="EH274" s="3"/>
      <c r="EI274" s="3"/>
      <c r="EJ274" s="3"/>
      <c r="EK274" s="3"/>
      <c r="EL274" s="3"/>
      <c r="EM274" s="3"/>
      <c r="EN274" s="3"/>
      <c r="EO274" s="3"/>
      <c r="EP274" s="3"/>
      <c r="EQ274" s="3"/>
      <c r="ER274" s="3"/>
      <c r="ES274" s="3"/>
      <c r="ET274" s="3"/>
      <c r="EU274" s="3"/>
      <c r="EV274" s="3"/>
      <c r="EW274" s="3"/>
      <c r="EX274" s="3"/>
      <c r="EY274" s="3"/>
      <c r="EZ274" s="3"/>
      <c r="FA274" s="3"/>
      <c r="FB274" s="3"/>
      <c r="FC274" s="3"/>
      <c r="FD274" s="3"/>
      <c r="FE274" s="3"/>
      <c r="FF274" s="3"/>
      <c r="FG274" s="3"/>
      <c r="FH274" s="3"/>
      <c r="FI274" s="3"/>
      <c r="FJ274" s="3"/>
      <c r="FK274" s="3"/>
      <c r="FL274" s="3"/>
      <c r="FM274" s="3"/>
      <c r="FN274" s="3"/>
      <c r="FO274" s="3"/>
      <c r="FP274" s="3"/>
      <c r="FQ274" s="3"/>
      <c r="FR274" s="3"/>
      <c r="FS274" s="3"/>
      <c r="FT274" s="3"/>
      <c r="FU274" s="3"/>
      <c r="FV274" s="3"/>
      <c r="FW274" s="3"/>
      <c r="FX274" s="3"/>
      <c r="FY274" s="3"/>
      <c r="FZ274" s="3"/>
      <c r="GA274" s="3"/>
      <c r="GB274" s="3"/>
      <c r="GC274" s="3"/>
      <c r="GD274" s="3"/>
      <c r="GE274" s="3"/>
      <c r="GF274" s="3"/>
      <c r="GG274" s="3"/>
      <c r="GH274" s="3"/>
      <c r="GI274" s="3"/>
      <c r="GJ274" s="3"/>
      <c r="GK274" s="3"/>
      <c r="GL274" s="3"/>
      <c r="GM274" s="3"/>
      <c r="GN274" s="3"/>
      <c r="GO274" s="3"/>
      <c r="GP274" s="3"/>
      <c r="GQ274" s="3"/>
      <c r="GR274" s="3"/>
      <c r="GS274" s="3"/>
      <c r="GT274" s="3"/>
      <c r="GU274" s="3"/>
      <c r="GV274" s="3"/>
      <c r="GW274" s="3"/>
      <c r="GX274" s="3">
        <v>0</v>
      </c>
    </row>
    <row r="276" spans="1:206" x14ac:dyDescent="0.2">
      <c r="A276" s="4">
        <v>50</v>
      </c>
      <c r="B276" s="4">
        <v>0</v>
      </c>
      <c r="C276" s="4">
        <v>0</v>
      </c>
      <c r="D276" s="4">
        <v>1</v>
      </c>
      <c r="E276" s="4">
        <v>201</v>
      </c>
      <c r="F276" s="4">
        <f>ROUND(Source!O274,O276)</f>
        <v>168833.97</v>
      </c>
      <c r="G276" s="4" t="s">
        <v>38</v>
      </c>
      <c r="H276" s="4" t="s">
        <v>39</v>
      </c>
      <c r="I276" s="4"/>
      <c r="J276" s="4"/>
      <c r="K276" s="4">
        <v>201</v>
      </c>
      <c r="L276" s="4">
        <v>1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168833.97</v>
      </c>
      <c r="X276" s="4">
        <v>1</v>
      </c>
      <c r="Y276" s="4">
        <v>168833.97</v>
      </c>
      <c r="Z276" s="4"/>
      <c r="AA276" s="4"/>
      <c r="AB276" s="4"/>
    </row>
    <row r="277" spans="1:206" x14ac:dyDescent="0.2">
      <c r="A277" s="4">
        <v>50</v>
      </c>
      <c r="B277" s="4">
        <v>0</v>
      </c>
      <c r="C277" s="4">
        <v>0</v>
      </c>
      <c r="D277" s="4">
        <v>1</v>
      </c>
      <c r="E277" s="4">
        <v>0</v>
      </c>
      <c r="F277" s="4">
        <f>ROUND(Source!P274,O277)</f>
        <v>114574.24</v>
      </c>
      <c r="G277" s="4" t="s">
        <v>40</v>
      </c>
      <c r="H277" s="4" t="s">
        <v>41</v>
      </c>
      <c r="I277" s="4"/>
      <c r="J277" s="4"/>
      <c r="K277" s="4">
        <v>202</v>
      </c>
      <c r="L277" s="4">
        <v>2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114574.24</v>
      </c>
      <c r="X277" s="4">
        <v>1</v>
      </c>
      <c r="Y277" s="4">
        <v>114574.24</v>
      </c>
      <c r="Z277" s="4"/>
      <c r="AA277" s="4"/>
      <c r="AB277" s="4"/>
    </row>
    <row r="278" spans="1:206" x14ac:dyDescent="0.2">
      <c r="A278" s="4">
        <v>50</v>
      </c>
      <c r="B278" s="4">
        <v>0</v>
      </c>
      <c r="C278" s="4">
        <v>0</v>
      </c>
      <c r="D278" s="4">
        <v>1</v>
      </c>
      <c r="E278" s="4">
        <v>222</v>
      </c>
      <c r="F278" s="4">
        <f>ROUND(Source!AO274,O278)</f>
        <v>0</v>
      </c>
      <c r="G278" s="4" t="s">
        <v>42</v>
      </c>
      <c r="H278" s="4" t="s">
        <v>43</v>
      </c>
      <c r="I278" s="4"/>
      <c r="J278" s="4"/>
      <c r="K278" s="4">
        <v>222</v>
      </c>
      <c r="L278" s="4">
        <v>3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06" x14ac:dyDescent="0.2">
      <c r="A279" s="4">
        <v>50</v>
      </c>
      <c r="B279" s="4">
        <v>0</v>
      </c>
      <c r="C279" s="4">
        <v>0</v>
      </c>
      <c r="D279" s="4">
        <v>1</v>
      </c>
      <c r="E279" s="4">
        <v>225</v>
      </c>
      <c r="F279" s="4">
        <f>ROUND(Source!AV274,O279)</f>
        <v>114574.24</v>
      </c>
      <c r="G279" s="4" t="s">
        <v>44</v>
      </c>
      <c r="H279" s="4" t="s">
        <v>45</v>
      </c>
      <c r="I279" s="4"/>
      <c r="J279" s="4"/>
      <c r="K279" s="4">
        <v>225</v>
      </c>
      <c r="L279" s="4">
        <v>4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114574.24</v>
      </c>
      <c r="X279" s="4">
        <v>1</v>
      </c>
      <c r="Y279" s="4">
        <v>114574.24</v>
      </c>
      <c r="Z279" s="4"/>
      <c r="AA279" s="4"/>
      <c r="AB279" s="4"/>
    </row>
    <row r="280" spans="1:206" x14ac:dyDescent="0.2">
      <c r="A280" s="4">
        <v>50</v>
      </c>
      <c r="B280" s="4">
        <v>0</v>
      </c>
      <c r="C280" s="4">
        <v>0</v>
      </c>
      <c r="D280" s="4">
        <v>1</v>
      </c>
      <c r="E280" s="4">
        <v>226</v>
      </c>
      <c r="F280" s="4">
        <f>ROUND(Source!AW274,O280)</f>
        <v>114574.24</v>
      </c>
      <c r="G280" s="4" t="s">
        <v>46</v>
      </c>
      <c r="H280" s="4" t="s">
        <v>47</v>
      </c>
      <c r="I280" s="4"/>
      <c r="J280" s="4"/>
      <c r="K280" s="4">
        <v>226</v>
      </c>
      <c r="L280" s="4">
        <v>5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114574.24</v>
      </c>
      <c r="X280" s="4">
        <v>1</v>
      </c>
      <c r="Y280" s="4">
        <v>114574.24</v>
      </c>
      <c r="Z280" s="4"/>
      <c r="AA280" s="4"/>
      <c r="AB280" s="4"/>
    </row>
    <row r="281" spans="1:206" x14ac:dyDescent="0.2">
      <c r="A281" s="4">
        <v>50</v>
      </c>
      <c r="B281" s="4">
        <v>0</v>
      </c>
      <c r="C281" s="4">
        <v>0</v>
      </c>
      <c r="D281" s="4">
        <v>1</v>
      </c>
      <c r="E281" s="4">
        <v>227</v>
      </c>
      <c r="F281" s="4">
        <f>ROUND(Source!AX274,O281)</f>
        <v>0</v>
      </c>
      <c r="G281" s="4" t="s">
        <v>48</v>
      </c>
      <c r="H281" s="4" t="s">
        <v>49</v>
      </c>
      <c r="I281" s="4"/>
      <c r="J281" s="4"/>
      <c r="K281" s="4">
        <v>227</v>
      </c>
      <c r="L281" s="4">
        <v>6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06" x14ac:dyDescent="0.2">
      <c r="A282" s="4">
        <v>50</v>
      </c>
      <c r="B282" s="4">
        <v>0</v>
      </c>
      <c r="C282" s="4">
        <v>0</v>
      </c>
      <c r="D282" s="4">
        <v>1</v>
      </c>
      <c r="E282" s="4">
        <v>228</v>
      </c>
      <c r="F282" s="4">
        <f>ROUND(Source!AY274,O282)</f>
        <v>114574.24</v>
      </c>
      <c r="G282" s="4" t="s">
        <v>50</v>
      </c>
      <c r="H282" s="4" t="s">
        <v>51</v>
      </c>
      <c r="I282" s="4"/>
      <c r="J282" s="4"/>
      <c r="K282" s="4">
        <v>228</v>
      </c>
      <c r="L282" s="4">
        <v>7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114574.24</v>
      </c>
      <c r="X282" s="4">
        <v>1</v>
      </c>
      <c r="Y282" s="4">
        <v>114574.24</v>
      </c>
      <c r="Z282" s="4"/>
      <c r="AA282" s="4"/>
      <c r="AB282" s="4"/>
    </row>
    <row r="283" spans="1:206" x14ac:dyDescent="0.2">
      <c r="A283" s="4">
        <v>50</v>
      </c>
      <c r="B283" s="4">
        <v>0</v>
      </c>
      <c r="C283" s="4">
        <v>0</v>
      </c>
      <c r="D283" s="4">
        <v>1</v>
      </c>
      <c r="E283" s="4">
        <v>216</v>
      </c>
      <c r="F283" s="4">
        <f>ROUND(Source!AP274,O283)</f>
        <v>0</v>
      </c>
      <c r="G283" s="4" t="s">
        <v>52</v>
      </c>
      <c r="H283" s="4" t="s">
        <v>53</v>
      </c>
      <c r="I283" s="4"/>
      <c r="J283" s="4"/>
      <c r="K283" s="4">
        <v>216</v>
      </c>
      <c r="L283" s="4">
        <v>8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06" x14ac:dyDescent="0.2">
      <c r="A284" s="4">
        <v>50</v>
      </c>
      <c r="B284" s="4">
        <v>0</v>
      </c>
      <c r="C284" s="4">
        <v>0</v>
      </c>
      <c r="D284" s="4">
        <v>1</v>
      </c>
      <c r="E284" s="4">
        <v>223</v>
      </c>
      <c r="F284" s="4">
        <f>ROUND(Source!AQ274,O284)</f>
        <v>0</v>
      </c>
      <c r="G284" s="4" t="s">
        <v>54</v>
      </c>
      <c r="H284" s="4" t="s">
        <v>55</v>
      </c>
      <c r="I284" s="4"/>
      <c r="J284" s="4"/>
      <c r="K284" s="4">
        <v>223</v>
      </c>
      <c r="L284" s="4">
        <v>9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06" x14ac:dyDescent="0.2">
      <c r="A285" s="4">
        <v>50</v>
      </c>
      <c r="B285" s="4">
        <v>0</v>
      </c>
      <c r="C285" s="4">
        <v>0</v>
      </c>
      <c r="D285" s="4">
        <v>1</v>
      </c>
      <c r="E285" s="4">
        <v>229</v>
      </c>
      <c r="F285" s="4">
        <f>ROUND(Source!AZ274,O285)</f>
        <v>0</v>
      </c>
      <c r="G285" s="4" t="s">
        <v>56</v>
      </c>
      <c r="H285" s="4" t="s">
        <v>57</v>
      </c>
      <c r="I285" s="4"/>
      <c r="J285" s="4"/>
      <c r="K285" s="4">
        <v>229</v>
      </c>
      <c r="L285" s="4">
        <v>10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06" x14ac:dyDescent="0.2">
      <c r="A286" s="4">
        <v>50</v>
      </c>
      <c r="B286" s="4">
        <v>0</v>
      </c>
      <c r="C286" s="4">
        <v>0</v>
      </c>
      <c r="D286" s="4">
        <v>1</v>
      </c>
      <c r="E286" s="4">
        <v>0</v>
      </c>
      <c r="F286" s="4">
        <f>ROUND(Source!Q274,O286)</f>
        <v>27350.080000000002</v>
      </c>
      <c r="G286" s="4" t="s">
        <v>58</v>
      </c>
      <c r="H286" s="4" t="s">
        <v>59</v>
      </c>
      <c r="I286" s="4"/>
      <c r="J286" s="4"/>
      <c r="K286" s="4">
        <v>203</v>
      </c>
      <c r="L286" s="4">
        <v>11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27350.080000000002</v>
      </c>
      <c r="X286" s="4">
        <v>1</v>
      </c>
      <c r="Y286" s="4">
        <v>27350.080000000002</v>
      </c>
      <c r="Z286" s="4"/>
      <c r="AA286" s="4"/>
      <c r="AB286" s="4"/>
    </row>
    <row r="287" spans="1:206" x14ac:dyDescent="0.2">
      <c r="A287" s="4">
        <v>50</v>
      </c>
      <c r="B287" s="4">
        <v>0</v>
      </c>
      <c r="C287" s="4">
        <v>0</v>
      </c>
      <c r="D287" s="4">
        <v>1</v>
      </c>
      <c r="E287" s="4">
        <v>231</v>
      </c>
      <c r="F287" s="4">
        <f>ROUND(Source!BB274,O287)</f>
        <v>0</v>
      </c>
      <c r="G287" s="4" t="s">
        <v>60</v>
      </c>
      <c r="H287" s="4" t="s">
        <v>61</v>
      </c>
      <c r="I287" s="4"/>
      <c r="J287" s="4"/>
      <c r="K287" s="4">
        <v>231</v>
      </c>
      <c r="L287" s="4">
        <v>12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06" x14ac:dyDescent="0.2">
      <c r="A288" s="4">
        <v>50</v>
      </c>
      <c r="B288" s="4">
        <v>0</v>
      </c>
      <c r="C288" s="4">
        <v>0</v>
      </c>
      <c r="D288" s="4">
        <v>1</v>
      </c>
      <c r="E288" s="4">
        <v>0</v>
      </c>
      <c r="F288" s="4">
        <f>ROUND(Source!R274,O288)</f>
        <v>6426.67</v>
      </c>
      <c r="G288" s="4" t="s">
        <v>62</v>
      </c>
      <c r="H288" s="4" t="s">
        <v>63</v>
      </c>
      <c r="I288" s="4"/>
      <c r="J288" s="4"/>
      <c r="K288" s="4">
        <v>204</v>
      </c>
      <c r="L288" s="4">
        <v>13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6426.67</v>
      </c>
      <c r="X288" s="4">
        <v>1</v>
      </c>
      <c r="Y288" s="4">
        <v>6426.67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0</v>
      </c>
      <c r="F289" s="4">
        <f>ROUND(Source!S274,O289)</f>
        <v>26909.65</v>
      </c>
      <c r="G289" s="4" t="s">
        <v>64</v>
      </c>
      <c r="H289" s="4" t="s">
        <v>65</v>
      </c>
      <c r="I289" s="4"/>
      <c r="J289" s="4"/>
      <c r="K289" s="4">
        <v>205</v>
      </c>
      <c r="L289" s="4">
        <v>14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26909.65</v>
      </c>
      <c r="X289" s="4">
        <v>1</v>
      </c>
      <c r="Y289" s="4">
        <v>26909.65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232</v>
      </c>
      <c r="F290" s="4">
        <f>ROUND(Source!BC274,O290)</f>
        <v>0</v>
      </c>
      <c r="G290" s="4" t="s">
        <v>66</v>
      </c>
      <c r="H290" s="4" t="s">
        <v>67</v>
      </c>
      <c r="I290" s="4"/>
      <c r="J290" s="4"/>
      <c r="K290" s="4">
        <v>232</v>
      </c>
      <c r="L290" s="4">
        <v>15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214</v>
      </c>
      <c r="F291" s="4">
        <f>ROUND(Source!AS274,O291)</f>
        <v>191041.84</v>
      </c>
      <c r="G291" s="4" t="s">
        <v>68</v>
      </c>
      <c r="H291" s="4" t="s">
        <v>69</v>
      </c>
      <c r="I291" s="4"/>
      <c r="J291" s="4"/>
      <c r="K291" s="4">
        <v>214</v>
      </c>
      <c r="L291" s="4">
        <v>16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191041.84</v>
      </c>
      <c r="X291" s="4">
        <v>1</v>
      </c>
      <c r="Y291" s="4">
        <v>191041.84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215</v>
      </c>
      <c r="F292" s="4">
        <f>ROUND(Source!AT274,O292)</f>
        <v>17445.580000000002</v>
      </c>
      <c r="G292" s="4" t="s">
        <v>70</v>
      </c>
      <c r="H292" s="4" t="s">
        <v>71</v>
      </c>
      <c r="I292" s="4"/>
      <c r="J292" s="4"/>
      <c r="K292" s="4">
        <v>215</v>
      </c>
      <c r="L292" s="4">
        <v>17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17445.580000000002</v>
      </c>
      <c r="X292" s="4">
        <v>1</v>
      </c>
      <c r="Y292" s="4">
        <v>17445.580000000002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217</v>
      </c>
      <c r="F293" s="4">
        <f>ROUND(Source!AU274,O293)</f>
        <v>11084.26</v>
      </c>
      <c r="G293" s="4" t="s">
        <v>72</v>
      </c>
      <c r="H293" s="4" t="s">
        <v>73</v>
      </c>
      <c r="I293" s="4"/>
      <c r="J293" s="4"/>
      <c r="K293" s="4">
        <v>217</v>
      </c>
      <c r="L293" s="4">
        <v>18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11084.26</v>
      </c>
      <c r="X293" s="4">
        <v>1</v>
      </c>
      <c r="Y293" s="4">
        <v>11084.26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230</v>
      </c>
      <c r="F294" s="4">
        <f>ROUND(Source!BA274,O294)</f>
        <v>0</v>
      </c>
      <c r="G294" s="4" t="s">
        <v>74</v>
      </c>
      <c r="H294" s="4" t="s">
        <v>75</v>
      </c>
      <c r="I294" s="4"/>
      <c r="J294" s="4"/>
      <c r="K294" s="4">
        <v>230</v>
      </c>
      <c r="L294" s="4">
        <v>19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206</v>
      </c>
      <c r="F295" s="4">
        <f>ROUND(Source!T274,O295)</f>
        <v>0</v>
      </c>
      <c r="G295" s="4" t="s">
        <v>76</v>
      </c>
      <c r="H295" s="4" t="s">
        <v>77</v>
      </c>
      <c r="I295" s="4"/>
      <c r="J295" s="4"/>
      <c r="K295" s="4">
        <v>206</v>
      </c>
      <c r="L295" s="4">
        <v>20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207</v>
      </c>
      <c r="F296" s="4">
        <f>Source!U274</f>
        <v>83.73784400000001</v>
      </c>
      <c r="G296" s="4" t="s">
        <v>78</v>
      </c>
      <c r="H296" s="4" t="s">
        <v>79</v>
      </c>
      <c r="I296" s="4"/>
      <c r="J296" s="4"/>
      <c r="K296" s="4">
        <v>207</v>
      </c>
      <c r="L296" s="4">
        <v>21</v>
      </c>
      <c r="M296" s="4">
        <v>3</v>
      </c>
      <c r="N296" s="4" t="s">
        <v>3</v>
      </c>
      <c r="O296" s="4">
        <v>-1</v>
      </c>
      <c r="P296" s="4"/>
      <c r="Q296" s="4"/>
      <c r="R296" s="4"/>
      <c r="S296" s="4"/>
      <c r="T296" s="4"/>
      <c r="U296" s="4"/>
      <c r="V296" s="4"/>
      <c r="W296" s="4">
        <v>83.73784400000001</v>
      </c>
      <c r="X296" s="4">
        <v>1</v>
      </c>
      <c r="Y296" s="4">
        <v>83.73784400000001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208</v>
      </c>
      <c r="F297" s="4">
        <f>Source!V274</f>
        <v>18.338918799999998</v>
      </c>
      <c r="G297" s="4" t="s">
        <v>80</v>
      </c>
      <c r="H297" s="4" t="s">
        <v>81</v>
      </c>
      <c r="I297" s="4"/>
      <c r="J297" s="4"/>
      <c r="K297" s="4">
        <v>208</v>
      </c>
      <c r="L297" s="4">
        <v>22</v>
      </c>
      <c r="M297" s="4">
        <v>3</v>
      </c>
      <c r="N297" s="4" t="s">
        <v>3</v>
      </c>
      <c r="O297" s="4">
        <v>-1</v>
      </c>
      <c r="P297" s="4"/>
      <c r="Q297" s="4"/>
      <c r="R297" s="4"/>
      <c r="S297" s="4"/>
      <c r="T297" s="4"/>
      <c r="U297" s="4"/>
      <c r="V297" s="4"/>
      <c r="W297" s="4">
        <v>18.338918799999998</v>
      </c>
      <c r="X297" s="4">
        <v>1</v>
      </c>
      <c r="Y297" s="4">
        <v>18.338918799999998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209</v>
      </c>
      <c r="F298" s="4">
        <f>ROUND(Source!W274,O298)</f>
        <v>0</v>
      </c>
      <c r="G298" s="4" t="s">
        <v>82</v>
      </c>
      <c r="H298" s="4" t="s">
        <v>83</v>
      </c>
      <c r="I298" s="4"/>
      <c r="J298" s="4"/>
      <c r="K298" s="4">
        <v>209</v>
      </c>
      <c r="L298" s="4">
        <v>23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233</v>
      </c>
      <c r="F299" s="4">
        <f>ROUND(Source!BD274,O299)</f>
        <v>0</v>
      </c>
      <c r="G299" s="4" t="s">
        <v>84</v>
      </c>
      <c r="H299" s="4" t="s">
        <v>85</v>
      </c>
      <c r="I299" s="4"/>
      <c r="J299" s="4"/>
      <c r="K299" s="4">
        <v>233</v>
      </c>
      <c r="L299" s="4">
        <v>24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0</v>
      </c>
      <c r="F300" s="4">
        <f>ROUND(Source!X274,O300)</f>
        <v>32478.15</v>
      </c>
      <c r="G300" s="4" t="s">
        <v>86</v>
      </c>
      <c r="H300" s="4" t="s">
        <v>87</v>
      </c>
      <c r="I300" s="4"/>
      <c r="J300" s="4"/>
      <c r="K300" s="4">
        <v>210</v>
      </c>
      <c r="L300" s="4">
        <v>25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32478.15</v>
      </c>
      <c r="X300" s="4">
        <v>1</v>
      </c>
      <c r="Y300" s="4">
        <v>32478.15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0</v>
      </c>
      <c r="F301" s="4">
        <f>ROUND(Source!Y274,O301)</f>
        <v>18259.560000000001</v>
      </c>
      <c r="G301" s="4" t="s">
        <v>88</v>
      </c>
      <c r="H301" s="4" t="s">
        <v>89</v>
      </c>
      <c r="I301" s="4"/>
      <c r="J301" s="4"/>
      <c r="K301" s="4">
        <v>211</v>
      </c>
      <c r="L301" s="4">
        <v>26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18259.560000000001</v>
      </c>
      <c r="X301" s="4">
        <v>1</v>
      </c>
      <c r="Y301" s="4">
        <v>18259.560000000001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224</v>
      </c>
      <c r="F302" s="4">
        <f>ROUND(Source!AR274,O302)</f>
        <v>219571.68</v>
      </c>
      <c r="G302" s="4" t="s">
        <v>90</v>
      </c>
      <c r="H302" s="4" t="s">
        <v>91</v>
      </c>
      <c r="I302" s="4"/>
      <c r="J302" s="4"/>
      <c r="K302" s="4">
        <v>224</v>
      </c>
      <c r="L302" s="4">
        <v>27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219571.68</v>
      </c>
      <c r="X302" s="4">
        <v>1</v>
      </c>
      <c r="Y302" s="4">
        <v>219571.68</v>
      </c>
      <c r="Z302" s="4"/>
      <c r="AA302" s="4"/>
      <c r="AB302" s="4"/>
    </row>
    <row r="303" spans="1:28" x14ac:dyDescent="0.2">
      <c r="A303" s="4">
        <v>50</v>
      </c>
      <c r="B303" s="4">
        <v>1</v>
      </c>
      <c r="C303" s="4">
        <v>0</v>
      </c>
      <c r="D303" s="4">
        <v>2</v>
      </c>
      <c r="E303" s="4">
        <v>205</v>
      </c>
      <c r="F303" s="4">
        <f>ROUND(F289,O303)</f>
        <v>26909.65</v>
      </c>
      <c r="G303" s="4" t="s">
        <v>92</v>
      </c>
      <c r="H303" s="4" t="s">
        <v>64</v>
      </c>
      <c r="I303" s="4"/>
      <c r="J303" s="4"/>
      <c r="K303" s="4">
        <v>212</v>
      </c>
      <c r="L303" s="4">
        <v>28</v>
      </c>
      <c r="M303" s="4">
        <v>0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26909.65</v>
      </c>
      <c r="X303" s="4">
        <v>1</v>
      </c>
      <c r="Y303" s="4">
        <v>26909.65</v>
      </c>
      <c r="Z303" s="4"/>
      <c r="AA303" s="4"/>
      <c r="AB303" s="4"/>
    </row>
    <row r="304" spans="1:28" x14ac:dyDescent="0.2">
      <c r="A304" s="4">
        <v>50</v>
      </c>
      <c r="B304" s="4">
        <v>1</v>
      </c>
      <c r="C304" s="4">
        <v>0</v>
      </c>
      <c r="D304" s="4">
        <v>2</v>
      </c>
      <c r="E304" s="4">
        <v>203</v>
      </c>
      <c r="F304" s="4">
        <f>ROUND(F286,O304)</f>
        <v>27350.080000000002</v>
      </c>
      <c r="G304" s="4" t="s">
        <v>93</v>
      </c>
      <c r="H304" s="4" t="s">
        <v>94</v>
      </c>
      <c r="I304" s="4"/>
      <c r="J304" s="4"/>
      <c r="K304" s="4">
        <v>212</v>
      </c>
      <c r="L304" s="4">
        <v>29</v>
      </c>
      <c r="M304" s="4">
        <v>0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27350.080000000002</v>
      </c>
      <c r="X304" s="4">
        <v>1</v>
      </c>
      <c r="Y304" s="4">
        <v>27350.080000000002</v>
      </c>
      <c r="Z304" s="4"/>
      <c r="AA304" s="4"/>
      <c r="AB304" s="4"/>
    </row>
    <row r="305" spans="1:206" x14ac:dyDescent="0.2">
      <c r="A305" s="4">
        <v>50</v>
      </c>
      <c r="B305" s="4">
        <v>1</v>
      </c>
      <c r="C305" s="4">
        <v>0</v>
      </c>
      <c r="D305" s="4">
        <v>2</v>
      </c>
      <c r="E305" s="4">
        <v>204</v>
      </c>
      <c r="F305" s="4">
        <f>ROUND(F288,O305)</f>
        <v>6426.67</v>
      </c>
      <c r="G305" s="4" t="s">
        <v>95</v>
      </c>
      <c r="H305" s="4" t="s">
        <v>96</v>
      </c>
      <c r="I305" s="4"/>
      <c r="J305" s="4"/>
      <c r="K305" s="4">
        <v>212</v>
      </c>
      <c r="L305" s="4">
        <v>30</v>
      </c>
      <c r="M305" s="4">
        <v>0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6426.67</v>
      </c>
      <c r="X305" s="4">
        <v>1</v>
      </c>
      <c r="Y305" s="4">
        <v>6426.67</v>
      </c>
      <c r="Z305" s="4"/>
      <c r="AA305" s="4"/>
      <c r="AB305" s="4"/>
    </row>
    <row r="306" spans="1:206" x14ac:dyDescent="0.2">
      <c r="A306" s="4">
        <v>50</v>
      </c>
      <c r="B306" s="4">
        <v>1</v>
      </c>
      <c r="C306" s="4">
        <v>0</v>
      </c>
      <c r="D306" s="4">
        <v>2</v>
      </c>
      <c r="E306" s="4">
        <v>202</v>
      </c>
      <c r="F306" s="4">
        <f>ROUND(F277,O306)</f>
        <v>114574.24</v>
      </c>
      <c r="G306" s="4" t="s">
        <v>97</v>
      </c>
      <c r="H306" s="4" t="s">
        <v>98</v>
      </c>
      <c r="I306" s="4"/>
      <c r="J306" s="4"/>
      <c r="K306" s="4">
        <v>212</v>
      </c>
      <c r="L306" s="4">
        <v>31</v>
      </c>
      <c r="M306" s="4">
        <v>0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114574.24</v>
      </c>
      <c r="X306" s="4">
        <v>1</v>
      </c>
      <c r="Y306" s="4">
        <v>114574.24</v>
      </c>
      <c r="Z306" s="4"/>
      <c r="AA306" s="4"/>
      <c r="AB306" s="4"/>
    </row>
    <row r="307" spans="1:206" x14ac:dyDescent="0.2">
      <c r="A307" s="4">
        <v>50</v>
      </c>
      <c r="B307" s="4">
        <v>1</v>
      </c>
      <c r="C307" s="4">
        <v>0</v>
      </c>
      <c r="D307" s="4">
        <v>2</v>
      </c>
      <c r="E307" s="4">
        <v>210</v>
      </c>
      <c r="F307" s="4">
        <f>ROUND(F300,O307)</f>
        <v>32478.15</v>
      </c>
      <c r="G307" s="4" t="s">
        <v>99</v>
      </c>
      <c r="H307" s="4" t="s">
        <v>86</v>
      </c>
      <c r="I307" s="4"/>
      <c r="J307" s="4"/>
      <c r="K307" s="4">
        <v>212</v>
      </c>
      <c r="L307" s="4">
        <v>32</v>
      </c>
      <c r="M307" s="4">
        <v>0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32478.15</v>
      </c>
      <c r="X307" s="4">
        <v>1</v>
      </c>
      <c r="Y307" s="4">
        <v>32478.15</v>
      </c>
      <c r="Z307" s="4"/>
      <c r="AA307" s="4"/>
      <c r="AB307" s="4"/>
    </row>
    <row r="308" spans="1:206" x14ac:dyDescent="0.2">
      <c r="A308" s="4">
        <v>50</v>
      </c>
      <c r="B308" s="4">
        <v>1</v>
      </c>
      <c r="C308" s="4">
        <v>0</v>
      </c>
      <c r="D308" s="4">
        <v>2</v>
      </c>
      <c r="E308" s="4">
        <v>211</v>
      </c>
      <c r="F308" s="4">
        <f>ROUND(F301,O308)</f>
        <v>18259.560000000001</v>
      </c>
      <c r="G308" s="4" t="s">
        <v>100</v>
      </c>
      <c r="H308" s="4" t="s">
        <v>101</v>
      </c>
      <c r="I308" s="4"/>
      <c r="J308" s="4"/>
      <c r="K308" s="4">
        <v>212</v>
      </c>
      <c r="L308" s="4">
        <v>33</v>
      </c>
      <c r="M308" s="4">
        <v>0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18259.560000000001</v>
      </c>
      <c r="X308" s="4">
        <v>1</v>
      </c>
      <c r="Y308" s="4">
        <v>18259.560000000001</v>
      </c>
      <c r="Z308" s="4"/>
      <c r="AA308" s="4"/>
      <c r="AB308" s="4"/>
    </row>
    <row r="309" spans="1:206" x14ac:dyDescent="0.2">
      <c r="A309" s="4">
        <v>50</v>
      </c>
      <c r="B309" s="4">
        <v>1</v>
      </c>
      <c r="C309" s="4">
        <v>0</v>
      </c>
      <c r="D309" s="4">
        <v>2</v>
      </c>
      <c r="E309" s="4">
        <v>213</v>
      </c>
      <c r="F309" s="4">
        <f>ROUND(F303+F304+F306+F307+F308,O309)</f>
        <v>219571.68</v>
      </c>
      <c r="G309" s="4" t="s">
        <v>102</v>
      </c>
      <c r="H309" s="4" t="s">
        <v>103</v>
      </c>
      <c r="I309" s="4"/>
      <c r="J309" s="4"/>
      <c r="K309" s="4">
        <v>212</v>
      </c>
      <c r="L309" s="4">
        <v>34</v>
      </c>
      <c r="M309" s="4">
        <v>0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219571.68</v>
      </c>
      <c r="X309" s="4">
        <v>1</v>
      </c>
      <c r="Y309" s="4">
        <v>219571.68</v>
      </c>
      <c r="Z309" s="4"/>
      <c r="AA309" s="4"/>
      <c r="AB309" s="4"/>
    </row>
    <row r="310" spans="1:206" x14ac:dyDescent="0.2">
      <c r="A310" s="4">
        <v>50</v>
      </c>
      <c r="B310" s="4">
        <v>1</v>
      </c>
      <c r="C310" s="4">
        <v>0</v>
      </c>
      <c r="D310" s="4">
        <v>2</v>
      </c>
      <c r="E310" s="4">
        <v>40729949</v>
      </c>
      <c r="F310" s="4">
        <f>ROUND(F309*0.2,O310)</f>
        <v>43914.34</v>
      </c>
      <c r="G310" s="4" t="s">
        <v>104</v>
      </c>
      <c r="H310" s="4" t="s">
        <v>105</v>
      </c>
      <c r="I310" s="4"/>
      <c r="J310" s="4"/>
      <c r="K310" s="4">
        <v>212</v>
      </c>
      <c r="L310" s="4">
        <v>35</v>
      </c>
      <c r="M310" s="4">
        <v>0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43914.34</v>
      </c>
      <c r="X310" s="4">
        <v>1</v>
      </c>
      <c r="Y310" s="4">
        <v>43914.34</v>
      </c>
      <c r="Z310" s="4"/>
      <c r="AA310" s="4"/>
      <c r="AB310" s="4"/>
    </row>
    <row r="311" spans="1:206" x14ac:dyDescent="0.2">
      <c r="A311" s="4">
        <v>50</v>
      </c>
      <c r="B311" s="4">
        <v>1</v>
      </c>
      <c r="C311" s="4">
        <v>0</v>
      </c>
      <c r="D311" s="4">
        <v>2</v>
      </c>
      <c r="E311" s="4">
        <v>65938917</v>
      </c>
      <c r="F311" s="4">
        <f>ROUND(F309+F310,O311)</f>
        <v>263486.02</v>
      </c>
      <c r="G311" s="4" t="s">
        <v>106</v>
      </c>
      <c r="H311" s="4" t="s">
        <v>107</v>
      </c>
      <c r="I311" s="4"/>
      <c r="J311" s="4"/>
      <c r="K311" s="4">
        <v>212</v>
      </c>
      <c r="L311" s="4">
        <v>36</v>
      </c>
      <c r="M311" s="4">
        <v>0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263486.02</v>
      </c>
      <c r="X311" s="4">
        <v>1</v>
      </c>
      <c r="Y311" s="4">
        <v>263486.02</v>
      </c>
      <c r="Z311" s="4"/>
      <c r="AA311" s="4"/>
      <c r="AB311" s="4"/>
    </row>
    <row r="313" spans="1:206" x14ac:dyDescent="0.2">
      <c r="A313" s="2">
        <v>51</v>
      </c>
      <c r="B313" s="2">
        <f>B12</f>
        <v>380</v>
      </c>
      <c r="C313" s="2">
        <f>A12</f>
        <v>1</v>
      </c>
      <c r="D313" s="2">
        <f>ROW(A12)</f>
        <v>12</v>
      </c>
      <c r="E313" s="2"/>
      <c r="F313" s="2" t="str">
        <f>IF(F12&lt;&gt;"",F12,"")</f>
        <v>ТЕР</v>
      </c>
      <c r="G313" s="2" t="str">
        <f>IF(G12&lt;&gt;"",G12,"")</f>
        <v>Установка реклоузеров на ВЛ-6 кВ на линии №11 в п. Сосновка, Заволжье</v>
      </c>
      <c r="H313" s="2">
        <v>0</v>
      </c>
      <c r="I313" s="2"/>
      <c r="J313" s="2"/>
      <c r="K313" s="2"/>
      <c r="L313" s="2"/>
      <c r="M313" s="2"/>
      <c r="N313" s="2"/>
      <c r="O313" s="2">
        <f t="shared" ref="O313:T313" si="177">ROUND(O274,2)</f>
        <v>168833.97</v>
      </c>
      <c r="P313" s="2">
        <f t="shared" si="177"/>
        <v>114574.24</v>
      </c>
      <c r="Q313" s="2">
        <f t="shared" si="177"/>
        <v>27350.080000000002</v>
      </c>
      <c r="R313" s="2">
        <f t="shared" si="177"/>
        <v>6426.67</v>
      </c>
      <c r="S313" s="2">
        <f t="shared" si="177"/>
        <v>26909.65</v>
      </c>
      <c r="T313" s="2">
        <f t="shared" si="177"/>
        <v>0</v>
      </c>
      <c r="U313" s="2">
        <f>U274</f>
        <v>83.73784400000001</v>
      </c>
      <c r="V313" s="2">
        <f>V274</f>
        <v>18.338918799999998</v>
      </c>
      <c r="W313" s="2">
        <f>ROUND(W274,2)</f>
        <v>0</v>
      </c>
      <c r="X313" s="2">
        <f>ROUND(X274,2)</f>
        <v>32478.15</v>
      </c>
      <c r="Y313" s="2">
        <f>ROUND(Y274,2)</f>
        <v>18259.560000000001</v>
      </c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>
        <f t="shared" ref="AO313:BD313" si="178">ROUND(AO274,2)</f>
        <v>0</v>
      </c>
      <c r="AP313" s="2">
        <f t="shared" si="178"/>
        <v>0</v>
      </c>
      <c r="AQ313" s="2">
        <f t="shared" si="178"/>
        <v>0</v>
      </c>
      <c r="AR313" s="2">
        <f t="shared" si="178"/>
        <v>219571.68</v>
      </c>
      <c r="AS313" s="2">
        <f t="shared" si="178"/>
        <v>191041.84</v>
      </c>
      <c r="AT313" s="2">
        <f t="shared" si="178"/>
        <v>17445.580000000002</v>
      </c>
      <c r="AU313" s="2">
        <f t="shared" si="178"/>
        <v>11084.26</v>
      </c>
      <c r="AV313" s="2">
        <f t="shared" si="178"/>
        <v>114574.24</v>
      </c>
      <c r="AW313" s="2">
        <f t="shared" si="178"/>
        <v>114574.24</v>
      </c>
      <c r="AX313" s="2">
        <f t="shared" si="178"/>
        <v>0</v>
      </c>
      <c r="AY313" s="2">
        <f t="shared" si="178"/>
        <v>114574.24</v>
      </c>
      <c r="AZ313" s="2">
        <f t="shared" si="178"/>
        <v>0</v>
      </c>
      <c r="BA313" s="2">
        <f t="shared" si="178"/>
        <v>0</v>
      </c>
      <c r="BB313" s="2">
        <f t="shared" si="178"/>
        <v>0</v>
      </c>
      <c r="BC313" s="2">
        <f t="shared" si="178"/>
        <v>0</v>
      </c>
      <c r="BD313" s="2">
        <f t="shared" si="178"/>
        <v>0</v>
      </c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3"/>
      <c r="DH313" s="3"/>
      <c r="DI313" s="3"/>
      <c r="DJ313" s="3"/>
      <c r="DK313" s="3"/>
      <c r="DL313" s="3"/>
      <c r="DM313" s="3"/>
      <c r="DN313" s="3"/>
      <c r="DO313" s="3"/>
      <c r="DP313" s="3"/>
      <c r="DQ313" s="3"/>
      <c r="DR313" s="3"/>
      <c r="DS313" s="3"/>
      <c r="DT313" s="3"/>
      <c r="DU313" s="3"/>
      <c r="DV313" s="3"/>
      <c r="DW313" s="3"/>
      <c r="DX313" s="3"/>
      <c r="DY313" s="3"/>
      <c r="DZ313" s="3"/>
      <c r="EA313" s="3"/>
      <c r="EB313" s="3"/>
      <c r="EC313" s="3"/>
      <c r="ED313" s="3"/>
      <c r="EE313" s="3"/>
      <c r="EF313" s="3"/>
      <c r="EG313" s="3"/>
      <c r="EH313" s="3"/>
      <c r="EI313" s="3"/>
      <c r="EJ313" s="3"/>
      <c r="EK313" s="3"/>
      <c r="EL313" s="3"/>
      <c r="EM313" s="3"/>
      <c r="EN313" s="3"/>
      <c r="EO313" s="3"/>
      <c r="EP313" s="3"/>
      <c r="EQ313" s="3"/>
      <c r="ER313" s="3"/>
      <c r="ES313" s="3"/>
      <c r="ET313" s="3"/>
      <c r="EU313" s="3"/>
      <c r="EV313" s="3"/>
      <c r="EW313" s="3"/>
      <c r="EX313" s="3"/>
      <c r="EY313" s="3"/>
      <c r="EZ313" s="3"/>
      <c r="FA313" s="3"/>
      <c r="FB313" s="3"/>
      <c r="FC313" s="3"/>
      <c r="FD313" s="3"/>
      <c r="FE313" s="3"/>
      <c r="FF313" s="3"/>
      <c r="FG313" s="3"/>
      <c r="FH313" s="3"/>
      <c r="FI313" s="3"/>
      <c r="FJ313" s="3"/>
      <c r="FK313" s="3"/>
      <c r="FL313" s="3"/>
      <c r="FM313" s="3"/>
      <c r="FN313" s="3"/>
      <c r="FO313" s="3"/>
      <c r="FP313" s="3"/>
      <c r="FQ313" s="3"/>
      <c r="FR313" s="3"/>
      <c r="FS313" s="3"/>
      <c r="FT313" s="3"/>
      <c r="FU313" s="3"/>
      <c r="FV313" s="3"/>
      <c r="FW313" s="3"/>
      <c r="FX313" s="3"/>
      <c r="FY313" s="3"/>
      <c r="FZ313" s="3"/>
      <c r="GA313" s="3"/>
      <c r="GB313" s="3"/>
      <c r="GC313" s="3"/>
      <c r="GD313" s="3"/>
      <c r="GE313" s="3"/>
      <c r="GF313" s="3"/>
      <c r="GG313" s="3"/>
      <c r="GH313" s="3"/>
      <c r="GI313" s="3"/>
      <c r="GJ313" s="3"/>
      <c r="GK313" s="3"/>
      <c r="GL313" s="3"/>
      <c r="GM313" s="3"/>
      <c r="GN313" s="3"/>
      <c r="GO313" s="3"/>
      <c r="GP313" s="3"/>
      <c r="GQ313" s="3"/>
      <c r="GR313" s="3"/>
      <c r="GS313" s="3"/>
      <c r="GT313" s="3"/>
      <c r="GU313" s="3"/>
      <c r="GV313" s="3"/>
      <c r="GW313" s="3"/>
      <c r="GX313" s="3">
        <v>0</v>
      </c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201</v>
      </c>
      <c r="F315" s="4">
        <f>ROUND(Source!O313,O315)</f>
        <v>168833.97</v>
      </c>
      <c r="G315" s="4" t="s">
        <v>38</v>
      </c>
      <c r="H315" s="4" t="s">
        <v>39</v>
      </c>
      <c r="I315" s="4"/>
      <c r="J315" s="4"/>
      <c r="K315" s="4">
        <v>201</v>
      </c>
      <c r="L315" s="4">
        <v>1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168833.97</v>
      </c>
      <c r="X315" s="4">
        <v>1</v>
      </c>
      <c r="Y315" s="4">
        <v>168833.97</v>
      </c>
      <c r="Z315" s="4"/>
      <c r="AA315" s="4"/>
      <c r="AB315" s="4"/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0</v>
      </c>
      <c r="F316" s="4">
        <f>ROUND(Source!P313,O316)</f>
        <v>114574.24</v>
      </c>
      <c r="G316" s="4" t="s">
        <v>40</v>
      </c>
      <c r="H316" s="4" t="s">
        <v>41</v>
      </c>
      <c r="I316" s="4"/>
      <c r="J316" s="4"/>
      <c r="K316" s="4">
        <v>202</v>
      </c>
      <c r="L316" s="4">
        <v>2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114574.24</v>
      </c>
      <c r="X316" s="4">
        <v>1</v>
      </c>
      <c r="Y316" s="4">
        <v>114574.24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222</v>
      </c>
      <c r="F317" s="4">
        <f>ROUND(Source!AO313,O317)</f>
        <v>0</v>
      </c>
      <c r="G317" s="4" t="s">
        <v>42</v>
      </c>
      <c r="H317" s="4" t="s">
        <v>43</v>
      </c>
      <c r="I317" s="4"/>
      <c r="J317" s="4"/>
      <c r="K317" s="4">
        <v>222</v>
      </c>
      <c r="L317" s="4">
        <v>3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0</v>
      </c>
      <c r="X317" s="4">
        <v>1</v>
      </c>
      <c r="Y317" s="4">
        <v>0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225</v>
      </c>
      <c r="F318" s="4">
        <f>ROUND(Source!AV313,O318)</f>
        <v>114574.24</v>
      </c>
      <c r="G318" s="4" t="s">
        <v>44</v>
      </c>
      <c r="H318" s="4" t="s">
        <v>45</v>
      </c>
      <c r="I318" s="4"/>
      <c r="J318" s="4"/>
      <c r="K318" s="4">
        <v>225</v>
      </c>
      <c r="L318" s="4">
        <v>4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114574.24</v>
      </c>
      <c r="X318" s="4">
        <v>1</v>
      </c>
      <c r="Y318" s="4">
        <v>114574.24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226</v>
      </c>
      <c r="F319" s="4">
        <f>ROUND(Source!AW313,O319)</f>
        <v>114574.24</v>
      </c>
      <c r="G319" s="4" t="s">
        <v>46</v>
      </c>
      <c r="H319" s="4" t="s">
        <v>47</v>
      </c>
      <c r="I319" s="4"/>
      <c r="J319" s="4"/>
      <c r="K319" s="4">
        <v>226</v>
      </c>
      <c r="L319" s="4">
        <v>5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114574.24</v>
      </c>
      <c r="X319" s="4">
        <v>1</v>
      </c>
      <c r="Y319" s="4">
        <v>114574.24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227</v>
      </c>
      <c r="F320" s="4">
        <f>ROUND(Source!AX313,O320)</f>
        <v>0</v>
      </c>
      <c r="G320" s="4" t="s">
        <v>48</v>
      </c>
      <c r="H320" s="4" t="s">
        <v>49</v>
      </c>
      <c r="I320" s="4"/>
      <c r="J320" s="4"/>
      <c r="K320" s="4">
        <v>227</v>
      </c>
      <c r="L320" s="4">
        <v>6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0</v>
      </c>
      <c r="X320" s="4">
        <v>1</v>
      </c>
      <c r="Y320" s="4">
        <v>0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228</v>
      </c>
      <c r="F321" s="4">
        <f>ROUND(Source!AY313,O321)</f>
        <v>114574.24</v>
      </c>
      <c r="G321" s="4" t="s">
        <v>50</v>
      </c>
      <c r="H321" s="4" t="s">
        <v>51</v>
      </c>
      <c r="I321" s="4"/>
      <c r="J321" s="4"/>
      <c r="K321" s="4">
        <v>228</v>
      </c>
      <c r="L321" s="4">
        <v>7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114574.24</v>
      </c>
      <c r="X321" s="4">
        <v>1</v>
      </c>
      <c r="Y321" s="4">
        <v>114574.24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216</v>
      </c>
      <c r="F322" s="4">
        <f>ROUND(Source!AP313,O322)</f>
        <v>0</v>
      </c>
      <c r="G322" s="4" t="s">
        <v>52</v>
      </c>
      <c r="H322" s="4" t="s">
        <v>53</v>
      </c>
      <c r="I322" s="4"/>
      <c r="J322" s="4"/>
      <c r="K322" s="4">
        <v>216</v>
      </c>
      <c r="L322" s="4">
        <v>8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223</v>
      </c>
      <c r="F323" s="4">
        <f>ROUND(Source!AQ313,O323)</f>
        <v>0</v>
      </c>
      <c r="G323" s="4" t="s">
        <v>54</v>
      </c>
      <c r="H323" s="4" t="s">
        <v>55</v>
      </c>
      <c r="I323" s="4"/>
      <c r="J323" s="4"/>
      <c r="K323" s="4">
        <v>223</v>
      </c>
      <c r="L323" s="4">
        <v>9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229</v>
      </c>
      <c r="F324" s="4">
        <f>ROUND(Source!AZ313,O324)</f>
        <v>0</v>
      </c>
      <c r="G324" s="4" t="s">
        <v>56</v>
      </c>
      <c r="H324" s="4" t="s">
        <v>57</v>
      </c>
      <c r="I324" s="4"/>
      <c r="J324" s="4"/>
      <c r="K324" s="4">
        <v>229</v>
      </c>
      <c r="L324" s="4">
        <v>10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0</v>
      </c>
      <c r="F325" s="4">
        <f>ROUND(Source!Q313,O325)</f>
        <v>27350.080000000002</v>
      </c>
      <c r="G325" s="4" t="s">
        <v>58</v>
      </c>
      <c r="H325" s="4" t="s">
        <v>59</v>
      </c>
      <c r="I325" s="4"/>
      <c r="J325" s="4"/>
      <c r="K325" s="4">
        <v>203</v>
      </c>
      <c r="L325" s="4">
        <v>11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27350.080000000002</v>
      </c>
      <c r="X325" s="4">
        <v>1</v>
      </c>
      <c r="Y325" s="4">
        <v>27350.080000000002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231</v>
      </c>
      <c r="F326" s="4">
        <f>ROUND(Source!BB313,O326)</f>
        <v>0</v>
      </c>
      <c r="G326" s="4" t="s">
        <v>60</v>
      </c>
      <c r="H326" s="4" t="s">
        <v>61</v>
      </c>
      <c r="I326" s="4"/>
      <c r="J326" s="4"/>
      <c r="K326" s="4">
        <v>231</v>
      </c>
      <c r="L326" s="4">
        <v>12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0</v>
      </c>
      <c r="F327" s="4">
        <f>ROUND(Source!R313,O327)</f>
        <v>6426.67</v>
      </c>
      <c r="G327" s="4" t="s">
        <v>62</v>
      </c>
      <c r="H327" s="4" t="s">
        <v>63</v>
      </c>
      <c r="I327" s="4"/>
      <c r="J327" s="4"/>
      <c r="K327" s="4">
        <v>204</v>
      </c>
      <c r="L327" s="4">
        <v>13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6426.67</v>
      </c>
      <c r="X327" s="4">
        <v>1</v>
      </c>
      <c r="Y327" s="4">
        <v>6426.67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0</v>
      </c>
      <c r="F328" s="4">
        <f>ROUND(Source!S313,O328)</f>
        <v>26909.65</v>
      </c>
      <c r="G328" s="4" t="s">
        <v>64</v>
      </c>
      <c r="H328" s="4" t="s">
        <v>65</v>
      </c>
      <c r="I328" s="4"/>
      <c r="J328" s="4"/>
      <c r="K328" s="4">
        <v>205</v>
      </c>
      <c r="L328" s="4">
        <v>14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26909.65</v>
      </c>
      <c r="X328" s="4">
        <v>1</v>
      </c>
      <c r="Y328" s="4">
        <v>26909.65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232</v>
      </c>
      <c r="F329" s="4">
        <f>ROUND(Source!BC313,O329)</f>
        <v>0</v>
      </c>
      <c r="G329" s="4" t="s">
        <v>66</v>
      </c>
      <c r="H329" s="4" t="s">
        <v>67</v>
      </c>
      <c r="I329" s="4"/>
      <c r="J329" s="4"/>
      <c r="K329" s="4">
        <v>232</v>
      </c>
      <c r="L329" s="4">
        <v>15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214</v>
      </c>
      <c r="F330" s="4">
        <f>ROUND(Source!AS313,O330)</f>
        <v>191041.84</v>
      </c>
      <c r="G330" s="4" t="s">
        <v>68</v>
      </c>
      <c r="H330" s="4" t="s">
        <v>69</v>
      </c>
      <c r="I330" s="4"/>
      <c r="J330" s="4"/>
      <c r="K330" s="4">
        <v>214</v>
      </c>
      <c r="L330" s="4">
        <v>16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191041.84</v>
      </c>
      <c r="X330" s="4">
        <v>1</v>
      </c>
      <c r="Y330" s="4">
        <v>191041.84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215</v>
      </c>
      <c r="F331" s="4">
        <f>ROUND(Source!AT313,O331)</f>
        <v>17445.580000000002</v>
      </c>
      <c r="G331" s="4" t="s">
        <v>70</v>
      </c>
      <c r="H331" s="4" t="s">
        <v>71</v>
      </c>
      <c r="I331" s="4"/>
      <c r="J331" s="4"/>
      <c r="K331" s="4">
        <v>215</v>
      </c>
      <c r="L331" s="4">
        <v>17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17445.580000000002</v>
      </c>
      <c r="X331" s="4">
        <v>1</v>
      </c>
      <c r="Y331" s="4">
        <v>17445.580000000002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217</v>
      </c>
      <c r="F332" s="4">
        <f>ROUND(Source!AU313,O332)</f>
        <v>11084.26</v>
      </c>
      <c r="G332" s="4" t="s">
        <v>72</v>
      </c>
      <c r="H332" s="4" t="s">
        <v>73</v>
      </c>
      <c r="I332" s="4"/>
      <c r="J332" s="4"/>
      <c r="K332" s="4">
        <v>217</v>
      </c>
      <c r="L332" s="4">
        <v>18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11084.26</v>
      </c>
      <c r="X332" s="4">
        <v>1</v>
      </c>
      <c r="Y332" s="4">
        <v>11084.26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230</v>
      </c>
      <c r="F333" s="4">
        <f>ROUND(Source!BA313,O333)</f>
        <v>0</v>
      </c>
      <c r="G333" s="4" t="s">
        <v>74</v>
      </c>
      <c r="H333" s="4" t="s">
        <v>75</v>
      </c>
      <c r="I333" s="4"/>
      <c r="J333" s="4"/>
      <c r="K333" s="4">
        <v>230</v>
      </c>
      <c r="L333" s="4">
        <v>19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206</v>
      </c>
      <c r="F334" s="4">
        <f>ROUND(Source!T313,O334)</f>
        <v>0</v>
      </c>
      <c r="G334" s="4" t="s">
        <v>76</v>
      </c>
      <c r="H334" s="4" t="s">
        <v>77</v>
      </c>
      <c r="I334" s="4"/>
      <c r="J334" s="4"/>
      <c r="K334" s="4">
        <v>206</v>
      </c>
      <c r="L334" s="4">
        <v>20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207</v>
      </c>
      <c r="F335" s="4">
        <f>Source!U313</f>
        <v>83.73784400000001</v>
      </c>
      <c r="G335" s="4" t="s">
        <v>78</v>
      </c>
      <c r="H335" s="4" t="s">
        <v>79</v>
      </c>
      <c r="I335" s="4"/>
      <c r="J335" s="4"/>
      <c r="K335" s="4">
        <v>207</v>
      </c>
      <c r="L335" s="4">
        <v>21</v>
      </c>
      <c r="M335" s="4">
        <v>3</v>
      </c>
      <c r="N335" s="4" t="s">
        <v>3</v>
      </c>
      <c r="O335" s="4">
        <v>-1</v>
      </c>
      <c r="P335" s="4"/>
      <c r="Q335" s="4"/>
      <c r="R335" s="4"/>
      <c r="S335" s="4"/>
      <c r="T335" s="4"/>
      <c r="U335" s="4"/>
      <c r="V335" s="4"/>
      <c r="W335" s="4">
        <v>83.73784400000001</v>
      </c>
      <c r="X335" s="4">
        <v>1</v>
      </c>
      <c r="Y335" s="4">
        <v>83.73784400000001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208</v>
      </c>
      <c r="F336" s="4">
        <f>Source!V313</f>
        <v>18.338918799999998</v>
      </c>
      <c r="G336" s="4" t="s">
        <v>80</v>
      </c>
      <c r="H336" s="4" t="s">
        <v>81</v>
      </c>
      <c r="I336" s="4"/>
      <c r="J336" s="4"/>
      <c r="K336" s="4">
        <v>208</v>
      </c>
      <c r="L336" s="4">
        <v>22</v>
      </c>
      <c r="M336" s="4">
        <v>3</v>
      </c>
      <c r="N336" s="4" t="s">
        <v>3</v>
      </c>
      <c r="O336" s="4">
        <v>-1</v>
      </c>
      <c r="P336" s="4"/>
      <c r="Q336" s="4"/>
      <c r="R336" s="4"/>
      <c r="S336" s="4"/>
      <c r="T336" s="4"/>
      <c r="U336" s="4"/>
      <c r="V336" s="4"/>
      <c r="W336" s="4">
        <v>18.338918799999998</v>
      </c>
      <c r="X336" s="4">
        <v>1</v>
      </c>
      <c r="Y336" s="4">
        <v>18.338918799999998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209</v>
      </c>
      <c r="F337" s="4">
        <f>ROUND(Source!W313,O337)</f>
        <v>0</v>
      </c>
      <c r="G337" s="4" t="s">
        <v>82</v>
      </c>
      <c r="H337" s="4" t="s">
        <v>83</v>
      </c>
      <c r="I337" s="4"/>
      <c r="J337" s="4"/>
      <c r="K337" s="4">
        <v>209</v>
      </c>
      <c r="L337" s="4">
        <v>23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233</v>
      </c>
      <c r="F338" s="4">
        <f>ROUND(Source!BD313,O338)</f>
        <v>0</v>
      </c>
      <c r="G338" s="4" t="s">
        <v>84</v>
      </c>
      <c r="H338" s="4" t="s">
        <v>85</v>
      </c>
      <c r="I338" s="4"/>
      <c r="J338" s="4"/>
      <c r="K338" s="4">
        <v>233</v>
      </c>
      <c r="L338" s="4">
        <v>24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0</v>
      </c>
      <c r="F339" s="4">
        <f>ROUND(Source!X313,O339)</f>
        <v>32478.15</v>
      </c>
      <c r="G339" s="4" t="s">
        <v>86</v>
      </c>
      <c r="H339" s="4" t="s">
        <v>87</v>
      </c>
      <c r="I339" s="4"/>
      <c r="J339" s="4"/>
      <c r="K339" s="4">
        <v>210</v>
      </c>
      <c r="L339" s="4">
        <v>25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32478.15</v>
      </c>
      <c r="X339" s="4">
        <v>1</v>
      </c>
      <c r="Y339" s="4">
        <v>32478.15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0</v>
      </c>
      <c r="F340" s="4">
        <f>ROUND(Source!Y313,O340)</f>
        <v>18259.560000000001</v>
      </c>
      <c r="G340" s="4" t="s">
        <v>88</v>
      </c>
      <c r="H340" s="4" t="s">
        <v>89</v>
      </c>
      <c r="I340" s="4"/>
      <c r="J340" s="4"/>
      <c r="K340" s="4">
        <v>211</v>
      </c>
      <c r="L340" s="4">
        <v>26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18259.560000000001</v>
      </c>
      <c r="X340" s="4">
        <v>1</v>
      </c>
      <c r="Y340" s="4">
        <v>18259.560000000001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224</v>
      </c>
      <c r="F341" s="4">
        <f>ROUND(Source!AR313,O341)</f>
        <v>219571.68</v>
      </c>
      <c r="G341" s="4" t="s">
        <v>90</v>
      </c>
      <c r="H341" s="4" t="s">
        <v>91</v>
      </c>
      <c r="I341" s="4"/>
      <c r="J341" s="4"/>
      <c r="K341" s="4">
        <v>224</v>
      </c>
      <c r="L341" s="4">
        <v>27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219571.68</v>
      </c>
      <c r="X341" s="4">
        <v>1</v>
      </c>
      <c r="Y341" s="4">
        <v>219571.68</v>
      </c>
      <c r="Z341" s="4"/>
      <c r="AA341" s="4"/>
      <c r="AB341" s="4"/>
    </row>
    <row r="342" spans="1:28" x14ac:dyDescent="0.2">
      <c r="A342" s="4">
        <v>50</v>
      </c>
      <c r="B342" s="4">
        <v>1</v>
      </c>
      <c r="C342" s="4">
        <v>0</v>
      </c>
      <c r="D342" s="4">
        <v>2</v>
      </c>
      <c r="E342" s="4">
        <v>205</v>
      </c>
      <c r="F342" s="4">
        <f>ROUND(F328,O342)</f>
        <v>26909.65</v>
      </c>
      <c r="G342" s="4" t="s">
        <v>92</v>
      </c>
      <c r="H342" s="4" t="s">
        <v>64</v>
      </c>
      <c r="I342" s="4"/>
      <c r="J342" s="4"/>
      <c r="K342" s="4">
        <v>212</v>
      </c>
      <c r="L342" s="4">
        <v>28</v>
      </c>
      <c r="M342" s="4">
        <v>0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26909.65</v>
      </c>
      <c r="X342" s="4">
        <v>1</v>
      </c>
      <c r="Y342" s="4">
        <v>26909.65</v>
      </c>
      <c r="Z342" s="4"/>
      <c r="AA342" s="4"/>
      <c r="AB342" s="4"/>
    </row>
    <row r="343" spans="1:28" x14ac:dyDescent="0.2">
      <c r="A343" s="4">
        <v>50</v>
      </c>
      <c r="B343" s="4">
        <v>1</v>
      </c>
      <c r="C343" s="4">
        <v>0</v>
      </c>
      <c r="D343" s="4">
        <v>2</v>
      </c>
      <c r="E343" s="4">
        <v>203</v>
      </c>
      <c r="F343" s="4">
        <f>ROUND(F325,O343)</f>
        <v>27350.080000000002</v>
      </c>
      <c r="G343" s="4" t="s">
        <v>93</v>
      </c>
      <c r="H343" s="4" t="s">
        <v>94</v>
      </c>
      <c r="I343" s="4"/>
      <c r="J343" s="4"/>
      <c r="K343" s="4">
        <v>212</v>
      </c>
      <c r="L343" s="4">
        <v>29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27350.080000000002</v>
      </c>
      <c r="X343" s="4">
        <v>1</v>
      </c>
      <c r="Y343" s="4">
        <v>27350.080000000002</v>
      </c>
      <c r="Z343" s="4"/>
      <c r="AA343" s="4"/>
      <c r="AB343" s="4"/>
    </row>
    <row r="344" spans="1:28" x14ac:dyDescent="0.2">
      <c r="A344" s="4">
        <v>50</v>
      </c>
      <c r="B344" s="4">
        <v>1</v>
      </c>
      <c r="C344" s="4">
        <v>0</v>
      </c>
      <c r="D344" s="4">
        <v>2</v>
      </c>
      <c r="E344" s="4">
        <v>204</v>
      </c>
      <c r="F344" s="4">
        <f>ROUND(F327,O344)</f>
        <v>6426.67</v>
      </c>
      <c r="G344" s="4" t="s">
        <v>95</v>
      </c>
      <c r="H344" s="4" t="s">
        <v>96</v>
      </c>
      <c r="I344" s="4"/>
      <c r="J344" s="4"/>
      <c r="K344" s="4">
        <v>212</v>
      </c>
      <c r="L344" s="4">
        <v>30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6426.67</v>
      </c>
      <c r="X344" s="4">
        <v>1</v>
      </c>
      <c r="Y344" s="4">
        <v>6426.67</v>
      </c>
      <c r="Z344" s="4"/>
      <c r="AA344" s="4"/>
      <c r="AB344" s="4"/>
    </row>
    <row r="345" spans="1:28" x14ac:dyDescent="0.2">
      <c r="A345" s="4">
        <v>50</v>
      </c>
      <c r="B345" s="4">
        <v>1</v>
      </c>
      <c r="C345" s="4">
        <v>0</v>
      </c>
      <c r="D345" s="4">
        <v>2</v>
      </c>
      <c r="E345" s="4">
        <v>202</v>
      </c>
      <c r="F345" s="4">
        <f>ROUND(F316,O345)</f>
        <v>114574.24</v>
      </c>
      <c r="G345" s="4" t="s">
        <v>97</v>
      </c>
      <c r="H345" s="4" t="s">
        <v>98</v>
      </c>
      <c r="I345" s="4"/>
      <c r="J345" s="4"/>
      <c r="K345" s="4">
        <v>212</v>
      </c>
      <c r="L345" s="4">
        <v>31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114574.24</v>
      </c>
      <c r="X345" s="4">
        <v>1</v>
      </c>
      <c r="Y345" s="4">
        <v>114574.24</v>
      </c>
      <c r="Z345" s="4"/>
      <c r="AA345" s="4"/>
      <c r="AB345" s="4"/>
    </row>
    <row r="346" spans="1:28" x14ac:dyDescent="0.2">
      <c r="A346" s="4">
        <v>50</v>
      </c>
      <c r="B346" s="4">
        <v>1</v>
      </c>
      <c r="C346" s="4">
        <v>0</v>
      </c>
      <c r="D346" s="4">
        <v>2</v>
      </c>
      <c r="E346" s="4">
        <v>210</v>
      </c>
      <c r="F346" s="4">
        <f>ROUND(F339,O346)</f>
        <v>32478.15</v>
      </c>
      <c r="G346" s="4" t="s">
        <v>99</v>
      </c>
      <c r="H346" s="4" t="s">
        <v>86</v>
      </c>
      <c r="I346" s="4"/>
      <c r="J346" s="4"/>
      <c r="K346" s="4">
        <v>212</v>
      </c>
      <c r="L346" s="4">
        <v>32</v>
      </c>
      <c r="M346" s="4">
        <v>0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32478.15</v>
      </c>
      <c r="X346" s="4">
        <v>1</v>
      </c>
      <c r="Y346" s="4">
        <v>32478.15</v>
      </c>
      <c r="Z346" s="4"/>
      <c r="AA346" s="4"/>
      <c r="AB346" s="4"/>
    </row>
    <row r="347" spans="1:28" x14ac:dyDescent="0.2">
      <c r="A347" s="4">
        <v>50</v>
      </c>
      <c r="B347" s="4">
        <v>1</v>
      </c>
      <c r="C347" s="4">
        <v>0</v>
      </c>
      <c r="D347" s="4">
        <v>2</v>
      </c>
      <c r="E347" s="4">
        <v>211</v>
      </c>
      <c r="F347" s="4">
        <f>ROUND(F340,O347)</f>
        <v>18259.560000000001</v>
      </c>
      <c r="G347" s="4" t="s">
        <v>100</v>
      </c>
      <c r="H347" s="4" t="s">
        <v>101</v>
      </c>
      <c r="I347" s="4"/>
      <c r="J347" s="4"/>
      <c r="K347" s="4">
        <v>212</v>
      </c>
      <c r="L347" s="4">
        <v>33</v>
      </c>
      <c r="M347" s="4">
        <v>0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18259.560000000001</v>
      </c>
      <c r="X347" s="4">
        <v>1</v>
      </c>
      <c r="Y347" s="4">
        <v>18259.560000000001</v>
      </c>
      <c r="Z347" s="4"/>
      <c r="AA347" s="4"/>
      <c r="AB347" s="4"/>
    </row>
    <row r="348" spans="1:28" x14ac:dyDescent="0.2">
      <c r="A348" s="4">
        <v>50</v>
      </c>
      <c r="B348" s="4">
        <v>1</v>
      </c>
      <c r="C348" s="4">
        <v>0</v>
      </c>
      <c r="D348" s="4">
        <v>2</v>
      </c>
      <c r="E348" s="4">
        <v>213</v>
      </c>
      <c r="F348" s="4">
        <f>ROUND(F342+F343+F345+F346+F347,O348)</f>
        <v>219571.68</v>
      </c>
      <c r="G348" s="4" t="s">
        <v>102</v>
      </c>
      <c r="H348" s="4" t="s">
        <v>103</v>
      </c>
      <c r="I348" s="4"/>
      <c r="J348" s="4"/>
      <c r="K348" s="4">
        <v>212</v>
      </c>
      <c r="L348" s="4">
        <v>34</v>
      </c>
      <c r="M348" s="4">
        <v>0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219571.68</v>
      </c>
      <c r="X348" s="4">
        <v>1</v>
      </c>
      <c r="Y348" s="4">
        <v>219571.68</v>
      </c>
      <c r="Z348" s="4"/>
      <c r="AA348" s="4"/>
      <c r="AB348" s="4"/>
    </row>
    <row r="349" spans="1:28" x14ac:dyDescent="0.2">
      <c r="A349" s="4">
        <v>50</v>
      </c>
      <c r="B349" s="4">
        <v>1</v>
      </c>
      <c r="C349" s="4">
        <v>0</v>
      </c>
      <c r="D349" s="4">
        <v>2</v>
      </c>
      <c r="E349" s="4">
        <v>40729949</v>
      </c>
      <c r="F349" s="4">
        <f>ROUND(F348*0.2,O349)</f>
        <v>43914.34</v>
      </c>
      <c r="G349" s="4" t="s">
        <v>104</v>
      </c>
      <c r="H349" s="4" t="s">
        <v>105</v>
      </c>
      <c r="I349" s="4"/>
      <c r="J349" s="4"/>
      <c r="K349" s="4">
        <v>212</v>
      </c>
      <c r="L349" s="4">
        <v>35</v>
      </c>
      <c r="M349" s="4">
        <v>0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43914.34</v>
      </c>
      <c r="X349" s="4">
        <v>1</v>
      </c>
      <c r="Y349" s="4">
        <v>43914.34</v>
      </c>
      <c r="Z349" s="4"/>
      <c r="AA349" s="4"/>
      <c r="AB349" s="4"/>
    </row>
    <row r="350" spans="1:28" x14ac:dyDescent="0.2">
      <c r="A350" s="4">
        <v>50</v>
      </c>
      <c r="B350" s="4">
        <v>1</v>
      </c>
      <c r="C350" s="4">
        <v>0</v>
      </c>
      <c r="D350" s="4">
        <v>2</v>
      </c>
      <c r="E350" s="4">
        <v>65938917</v>
      </c>
      <c r="F350" s="4">
        <f>ROUND(F348+F349,O350)</f>
        <v>263486.02</v>
      </c>
      <c r="G350" s="4" t="s">
        <v>106</v>
      </c>
      <c r="H350" s="4" t="s">
        <v>107</v>
      </c>
      <c r="I350" s="4"/>
      <c r="J350" s="4"/>
      <c r="K350" s="4">
        <v>212</v>
      </c>
      <c r="L350" s="4">
        <v>36</v>
      </c>
      <c r="M350" s="4">
        <v>0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263486.02</v>
      </c>
      <c r="X350" s="4">
        <v>1</v>
      </c>
      <c r="Y350" s="4">
        <v>263486.02</v>
      </c>
      <c r="Z350" s="4"/>
      <c r="AA350" s="4"/>
      <c r="AB350" s="4"/>
    </row>
    <row r="352" spans="1:28" x14ac:dyDescent="0.2">
      <c r="A352">
        <v>71</v>
      </c>
      <c r="B352">
        <v>1</v>
      </c>
      <c r="D352">
        <v>200001</v>
      </c>
      <c r="E352">
        <v>76976758</v>
      </c>
      <c r="F352" t="s">
        <v>359</v>
      </c>
      <c r="G352" t="s">
        <v>360</v>
      </c>
      <c r="H352">
        <v>80</v>
      </c>
      <c r="I352">
        <v>20</v>
      </c>
    </row>
    <row r="355" spans="1:16" x14ac:dyDescent="0.2">
      <c r="A355">
        <v>70</v>
      </c>
      <c r="B355">
        <v>1</v>
      </c>
      <c r="D355">
        <v>1</v>
      </c>
      <c r="E355" t="s">
        <v>361</v>
      </c>
      <c r="F355" t="s">
        <v>362</v>
      </c>
      <c r="G355">
        <v>1</v>
      </c>
      <c r="H355">
        <v>0</v>
      </c>
      <c r="I355" t="s">
        <v>3</v>
      </c>
      <c r="J355">
        <v>1</v>
      </c>
      <c r="K355">
        <v>0</v>
      </c>
      <c r="L355" t="s">
        <v>3</v>
      </c>
      <c r="M355" t="s">
        <v>3</v>
      </c>
      <c r="N355">
        <v>0</v>
      </c>
      <c r="P355" t="s">
        <v>363</v>
      </c>
    </row>
    <row r="356" spans="1:16" x14ac:dyDescent="0.2">
      <c r="A356">
        <v>70</v>
      </c>
      <c r="B356">
        <v>1</v>
      </c>
      <c r="D356">
        <v>2</v>
      </c>
      <c r="E356" t="s">
        <v>364</v>
      </c>
      <c r="F356" t="s">
        <v>365</v>
      </c>
      <c r="G356">
        <v>0</v>
      </c>
      <c r="H356">
        <v>0</v>
      </c>
      <c r="I356" t="s">
        <v>3</v>
      </c>
      <c r="J356">
        <v>1</v>
      </c>
      <c r="K356">
        <v>0</v>
      </c>
      <c r="L356" t="s">
        <v>3</v>
      </c>
      <c r="M356" t="s">
        <v>3</v>
      </c>
      <c r="N356">
        <v>0</v>
      </c>
      <c r="P356" t="s">
        <v>366</v>
      </c>
    </row>
    <row r="357" spans="1:16" x14ac:dyDescent="0.2">
      <c r="A357">
        <v>70</v>
      </c>
      <c r="B357">
        <v>1</v>
      </c>
      <c r="D357">
        <v>3</v>
      </c>
      <c r="E357" t="s">
        <v>367</v>
      </c>
      <c r="F357" t="s">
        <v>368</v>
      </c>
      <c r="G357">
        <v>0</v>
      </c>
      <c r="H357">
        <v>0</v>
      </c>
      <c r="I357" t="s">
        <v>3</v>
      </c>
      <c r="J357">
        <v>1</v>
      </c>
      <c r="K357">
        <v>0</v>
      </c>
      <c r="L357" t="s">
        <v>3</v>
      </c>
      <c r="M357" t="s">
        <v>3</v>
      </c>
      <c r="N357">
        <v>0</v>
      </c>
      <c r="P357" t="s">
        <v>369</v>
      </c>
    </row>
    <row r="358" spans="1:16" x14ac:dyDescent="0.2">
      <c r="A358">
        <v>70</v>
      </c>
      <c r="B358">
        <v>1</v>
      </c>
      <c r="D358">
        <v>4</v>
      </c>
      <c r="E358" t="s">
        <v>370</v>
      </c>
      <c r="F358" t="s">
        <v>371</v>
      </c>
      <c r="G358">
        <v>1</v>
      </c>
      <c r="H358">
        <v>0</v>
      </c>
      <c r="I358" t="s">
        <v>3</v>
      </c>
      <c r="J358">
        <v>2</v>
      </c>
      <c r="K358">
        <v>0</v>
      </c>
      <c r="L358" t="s">
        <v>3</v>
      </c>
      <c r="M358" t="s">
        <v>3</v>
      </c>
      <c r="N358">
        <v>0</v>
      </c>
      <c r="P358" t="s">
        <v>3</v>
      </c>
    </row>
    <row r="359" spans="1:16" x14ac:dyDescent="0.2">
      <c r="A359">
        <v>70</v>
      </c>
      <c r="B359">
        <v>1</v>
      </c>
      <c r="D359">
        <v>5</v>
      </c>
      <c r="E359" t="s">
        <v>372</v>
      </c>
      <c r="F359" t="s">
        <v>373</v>
      </c>
      <c r="G359">
        <v>0</v>
      </c>
      <c r="H359">
        <v>0</v>
      </c>
      <c r="I359" t="s">
        <v>3</v>
      </c>
      <c r="J359">
        <v>2</v>
      </c>
      <c r="K359">
        <v>0</v>
      </c>
      <c r="L359" t="s">
        <v>3</v>
      </c>
      <c r="M359" t="s">
        <v>3</v>
      </c>
      <c r="N359">
        <v>0</v>
      </c>
      <c r="P359" t="s">
        <v>3</v>
      </c>
    </row>
    <row r="360" spans="1:16" x14ac:dyDescent="0.2">
      <c r="A360">
        <v>70</v>
      </c>
      <c r="B360">
        <v>1</v>
      </c>
      <c r="D360">
        <v>6</v>
      </c>
      <c r="E360" t="s">
        <v>374</v>
      </c>
      <c r="F360" t="s">
        <v>375</v>
      </c>
      <c r="G360">
        <v>0</v>
      </c>
      <c r="H360">
        <v>0</v>
      </c>
      <c r="I360" t="s">
        <v>3</v>
      </c>
      <c r="J360">
        <v>2</v>
      </c>
      <c r="K360">
        <v>0</v>
      </c>
      <c r="L360" t="s">
        <v>3</v>
      </c>
      <c r="M360" t="s">
        <v>3</v>
      </c>
      <c r="N360">
        <v>0</v>
      </c>
      <c r="P360" t="s">
        <v>3</v>
      </c>
    </row>
    <row r="361" spans="1:16" x14ac:dyDescent="0.2">
      <c r="A361">
        <v>70</v>
      </c>
      <c r="B361">
        <v>1</v>
      </c>
      <c r="D361">
        <v>7</v>
      </c>
      <c r="E361" t="s">
        <v>376</v>
      </c>
      <c r="F361" t="s">
        <v>377</v>
      </c>
      <c r="G361">
        <v>0</v>
      </c>
      <c r="H361">
        <v>0</v>
      </c>
      <c r="I361" t="s">
        <v>378</v>
      </c>
      <c r="J361">
        <v>0</v>
      </c>
      <c r="K361">
        <v>0</v>
      </c>
      <c r="L361" t="s">
        <v>3</v>
      </c>
      <c r="M361" t="s">
        <v>3</v>
      </c>
      <c r="N361">
        <v>0</v>
      </c>
      <c r="P361" t="s">
        <v>379</v>
      </c>
    </row>
    <row r="362" spans="1:16" x14ac:dyDescent="0.2">
      <c r="A362">
        <v>70</v>
      </c>
      <c r="B362">
        <v>1</v>
      </c>
      <c r="D362">
        <v>8</v>
      </c>
      <c r="E362" t="s">
        <v>380</v>
      </c>
      <c r="F362" t="s">
        <v>381</v>
      </c>
      <c r="G362">
        <v>1</v>
      </c>
      <c r="H362">
        <v>0</v>
      </c>
      <c r="I362" t="s">
        <v>3</v>
      </c>
      <c r="J362">
        <v>5</v>
      </c>
      <c r="K362">
        <v>0</v>
      </c>
      <c r="L362" t="s">
        <v>3</v>
      </c>
      <c r="M362" t="s">
        <v>3</v>
      </c>
      <c r="N362">
        <v>0</v>
      </c>
      <c r="P362" t="s">
        <v>3</v>
      </c>
    </row>
    <row r="363" spans="1:16" x14ac:dyDescent="0.2">
      <c r="A363">
        <v>70</v>
      </c>
      <c r="B363">
        <v>1</v>
      </c>
      <c r="D363">
        <v>9</v>
      </c>
      <c r="E363" t="s">
        <v>382</v>
      </c>
      <c r="F363" t="s">
        <v>383</v>
      </c>
      <c r="G363">
        <v>0</v>
      </c>
      <c r="H363">
        <v>0</v>
      </c>
      <c r="I363" t="s">
        <v>3</v>
      </c>
      <c r="J363">
        <v>5</v>
      </c>
      <c r="K363">
        <v>0</v>
      </c>
      <c r="L363" t="s">
        <v>3</v>
      </c>
      <c r="M363" t="s">
        <v>3</v>
      </c>
      <c r="N363">
        <v>0</v>
      </c>
      <c r="P363" t="s">
        <v>3</v>
      </c>
    </row>
    <row r="364" spans="1:16" x14ac:dyDescent="0.2">
      <c r="A364">
        <v>70</v>
      </c>
      <c r="B364">
        <v>1</v>
      </c>
      <c r="D364">
        <v>10</v>
      </c>
      <c r="E364" t="s">
        <v>384</v>
      </c>
      <c r="F364" t="s">
        <v>385</v>
      </c>
      <c r="G364">
        <v>0</v>
      </c>
      <c r="H364">
        <v>0</v>
      </c>
      <c r="I364" t="s">
        <v>386</v>
      </c>
      <c r="J364">
        <v>5</v>
      </c>
      <c r="K364">
        <v>0</v>
      </c>
      <c r="L364" t="s">
        <v>3</v>
      </c>
      <c r="M364" t="s">
        <v>3</v>
      </c>
      <c r="N364">
        <v>0</v>
      </c>
      <c r="P364" t="s">
        <v>387</v>
      </c>
    </row>
    <row r="365" spans="1:16" x14ac:dyDescent="0.2">
      <c r="A365">
        <v>70</v>
      </c>
      <c r="B365">
        <v>1</v>
      </c>
      <c r="D365">
        <v>11</v>
      </c>
      <c r="E365" t="s">
        <v>388</v>
      </c>
      <c r="F365" t="s">
        <v>389</v>
      </c>
      <c r="G365">
        <v>0</v>
      </c>
      <c r="H365">
        <v>0</v>
      </c>
      <c r="I365" t="s">
        <v>390</v>
      </c>
      <c r="J365">
        <v>0</v>
      </c>
      <c r="K365">
        <v>0</v>
      </c>
      <c r="L365" t="s">
        <v>3</v>
      </c>
      <c r="M365" t="s">
        <v>3</v>
      </c>
      <c r="N365">
        <v>0</v>
      </c>
      <c r="P365" t="s">
        <v>391</v>
      </c>
    </row>
    <row r="366" spans="1:16" x14ac:dyDescent="0.2">
      <c r="A366">
        <v>70</v>
      </c>
      <c r="B366">
        <v>1</v>
      </c>
      <c r="D366">
        <v>12</v>
      </c>
      <c r="E366" t="s">
        <v>392</v>
      </c>
      <c r="F366" t="s">
        <v>393</v>
      </c>
      <c r="G366">
        <v>0</v>
      </c>
      <c r="H366">
        <v>0</v>
      </c>
      <c r="I366" t="s">
        <v>394</v>
      </c>
      <c r="J366">
        <v>0</v>
      </c>
      <c r="K366">
        <v>0</v>
      </c>
      <c r="L366" t="s">
        <v>3</v>
      </c>
      <c r="M366" t="s">
        <v>3</v>
      </c>
      <c r="N366">
        <v>0</v>
      </c>
      <c r="P366" t="s">
        <v>395</v>
      </c>
    </row>
    <row r="367" spans="1:16" x14ac:dyDescent="0.2">
      <c r="A367">
        <v>70</v>
      </c>
      <c r="B367">
        <v>1</v>
      </c>
      <c r="D367">
        <v>13</v>
      </c>
      <c r="E367" t="s">
        <v>396</v>
      </c>
      <c r="F367" t="s">
        <v>397</v>
      </c>
      <c r="G367">
        <v>0</v>
      </c>
      <c r="H367">
        <v>0</v>
      </c>
      <c r="I367" t="s">
        <v>398</v>
      </c>
      <c r="J367">
        <v>0</v>
      </c>
      <c r="K367">
        <v>0</v>
      </c>
      <c r="L367" t="s">
        <v>3</v>
      </c>
      <c r="M367" t="s">
        <v>3</v>
      </c>
      <c r="N367">
        <v>0</v>
      </c>
      <c r="P367" t="s">
        <v>399</v>
      </c>
    </row>
    <row r="368" spans="1:16" x14ac:dyDescent="0.2">
      <c r="A368">
        <v>70</v>
      </c>
      <c r="B368">
        <v>1</v>
      </c>
      <c r="D368">
        <v>14</v>
      </c>
      <c r="E368" t="s">
        <v>400</v>
      </c>
      <c r="F368" t="s">
        <v>401</v>
      </c>
      <c r="G368">
        <v>0</v>
      </c>
      <c r="H368">
        <v>0</v>
      </c>
      <c r="I368" t="s">
        <v>3</v>
      </c>
      <c r="J368">
        <v>0</v>
      </c>
      <c r="K368">
        <v>0</v>
      </c>
      <c r="L368" t="s">
        <v>3</v>
      </c>
      <c r="M368" t="s">
        <v>3</v>
      </c>
      <c r="N368">
        <v>0</v>
      </c>
      <c r="P368" t="s">
        <v>402</v>
      </c>
    </row>
    <row r="369" spans="1:50" x14ac:dyDescent="0.2">
      <c r="A369">
        <v>70</v>
      </c>
      <c r="B369">
        <v>1</v>
      </c>
      <c r="D369">
        <v>15</v>
      </c>
      <c r="E369" t="s">
        <v>403</v>
      </c>
      <c r="F369" t="s">
        <v>404</v>
      </c>
      <c r="G369">
        <v>0</v>
      </c>
      <c r="H369">
        <v>0</v>
      </c>
      <c r="I369" t="s">
        <v>3</v>
      </c>
      <c r="J369">
        <v>3</v>
      </c>
      <c r="K369">
        <v>0</v>
      </c>
      <c r="L369" t="s">
        <v>3</v>
      </c>
      <c r="M369" t="s">
        <v>3</v>
      </c>
      <c r="N369">
        <v>0</v>
      </c>
      <c r="P369" t="s">
        <v>3</v>
      </c>
    </row>
    <row r="370" spans="1:50" x14ac:dyDescent="0.2">
      <c r="A370">
        <v>70</v>
      </c>
      <c r="B370">
        <v>1</v>
      </c>
      <c r="D370">
        <v>16</v>
      </c>
      <c r="E370" t="s">
        <v>405</v>
      </c>
      <c r="F370" t="s">
        <v>406</v>
      </c>
      <c r="G370">
        <v>1</v>
      </c>
      <c r="H370">
        <v>0</v>
      </c>
      <c r="I370" t="s">
        <v>3</v>
      </c>
      <c r="J370">
        <v>3</v>
      </c>
      <c r="K370">
        <v>0</v>
      </c>
      <c r="L370" t="s">
        <v>3</v>
      </c>
      <c r="M370" t="s">
        <v>3</v>
      </c>
      <c r="N370">
        <v>0</v>
      </c>
      <c r="P370" t="s">
        <v>3</v>
      </c>
    </row>
    <row r="371" spans="1:50" x14ac:dyDescent="0.2">
      <c r="A371">
        <v>70</v>
      </c>
      <c r="B371">
        <v>1</v>
      </c>
      <c r="D371">
        <v>1</v>
      </c>
      <c r="E371" t="s">
        <v>407</v>
      </c>
      <c r="F371" t="s">
        <v>408</v>
      </c>
      <c r="G371">
        <v>0.9</v>
      </c>
      <c r="H371">
        <v>1</v>
      </c>
      <c r="I371" t="s">
        <v>409</v>
      </c>
      <c r="J371">
        <v>0</v>
      </c>
      <c r="K371">
        <v>0</v>
      </c>
      <c r="L371" t="s">
        <v>3</v>
      </c>
      <c r="M371" t="s">
        <v>3</v>
      </c>
      <c r="N371">
        <v>0</v>
      </c>
      <c r="P371" t="s">
        <v>410</v>
      </c>
    </row>
    <row r="372" spans="1:50" x14ac:dyDescent="0.2">
      <c r="A372">
        <v>70</v>
      </c>
      <c r="B372">
        <v>1</v>
      </c>
      <c r="D372">
        <v>2</v>
      </c>
      <c r="E372" t="s">
        <v>411</v>
      </c>
      <c r="F372" t="s">
        <v>412</v>
      </c>
      <c r="G372">
        <v>0.85</v>
      </c>
      <c r="H372">
        <v>1</v>
      </c>
      <c r="I372" t="s">
        <v>413</v>
      </c>
      <c r="J372">
        <v>0</v>
      </c>
      <c r="K372">
        <v>0</v>
      </c>
      <c r="L372" t="s">
        <v>3</v>
      </c>
      <c r="M372" t="s">
        <v>3</v>
      </c>
      <c r="N372">
        <v>0</v>
      </c>
      <c r="P372" t="s">
        <v>414</v>
      </c>
    </row>
    <row r="373" spans="1:50" x14ac:dyDescent="0.2">
      <c r="A373">
        <v>70</v>
      </c>
      <c r="B373">
        <v>1</v>
      </c>
      <c r="D373">
        <v>3</v>
      </c>
      <c r="E373" t="s">
        <v>415</v>
      </c>
      <c r="F373" t="s">
        <v>416</v>
      </c>
      <c r="G373">
        <v>1.03</v>
      </c>
      <c r="H373">
        <v>0</v>
      </c>
      <c r="I373" t="s">
        <v>3</v>
      </c>
      <c r="J373">
        <v>0</v>
      </c>
      <c r="K373">
        <v>0</v>
      </c>
      <c r="L373" t="s">
        <v>3</v>
      </c>
      <c r="M373" t="s">
        <v>3</v>
      </c>
      <c r="N373">
        <v>0</v>
      </c>
      <c r="P373" t="s">
        <v>417</v>
      </c>
    </row>
    <row r="374" spans="1:50" x14ac:dyDescent="0.2">
      <c r="A374">
        <v>70</v>
      </c>
      <c r="B374">
        <v>1</v>
      </c>
      <c r="D374">
        <v>4</v>
      </c>
      <c r="E374" t="s">
        <v>418</v>
      </c>
      <c r="F374" t="s">
        <v>419</v>
      </c>
      <c r="G374">
        <v>1.1499999999999999</v>
      </c>
      <c r="H374">
        <v>0</v>
      </c>
      <c r="I374" t="s">
        <v>3</v>
      </c>
      <c r="J374">
        <v>0</v>
      </c>
      <c r="K374">
        <v>0</v>
      </c>
      <c r="L374" t="s">
        <v>3</v>
      </c>
      <c r="M374" t="s">
        <v>3</v>
      </c>
      <c r="N374">
        <v>0</v>
      </c>
      <c r="P374" t="s">
        <v>420</v>
      </c>
    </row>
    <row r="375" spans="1:50" x14ac:dyDescent="0.2">
      <c r="A375">
        <v>70</v>
      </c>
      <c r="B375">
        <v>1</v>
      </c>
      <c r="D375">
        <v>5</v>
      </c>
      <c r="E375" t="s">
        <v>421</v>
      </c>
      <c r="F375" t="s">
        <v>422</v>
      </c>
      <c r="G375">
        <v>7</v>
      </c>
      <c r="H375">
        <v>0</v>
      </c>
      <c r="I375" t="s">
        <v>3</v>
      </c>
      <c r="J375">
        <v>0</v>
      </c>
      <c r="K375">
        <v>0</v>
      </c>
      <c r="L375" t="s">
        <v>3</v>
      </c>
      <c r="M375" t="s">
        <v>3</v>
      </c>
      <c r="N375">
        <v>0</v>
      </c>
      <c r="P375" t="s">
        <v>3</v>
      </c>
    </row>
    <row r="376" spans="1:50" x14ac:dyDescent="0.2">
      <c r="A376">
        <v>70</v>
      </c>
      <c r="B376">
        <v>1</v>
      </c>
      <c r="D376">
        <v>6</v>
      </c>
      <c r="E376" t="s">
        <v>423</v>
      </c>
      <c r="F376" t="s">
        <v>3</v>
      </c>
      <c r="G376">
        <v>2</v>
      </c>
      <c r="H376">
        <v>0</v>
      </c>
      <c r="I376" t="s">
        <v>3</v>
      </c>
      <c r="J376">
        <v>0</v>
      </c>
      <c r="K376">
        <v>0</v>
      </c>
      <c r="L376" t="s">
        <v>3</v>
      </c>
      <c r="M376" t="s">
        <v>3</v>
      </c>
      <c r="N376">
        <v>0</v>
      </c>
      <c r="P376" t="s">
        <v>3</v>
      </c>
    </row>
    <row r="378" spans="1:50" x14ac:dyDescent="0.2">
      <c r="A378">
        <v>-1</v>
      </c>
    </row>
    <row r="380" spans="1:50" x14ac:dyDescent="0.2">
      <c r="A380" s="3">
        <v>75</v>
      </c>
      <c r="B380" s="3" t="s">
        <v>424</v>
      </c>
      <c r="C380" s="3">
        <v>2024</v>
      </c>
      <c r="D380" s="3">
        <v>0</v>
      </c>
      <c r="E380" s="3">
        <v>6</v>
      </c>
      <c r="F380" s="3"/>
      <c r="G380" s="3">
        <v>0</v>
      </c>
      <c r="H380" s="3">
        <v>1</v>
      </c>
      <c r="I380" s="3">
        <v>0</v>
      </c>
      <c r="J380" s="3">
        <v>3</v>
      </c>
      <c r="K380" s="3">
        <v>0</v>
      </c>
      <c r="L380" s="3">
        <v>0</v>
      </c>
      <c r="M380" s="3">
        <v>0</v>
      </c>
      <c r="N380" s="3">
        <v>84185495</v>
      </c>
      <c r="O380" s="3">
        <v>1</v>
      </c>
    </row>
    <row r="381" spans="1:50" x14ac:dyDescent="0.2">
      <c r="A381" s="5">
        <v>1</v>
      </c>
      <c r="B381" s="5" t="s">
        <v>425</v>
      </c>
      <c r="C381" s="5" t="s">
        <v>426</v>
      </c>
      <c r="D381" s="5">
        <v>2024</v>
      </c>
      <c r="E381" s="5">
        <v>6</v>
      </c>
      <c r="F381" s="5">
        <v>1</v>
      </c>
      <c r="G381" s="5">
        <v>1</v>
      </c>
      <c r="H381" s="5">
        <v>0</v>
      </c>
      <c r="I381" s="5">
        <v>2</v>
      </c>
      <c r="J381" s="5">
        <v>1</v>
      </c>
      <c r="K381" s="5">
        <v>1</v>
      </c>
      <c r="L381" s="5">
        <v>1</v>
      </c>
      <c r="M381" s="5">
        <v>1</v>
      </c>
      <c r="N381" s="5">
        <v>1</v>
      </c>
      <c r="O381" s="5">
        <v>1</v>
      </c>
      <c r="P381" s="5">
        <v>1</v>
      </c>
      <c r="Q381" s="5">
        <v>1</v>
      </c>
      <c r="R381" s="5" t="s">
        <v>3</v>
      </c>
      <c r="S381" s="5" t="s">
        <v>3</v>
      </c>
      <c r="T381" s="5" t="s">
        <v>3</v>
      </c>
      <c r="U381" s="5" t="s">
        <v>3</v>
      </c>
      <c r="V381" s="5" t="s">
        <v>3</v>
      </c>
      <c r="W381" s="5" t="s">
        <v>3</v>
      </c>
      <c r="X381" s="5" t="s">
        <v>3</v>
      </c>
      <c r="Y381" s="5" t="s">
        <v>3</v>
      </c>
      <c r="Z381" s="5" t="s">
        <v>3</v>
      </c>
      <c r="AA381" s="5" t="s">
        <v>3</v>
      </c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>
        <v>84185496</v>
      </c>
      <c r="AO381" s="5"/>
      <c r="AP381" s="5"/>
      <c r="AQ381" s="5"/>
      <c r="AR381" s="5"/>
      <c r="AS381" s="5"/>
      <c r="AT381" s="5"/>
      <c r="AU381" s="5"/>
      <c r="AV381" s="5"/>
      <c r="AW381" s="5"/>
      <c r="AX381" s="5"/>
    </row>
    <row r="385" spans="1:5" x14ac:dyDescent="0.2">
      <c r="A385">
        <v>65</v>
      </c>
      <c r="C385">
        <v>1</v>
      </c>
      <c r="D385">
        <v>0</v>
      </c>
      <c r="E385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B0301-6032-42D9-8F26-5D0126B7488D}">
  <dimension ref="A1:EC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427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67550</v>
      </c>
      <c r="M1">
        <v>77177407</v>
      </c>
      <c r="N1">
        <v>11</v>
      </c>
      <c r="O1">
        <v>9</v>
      </c>
      <c r="P1">
        <v>0</v>
      </c>
      <c r="Q1">
        <v>0</v>
      </c>
    </row>
    <row r="12" spans="1:133" x14ac:dyDescent="0.2">
      <c r="A12" s="1">
        <v>1</v>
      </c>
      <c r="B12" s="1">
        <v>60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131075</v>
      </c>
      <c r="N12" s="1"/>
      <c r="O12" s="1">
        <v>0</v>
      </c>
      <c r="P12" s="1">
        <v>0</v>
      </c>
      <c r="Q12" s="1">
        <v>2</v>
      </c>
      <c r="R12" s="1">
        <v>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8</v>
      </c>
      <c r="CB12" s="1" t="s">
        <v>8</v>
      </c>
      <c r="CC12" s="1" t="s">
        <v>8</v>
      </c>
      <c r="CD12" s="1" t="s">
        <v>8</v>
      </c>
      <c r="CE12" s="1" t="s">
        <v>10</v>
      </c>
      <c r="CF12" s="1">
        <v>0</v>
      </c>
      <c r="CG12" s="1">
        <v>0</v>
      </c>
      <c r="CH12" s="1">
        <v>18882568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 t="s">
        <v>11</v>
      </c>
      <c r="CR12" s="1" t="s">
        <v>4</v>
      </c>
      <c r="CS12" s="1">
        <v>42130</v>
      </c>
      <c r="CT12" s="1">
        <v>246</v>
      </c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84185495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3</v>
      </c>
      <c r="D16" s="6" t="s">
        <v>3</v>
      </c>
      <c r="E16" s="7">
        <f>ROUND((Source!F291)/1000,2)</f>
        <v>191.04</v>
      </c>
      <c r="F16" s="7">
        <f>ROUND((Source!F292)/1000,2)</f>
        <v>17.45</v>
      </c>
      <c r="G16" s="7">
        <f>ROUND((Source!F283)/1000,2)</f>
        <v>0</v>
      </c>
      <c r="H16" s="7">
        <f>ROUND((Source!F293)/1000+(Source!F294)/1000,2)</f>
        <v>11.08</v>
      </c>
      <c r="I16" s="7">
        <f>E16+F16+G16+H16</f>
        <v>219.57</v>
      </c>
      <c r="J16" s="7">
        <f>ROUND((Source!F303+Source!F305)/1000,2)</f>
        <v>33.340000000000003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168833.97</v>
      </c>
      <c r="AU16" s="7">
        <v>114574.24</v>
      </c>
      <c r="AV16" s="7">
        <v>0</v>
      </c>
      <c r="AW16" s="7">
        <v>0</v>
      </c>
      <c r="AX16" s="7">
        <v>0</v>
      </c>
      <c r="AY16" s="7">
        <v>27350.080000000002</v>
      </c>
      <c r="AZ16" s="7">
        <v>6426.67</v>
      </c>
      <c r="BA16" s="7">
        <v>26909.65</v>
      </c>
      <c r="BB16" s="7">
        <v>191041.84</v>
      </c>
      <c r="BC16" s="7">
        <v>17445.580000000002</v>
      </c>
      <c r="BD16" s="7">
        <v>11084.26</v>
      </c>
      <c r="BE16" s="7">
        <v>0</v>
      </c>
      <c r="BF16" s="7">
        <v>83.73784400000001</v>
      </c>
      <c r="BG16" s="7">
        <v>18.338918799999998</v>
      </c>
      <c r="BH16" s="7">
        <v>0</v>
      </c>
      <c r="BI16" s="7">
        <v>32478.15</v>
      </c>
      <c r="BJ16" s="7">
        <v>18259.560000000001</v>
      </c>
      <c r="BK16" s="7">
        <v>219571.68</v>
      </c>
    </row>
    <row r="18" spans="1:19" x14ac:dyDescent="0.2">
      <c r="A18">
        <v>51</v>
      </c>
      <c r="E18" s="8">
        <f>SUMIF(A16:A17,3,E16:E17)</f>
        <v>191.04</v>
      </c>
      <c r="F18" s="8">
        <f>SUMIF(A16:A17,3,F16:F17)</f>
        <v>17.45</v>
      </c>
      <c r="G18" s="8">
        <f>SUMIF(A16:A17,3,G16:G17)</f>
        <v>0</v>
      </c>
      <c r="H18" s="8">
        <f>SUMIF(A16:A17,3,H16:H17)</f>
        <v>11.08</v>
      </c>
      <c r="I18" s="8">
        <f>SUMIF(A16:A17,3,I16:I17)</f>
        <v>219.57</v>
      </c>
      <c r="J18" s="8">
        <f>SUMIF(A16:A17,3,J16:J17)</f>
        <v>33.340000000000003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168833.97</v>
      </c>
      <c r="G20" s="4" t="s">
        <v>38</v>
      </c>
      <c r="H20" s="4" t="s">
        <v>39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0</v>
      </c>
      <c r="F21" s="4">
        <v>114574.24</v>
      </c>
      <c r="G21" s="4" t="s">
        <v>40</v>
      </c>
      <c r="H21" s="4" t="s">
        <v>41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42</v>
      </c>
      <c r="H22" s="4" t="s">
        <v>43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114574.24</v>
      </c>
      <c r="G23" s="4" t="s">
        <v>44</v>
      </c>
      <c r="H23" s="4" t="s">
        <v>45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114574.24</v>
      </c>
      <c r="G24" s="4" t="s">
        <v>46</v>
      </c>
      <c r="H24" s="4" t="s">
        <v>47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48</v>
      </c>
      <c r="H25" s="4" t="s">
        <v>49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114574.24</v>
      </c>
      <c r="G26" s="4" t="s">
        <v>50</v>
      </c>
      <c r="H26" s="4" t="s">
        <v>51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52</v>
      </c>
      <c r="H27" s="4" t="s">
        <v>53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54</v>
      </c>
      <c r="H28" s="4" t="s">
        <v>55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56</v>
      </c>
      <c r="H29" s="4" t="s">
        <v>57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0</v>
      </c>
      <c r="F30" s="4">
        <v>27350.080000000002</v>
      </c>
      <c r="G30" s="4" t="s">
        <v>58</v>
      </c>
      <c r="H30" s="4" t="s">
        <v>59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60</v>
      </c>
      <c r="H31" s="4" t="s">
        <v>61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0</v>
      </c>
      <c r="F32" s="4">
        <v>6426.67</v>
      </c>
      <c r="G32" s="4" t="s">
        <v>62</v>
      </c>
      <c r="H32" s="4" t="s">
        <v>63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0</v>
      </c>
      <c r="F33" s="4">
        <v>26909.65</v>
      </c>
      <c r="G33" s="4" t="s">
        <v>64</v>
      </c>
      <c r="H33" s="4" t="s">
        <v>65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66</v>
      </c>
      <c r="H34" s="4" t="s">
        <v>67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191041.84</v>
      </c>
      <c r="G35" s="4" t="s">
        <v>68</v>
      </c>
      <c r="H35" s="4" t="s">
        <v>69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17445.580000000002</v>
      </c>
      <c r="G36" s="4" t="s">
        <v>70</v>
      </c>
      <c r="H36" s="4" t="s">
        <v>71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11084.26</v>
      </c>
      <c r="G37" s="4" t="s">
        <v>72</v>
      </c>
      <c r="H37" s="4" t="s">
        <v>73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74</v>
      </c>
      <c r="H38" s="4" t="s">
        <v>75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76</v>
      </c>
      <c r="H39" s="4" t="s">
        <v>77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83.73784400000001</v>
      </c>
      <c r="G40" s="4" t="s">
        <v>78</v>
      </c>
      <c r="H40" s="4" t="s">
        <v>79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18.338918799999998</v>
      </c>
      <c r="G41" s="4" t="s">
        <v>80</v>
      </c>
      <c r="H41" s="4" t="s">
        <v>81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82</v>
      </c>
      <c r="H42" s="4" t="s">
        <v>83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84</v>
      </c>
      <c r="H43" s="4" t="s">
        <v>85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v>32478.15</v>
      </c>
      <c r="G44" s="4" t="s">
        <v>86</v>
      </c>
      <c r="H44" s="4" t="s">
        <v>87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v>18259.560000000001</v>
      </c>
      <c r="G45" s="4" t="s">
        <v>88</v>
      </c>
      <c r="H45" s="4" t="s">
        <v>89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219571.68</v>
      </c>
      <c r="G46" s="4" t="s">
        <v>90</v>
      </c>
      <c r="H46" s="4" t="s">
        <v>91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205</v>
      </c>
      <c r="F47" s="4">
        <v>26909.65</v>
      </c>
      <c r="G47" s="4" t="s">
        <v>92</v>
      </c>
      <c r="H47" s="4" t="s">
        <v>64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203</v>
      </c>
      <c r="F48" s="4">
        <v>27350.080000000002</v>
      </c>
      <c r="G48" s="4" t="s">
        <v>93</v>
      </c>
      <c r="H48" s="4" t="s">
        <v>94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50" x14ac:dyDescent="0.2">
      <c r="A49" s="4">
        <v>50</v>
      </c>
      <c r="B49" s="4">
        <v>1</v>
      </c>
      <c r="C49" s="4">
        <v>0</v>
      </c>
      <c r="D49" s="4">
        <v>2</v>
      </c>
      <c r="E49" s="4">
        <v>204</v>
      </c>
      <c r="F49" s="4">
        <v>6426.67</v>
      </c>
      <c r="G49" s="4" t="s">
        <v>95</v>
      </c>
      <c r="H49" s="4" t="s">
        <v>96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0" spans="1:50" x14ac:dyDescent="0.2">
      <c r="A50" s="4">
        <v>50</v>
      </c>
      <c r="B50" s="4">
        <v>1</v>
      </c>
      <c r="C50" s="4">
        <v>0</v>
      </c>
      <c r="D50" s="4">
        <v>2</v>
      </c>
      <c r="E50" s="4">
        <v>202</v>
      </c>
      <c r="F50" s="4">
        <v>114574.24</v>
      </c>
      <c r="G50" s="4" t="s">
        <v>97</v>
      </c>
      <c r="H50" s="4" t="s">
        <v>98</v>
      </c>
      <c r="I50" s="4"/>
      <c r="J50" s="4"/>
      <c r="K50" s="4">
        <v>212</v>
      </c>
      <c r="L50" s="4">
        <v>31</v>
      </c>
      <c r="M50" s="4">
        <v>0</v>
      </c>
      <c r="N50" s="4" t="s">
        <v>3</v>
      </c>
      <c r="O50" s="4">
        <v>2</v>
      </c>
      <c r="P50" s="4"/>
    </row>
    <row r="51" spans="1:50" x14ac:dyDescent="0.2">
      <c r="A51" s="4">
        <v>50</v>
      </c>
      <c r="B51" s="4">
        <v>1</v>
      </c>
      <c r="C51" s="4">
        <v>0</v>
      </c>
      <c r="D51" s="4">
        <v>2</v>
      </c>
      <c r="E51" s="4">
        <v>210</v>
      </c>
      <c r="F51" s="4">
        <v>32478.15</v>
      </c>
      <c r="G51" s="4" t="s">
        <v>99</v>
      </c>
      <c r="H51" s="4" t="s">
        <v>86</v>
      </c>
      <c r="I51" s="4"/>
      <c r="J51" s="4"/>
      <c r="K51" s="4">
        <v>212</v>
      </c>
      <c r="L51" s="4">
        <v>32</v>
      </c>
      <c r="M51" s="4">
        <v>0</v>
      </c>
      <c r="N51" s="4" t="s">
        <v>3</v>
      </c>
      <c r="O51" s="4">
        <v>2</v>
      </c>
      <c r="P51" s="4"/>
    </row>
    <row r="52" spans="1:50" x14ac:dyDescent="0.2">
      <c r="A52" s="4">
        <v>50</v>
      </c>
      <c r="B52" s="4">
        <v>1</v>
      </c>
      <c r="C52" s="4">
        <v>0</v>
      </c>
      <c r="D52" s="4">
        <v>2</v>
      </c>
      <c r="E52" s="4">
        <v>211</v>
      </c>
      <c r="F52" s="4">
        <v>18259.560000000001</v>
      </c>
      <c r="G52" s="4" t="s">
        <v>100</v>
      </c>
      <c r="H52" s="4" t="s">
        <v>101</v>
      </c>
      <c r="I52" s="4"/>
      <c r="J52" s="4"/>
      <c r="K52" s="4">
        <v>212</v>
      </c>
      <c r="L52" s="4">
        <v>33</v>
      </c>
      <c r="M52" s="4">
        <v>0</v>
      </c>
      <c r="N52" s="4" t="s">
        <v>3</v>
      </c>
      <c r="O52" s="4">
        <v>2</v>
      </c>
      <c r="P52" s="4"/>
    </row>
    <row r="53" spans="1:50" x14ac:dyDescent="0.2">
      <c r="A53" s="4">
        <v>50</v>
      </c>
      <c r="B53" s="4">
        <v>1</v>
      </c>
      <c r="C53" s="4">
        <v>0</v>
      </c>
      <c r="D53" s="4">
        <v>2</v>
      </c>
      <c r="E53" s="4">
        <v>213</v>
      </c>
      <c r="F53" s="4">
        <v>219571.68</v>
      </c>
      <c r="G53" s="4" t="s">
        <v>102</v>
      </c>
      <c r="H53" s="4" t="s">
        <v>103</v>
      </c>
      <c r="I53" s="4"/>
      <c r="J53" s="4"/>
      <c r="K53" s="4">
        <v>212</v>
      </c>
      <c r="L53" s="4">
        <v>34</v>
      </c>
      <c r="M53" s="4">
        <v>0</v>
      </c>
      <c r="N53" s="4" t="s">
        <v>3</v>
      </c>
      <c r="O53" s="4">
        <v>2</v>
      </c>
      <c r="P53" s="4"/>
    </row>
    <row r="54" spans="1:50" x14ac:dyDescent="0.2">
      <c r="A54" s="4">
        <v>50</v>
      </c>
      <c r="B54" s="4">
        <v>1</v>
      </c>
      <c r="C54" s="4">
        <v>0</v>
      </c>
      <c r="D54" s="4">
        <v>2</v>
      </c>
      <c r="E54" s="4">
        <v>40729949</v>
      </c>
      <c r="F54" s="4">
        <v>43914.34</v>
      </c>
      <c r="G54" s="4" t="s">
        <v>104</v>
      </c>
      <c r="H54" s="4" t="s">
        <v>105</v>
      </c>
      <c r="I54" s="4"/>
      <c r="J54" s="4"/>
      <c r="K54" s="4">
        <v>212</v>
      </c>
      <c r="L54" s="4">
        <v>35</v>
      </c>
      <c r="M54" s="4">
        <v>0</v>
      </c>
      <c r="N54" s="4" t="s">
        <v>3</v>
      </c>
      <c r="O54" s="4">
        <v>2</v>
      </c>
      <c r="P54" s="4"/>
    </row>
    <row r="55" spans="1:50" x14ac:dyDescent="0.2">
      <c r="A55" s="4">
        <v>50</v>
      </c>
      <c r="B55" s="4">
        <v>1</v>
      </c>
      <c r="C55" s="4">
        <v>0</v>
      </c>
      <c r="D55" s="4">
        <v>2</v>
      </c>
      <c r="E55" s="4">
        <v>65938917</v>
      </c>
      <c r="F55" s="4">
        <v>263486.02</v>
      </c>
      <c r="G55" s="4" t="s">
        <v>106</v>
      </c>
      <c r="H55" s="4" t="s">
        <v>107</v>
      </c>
      <c r="I55" s="4"/>
      <c r="J55" s="4"/>
      <c r="K55" s="4">
        <v>212</v>
      </c>
      <c r="L55" s="4">
        <v>36</v>
      </c>
      <c r="M55" s="4">
        <v>0</v>
      </c>
      <c r="N55" s="4" t="s">
        <v>3</v>
      </c>
      <c r="O55" s="4">
        <v>2</v>
      </c>
      <c r="P55" s="4"/>
    </row>
    <row r="57" spans="1:50" x14ac:dyDescent="0.2">
      <c r="A57">
        <v>-1</v>
      </c>
    </row>
    <row r="60" spans="1:50" x14ac:dyDescent="0.2">
      <c r="A60" s="3">
        <v>75</v>
      </c>
      <c r="B60" s="3" t="s">
        <v>424</v>
      </c>
      <c r="C60" s="3">
        <v>2024</v>
      </c>
      <c r="D60" s="3">
        <v>0</v>
      </c>
      <c r="E60" s="3">
        <v>6</v>
      </c>
      <c r="F60" s="3"/>
      <c r="G60" s="3">
        <v>0</v>
      </c>
      <c r="H60" s="3">
        <v>1</v>
      </c>
      <c r="I60" s="3">
        <v>0</v>
      </c>
      <c r="J60" s="3">
        <v>3</v>
      </c>
      <c r="K60" s="3">
        <v>0</v>
      </c>
      <c r="L60" s="3">
        <v>0</v>
      </c>
      <c r="M60" s="3">
        <v>0</v>
      </c>
      <c r="N60" s="3">
        <v>84185495</v>
      </c>
      <c r="O60" s="3">
        <v>1</v>
      </c>
    </row>
    <row r="61" spans="1:50" x14ac:dyDescent="0.2">
      <c r="A61" s="5">
        <v>1</v>
      </c>
      <c r="B61" s="5" t="s">
        <v>425</v>
      </c>
      <c r="C61" s="5" t="s">
        <v>426</v>
      </c>
      <c r="D61" s="5">
        <v>2024</v>
      </c>
      <c r="E61" s="5">
        <v>6</v>
      </c>
      <c r="F61" s="5">
        <v>1</v>
      </c>
      <c r="G61" s="5">
        <v>1</v>
      </c>
      <c r="H61" s="5">
        <v>0</v>
      </c>
      <c r="I61" s="5">
        <v>2</v>
      </c>
      <c r="J61" s="5">
        <v>1</v>
      </c>
      <c r="K61" s="5">
        <v>1</v>
      </c>
      <c r="L61" s="5">
        <v>1</v>
      </c>
      <c r="M61" s="5">
        <v>1</v>
      </c>
      <c r="N61" s="5">
        <v>1</v>
      </c>
      <c r="O61" s="5">
        <v>1</v>
      </c>
      <c r="P61" s="5">
        <v>1</v>
      </c>
      <c r="Q61" s="5">
        <v>1</v>
      </c>
      <c r="R61" s="5" t="s">
        <v>3</v>
      </c>
      <c r="S61" s="5" t="s">
        <v>3</v>
      </c>
      <c r="T61" s="5" t="s">
        <v>3</v>
      </c>
      <c r="U61" s="5" t="s">
        <v>3</v>
      </c>
      <c r="V61" s="5" t="s">
        <v>3</v>
      </c>
      <c r="W61" s="5" t="s">
        <v>3</v>
      </c>
      <c r="X61" s="5" t="s">
        <v>3</v>
      </c>
      <c r="Y61" s="5" t="s">
        <v>3</v>
      </c>
      <c r="Z61" s="5" t="s">
        <v>3</v>
      </c>
      <c r="AA61" s="5" t="s">
        <v>3</v>
      </c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>
        <v>84185496</v>
      </c>
      <c r="AO61" s="5"/>
      <c r="AP61" s="5"/>
      <c r="AQ61" s="5"/>
      <c r="AR61" s="5"/>
      <c r="AS61" s="5"/>
      <c r="AT61" s="5"/>
      <c r="AU61" s="5"/>
      <c r="AV61" s="5"/>
      <c r="AW61" s="5"/>
      <c r="AX61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A93AC-8DF6-4C12-BBA3-8C5DAA9DCFCF}">
  <dimension ref="A1:DO3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84185495</v>
      </c>
      <c r="C1">
        <v>84185791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428</v>
      </c>
      <c r="J1" t="s">
        <v>3</v>
      </c>
      <c r="K1" t="s">
        <v>429</v>
      </c>
      <c r="L1">
        <v>1369</v>
      </c>
      <c r="N1">
        <v>1013</v>
      </c>
      <c r="O1" t="s">
        <v>430</v>
      </c>
      <c r="P1" t="s">
        <v>430</v>
      </c>
      <c r="Q1">
        <v>1</v>
      </c>
      <c r="W1">
        <v>0</v>
      </c>
      <c r="X1">
        <v>756115135</v>
      </c>
      <c r="Y1">
        <f>AT1</f>
        <v>2.0299999999999998</v>
      </c>
      <c r="AA1">
        <v>0</v>
      </c>
      <c r="AB1">
        <v>0</v>
      </c>
      <c r="AC1">
        <v>0</v>
      </c>
      <c r="AD1">
        <v>7.97</v>
      </c>
      <c r="AE1">
        <v>0</v>
      </c>
      <c r="AF1">
        <v>0</v>
      </c>
      <c r="AG1">
        <v>0</v>
      </c>
      <c r="AH1">
        <v>7.97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2.0299999999999998</v>
      </c>
      <c r="AU1" t="s">
        <v>3</v>
      </c>
      <c r="AV1">
        <v>1</v>
      </c>
      <c r="AW1">
        <v>2</v>
      </c>
      <c r="AX1">
        <v>84185796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16.18</v>
      </c>
      <c r="CV1">
        <f>ROUND(Y1*Source!I28,9)</f>
        <v>2.0299999999999998</v>
      </c>
      <c r="CW1">
        <v>0</v>
      </c>
      <c r="CX1">
        <f>ROUND(Y1*Source!I28,9)</f>
        <v>2.0299999999999998</v>
      </c>
      <c r="CY1">
        <f>AD1</f>
        <v>7.97</v>
      </c>
      <c r="CZ1">
        <f>AH1</f>
        <v>7.97</v>
      </c>
      <c r="DA1">
        <f>AL1</f>
        <v>1</v>
      </c>
      <c r="DB1">
        <f>ROUND(ROUND(AT1*CZ1,2),2)</f>
        <v>16.18</v>
      </c>
      <c r="DC1">
        <f>ROUND(ROUND(AT1*AG1,2),2)</f>
        <v>0</v>
      </c>
      <c r="DD1" t="s">
        <v>3</v>
      </c>
      <c r="DE1" t="s">
        <v>3</v>
      </c>
      <c r="DF1">
        <f t="shared" ref="DF1:DF16" si="0"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1">ROUND(ROUND(AH1,2)*CX1,2)</f>
        <v>16.18</v>
      </c>
      <c r="DJ1">
        <f>DI1</f>
        <v>16.18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84185495</v>
      </c>
      <c r="C2">
        <v>84185791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24</v>
      </c>
      <c r="J2" t="s">
        <v>3</v>
      </c>
      <c r="K2" t="s">
        <v>431</v>
      </c>
      <c r="L2">
        <v>608254</v>
      </c>
      <c r="N2">
        <v>1013</v>
      </c>
      <c r="O2" t="s">
        <v>432</v>
      </c>
      <c r="P2" t="s">
        <v>432</v>
      </c>
      <c r="Q2">
        <v>1</v>
      </c>
      <c r="W2">
        <v>0</v>
      </c>
      <c r="X2">
        <v>-185737400</v>
      </c>
      <c r="Y2">
        <f>AT2</f>
        <v>0.45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0.45</v>
      </c>
      <c r="AU2" t="s">
        <v>3</v>
      </c>
      <c r="AV2">
        <v>2</v>
      </c>
      <c r="AW2">
        <v>2</v>
      </c>
      <c r="AX2">
        <v>84185797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ROUND(Y2*Source!I28,9)</f>
        <v>0.45</v>
      </c>
      <c r="CY2">
        <f>AD2</f>
        <v>0</v>
      </c>
      <c r="CZ2">
        <f>AH2</f>
        <v>0</v>
      </c>
      <c r="DA2">
        <f>AL2</f>
        <v>1</v>
      </c>
      <c r="DB2">
        <f>ROUND(ROUND(AT2*CZ2,2),2)</f>
        <v>0</v>
      </c>
      <c r="DC2">
        <f>ROUND(ROUND(AT2*AG2,2),2)</f>
        <v>0</v>
      </c>
      <c r="DD2" t="s">
        <v>3</v>
      </c>
      <c r="DE2" t="s">
        <v>3</v>
      </c>
      <c r="DF2">
        <f t="shared" si="0"/>
        <v>0</v>
      </c>
      <c r="DG2">
        <f>ROUND(ROUND(AF2,2)*CX2,2)</f>
        <v>0</v>
      </c>
      <c r="DH2">
        <f>ROUND(ROUND(AG2,2)*CX2,2)</f>
        <v>0</v>
      </c>
      <c r="DI2">
        <f t="shared" si="1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84185495</v>
      </c>
      <c r="C3">
        <v>84185791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433</v>
      </c>
      <c r="J3" t="s">
        <v>434</v>
      </c>
      <c r="K3" t="s">
        <v>435</v>
      </c>
      <c r="L3">
        <v>1368</v>
      </c>
      <c r="N3">
        <v>1011</v>
      </c>
      <c r="O3" t="s">
        <v>436</v>
      </c>
      <c r="P3" t="s">
        <v>436</v>
      </c>
      <c r="Q3">
        <v>1</v>
      </c>
      <c r="W3">
        <v>0</v>
      </c>
      <c r="X3">
        <v>1698075389</v>
      </c>
      <c r="Y3">
        <f>AT3</f>
        <v>0.45</v>
      </c>
      <c r="AA3">
        <v>0</v>
      </c>
      <c r="AB3">
        <v>898.36</v>
      </c>
      <c r="AC3">
        <v>317.43</v>
      </c>
      <c r="AD3">
        <v>0</v>
      </c>
      <c r="AE3">
        <v>0</v>
      </c>
      <c r="AF3">
        <v>85.64</v>
      </c>
      <c r="AG3">
        <v>9</v>
      </c>
      <c r="AH3">
        <v>0</v>
      </c>
      <c r="AI3">
        <v>1</v>
      </c>
      <c r="AJ3">
        <v>10.49</v>
      </c>
      <c r="AK3">
        <v>35.270000000000003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0.45</v>
      </c>
      <c r="AU3" t="s">
        <v>3</v>
      </c>
      <c r="AV3">
        <v>0</v>
      </c>
      <c r="AW3">
        <v>2</v>
      </c>
      <c r="AX3">
        <v>84185798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0.45</v>
      </c>
      <c r="CY3">
        <f>AB3</f>
        <v>898.36</v>
      </c>
      <c r="CZ3">
        <f>AF3</f>
        <v>85.64</v>
      </c>
      <c r="DA3">
        <f>AJ3</f>
        <v>10.49</v>
      </c>
      <c r="DB3">
        <f>ROUND(ROUND(AT3*CZ3,2),2)</f>
        <v>38.54</v>
      </c>
      <c r="DC3">
        <f>ROUND(ROUND(AT3*AG3,2),2)</f>
        <v>4.05</v>
      </c>
      <c r="DD3" t="s">
        <v>3</v>
      </c>
      <c r="DE3" t="s">
        <v>3</v>
      </c>
      <c r="DF3">
        <f t="shared" si="0"/>
        <v>0</v>
      </c>
      <c r="DG3">
        <f>ROUND(ROUND(AF3*AJ3,2)*CX3,2)</f>
        <v>404.26</v>
      </c>
      <c r="DH3">
        <f>ROUND(ROUND(AG3*AK3,2)*CX3,2)</f>
        <v>142.84</v>
      </c>
      <c r="DI3">
        <f t="shared" si="1"/>
        <v>0</v>
      </c>
      <c r="DJ3">
        <f>DG3</f>
        <v>404.26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84185495</v>
      </c>
      <c r="C4">
        <v>84185791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437</v>
      </c>
      <c r="J4" t="s">
        <v>438</v>
      </c>
      <c r="K4" t="s">
        <v>439</v>
      </c>
      <c r="L4">
        <v>1368</v>
      </c>
      <c r="N4">
        <v>1011</v>
      </c>
      <c r="O4" t="s">
        <v>436</v>
      </c>
      <c r="P4" t="s">
        <v>436</v>
      </c>
      <c r="Q4">
        <v>1</v>
      </c>
      <c r="W4">
        <v>0</v>
      </c>
      <c r="X4">
        <v>-671646184</v>
      </c>
      <c r="Y4">
        <f>AT4</f>
        <v>0.1</v>
      </c>
      <c r="AA4">
        <v>0</v>
      </c>
      <c r="AB4">
        <v>1305.74</v>
      </c>
      <c r="AC4">
        <v>365.04</v>
      </c>
      <c r="AD4">
        <v>0</v>
      </c>
      <c r="AE4">
        <v>0</v>
      </c>
      <c r="AF4">
        <v>91.76</v>
      </c>
      <c r="AG4">
        <v>10.35</v>
      </c>
      <c r="AH4">
        <v>0</v>
      </c>
      <c r="AI4">
        <v>1</v>
      </c>
      <c r="AJ4">
        <v>14.23</v>
      </c>
      <c r="AK4">
        <v>35.270000000000003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0.1</v>
      </c>
      <c r="AU4" t="s">
        <v>3</v>
      </c>
      <c r="AV4">
        <v>0</v>
      </c>
      <c r="AW4">
        <v>2</v>
      </c>
      <c r="AX4">
        <v>84185799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0.1</v>
      </c>
      <c r="CY4">
        <f>AB4</f>
        <v>1305.74</v>
      </c>
      <c r="CZ4">
        <f>AF4</f>
        <v>91.76</v>
      </c>
      <c r="DA4">
        <f>AJ4</f>
        <v>14.23</v>
      </c>
      <c r="DB4">
        <f>ROUND(ROUND(AT4*CZ4,2),2)</f>
        <v>9.18</v>
      </c>
      <c r="DC4">
        <f>ROUND(ROUND(AT4*AG4,2),2)</f>
        <v>1.04</v>
      </c>
      <c r="DD4" t="s">
        <v>3</v>
      </c>
      <c r="DE4" t="s">
        <v>3</v>
      </c>
      <c r="DF4">
        <f t="shared" si="0"/>
        <v>0</v>
      </c>
      <c r="DG4">
        <f>ROUND(ROUND(AF4*AJ4,2)*CX4,2)</f>
        <v>130.57</v>
      </c>
      <c r="DH4">
        <f>ROUND(ROUND(AG4*AK4,2)*CX4,2)</f>
        <v>36.5</v>
      </c>
      <c r="DI4">
        <f t="shared" si="1"/>
        <v>0</v>
      </c>
      <c r="DJ4">
        <f>DG4</f>
        <v>130.57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ROW(Source!A29)</f>
        <v>29</v>
      </c>
      <c r="B5">
        <v>84185495</v>
      </c>
      <c r="C5">
        <v>84185800</v>
      </c>
      <c r="D5">
        <v>23351395</v>
      </c>
      <c r="E5">
        <v>1</v>
      </c>
      <c r="F5">
        <v>1</v>
      </c>
      <c r="G5">
        <v>1</v>
      </c>
      <c r="H5">
        <v>1</v>
      </c>
      <c r="I5" t="s">
        <v>440</v>
      </c>
      <c r="J5" t="s">
        <v>3</v>
      </c>
      <c r="K5" t="s">
        <v>441</v>
      </c>
      <c r="L5">
        <v>1369</v>
      </c>
      <c r="N5">
        <v>1013</v>
      </c>
      <c r="O5" t="s">
        <v>430</v>
      </c>
      <c r="P5" t="s">
        <v>430</v>
      </c>
      <c r="Q5">
        <v>1</v>
      </c>
      <c r="W5">
        <v>0</v>
      </c>
      <c r="X5">
        <v>1072260845</v>
      </c>
      <c r="Y5">
        <f>(AT5*0.6)</f>
        <v>9.0719999999999992</v>
      </c>
      <c r="AA5">
        <v>0</v>
      </c>
      <c r="AB5">
        <v>0</v>
      </c>
      <c r="AC5">
        <v>0</v>
      </c>
      <c r="AD5">
        <v>8.99</v>
      </c>
      <c r="AE5">
        <v>0</v>
      </c>
      <c r="AF5">
        <v>0</v>
      </c>
      <c r="AG5">
        <v>0</v>
      </c>
      <c r="AH5">
        <v>8.99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15.12</v>
      </c>
      <c r="AU5" t="s">
        <v>31</v>
      </c>
      <c r="AV5">
        <v>1</v>
      </c>
      <c r="AW5">
        <v>2</v>
      </c>
      <c r="AX5">
        <v>84185803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ROUND(AT5*Source!I29*AH5*AL5,2)</f>
        <v>4.08</v>
      </c>
      <c r="CV5">
        <f>ROUND(Y5*Source!I29,9)</f>
        <v>0.27216000000000001</v>
      </c>
      <c r="CW5">
        <v>0</v>
      </c>
      <c r="CX5">
        <f>ROUND(Y5*Source!I29,9)</f>
        <v>0.27216000000000001</v>
      </c>
      <c r="CY5">
        <f>AD5</f>
        <v>8.99</v>
      </c>
      <c r="CZ5">
        <f>AH5</f>
        <v>8.99</v>
      </c>
      <c r="DA5">
        <f>AL5</f>
        <v>1</v>
      </c>
      <c r="DB5">
        <f>ROUND((ROUND(AT5*CZ5,2)*0.6),2)</f>
        <v>81.56</v>
      </c>
      <c r="DC5">
        <f>ROUND((ROUND(AT5*AG5,2)*0.6),2)</f>
        <v>0</v>
      </c>
      <c r="DD5" t="s">
        <v>3</v>
      </c>
      <c r="DE5" t="s">
        <v>3</v>
      </c>
      <c r="DF5">
        <f t="shared" si="0"/>
        <v>0</v>
      </c>
      <c r="DG5">
        <f>ROUND(ROUND(AF5,2)*CX5,2)</f>
        <v>0</v>
      </c>
      <c r="DH5">
        <f>ROUND(ROUND(AG5,2)*CX5,2)</f>
        <v>0</v>
      </c>
      <c r="DI5">
        <f t="shared" si="1"/>
        <v>2.4500000000000002</v>
      </c>
      <c r="DJ5">
        <f>DI5</f>
        <v>2.4500000000000002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ROW(Source!A29)</f>
        <v>29</v>
      </c>
      <c r="B6">
        <v>84185495</v>
      </c>
      <c r="C6">
        <v>84185800</v>
      </c>
      <c r="D6">
        <v>37801918</v>
      </c>
      <c r="E6">
        <v>1</v>
      </c>
      <c r="F6">
        <v>1</v>
      </c>
      <c r="G6">
        <v>1</v>
      </c>
      <c r="H6">
        <v>3</v>
      </c>
      <c r="I6" t="s">
        <v>442</v>
      </c>
      <c r="J6" t="s">
        <v>443</v>
      </c>
      <c r="K6" t="s">
        <v>444</v>
      </c>
      <c r="L6">
        <v>1374</v>
      </c>
      <c r="N6">
        <v>1013</v>
      </c>
      <c r="O6" t="s">
        <v>445</v>
      </c>
      <c r="P6" t="s">
        <v>445</v>
      </c>
      <c r="Q6">
        <v>1</v>
      </c>
      <c r="W6">
        <v>0</v>
      </c>
      <c r="X6">
        <v>2131831278</v>
      </c>
      <c r="Y6">
        <f>(AT6*0)</f>
        <v>0</v>
      </c>
      <c r="AA6">
        <v>1</v>
      </c>
      <c r="AB6">
        <v>0</v>
      </c>
      <c r="AC6">
        <v>0</v>
      </c>
      <c r="AD6">
        <v>0</v>
      </c>
      <c r="AE6">
        <v>1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2.72</v>
      </c>
      <c r="AU6" t="s">
        <v>30</v>
      </c>
      <c r="AV6">
        <v>0</v>
      </c>
      <c r="AW6">
        <v>2</v>
      </c>
      <c r="AX6">
        <v>84185804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ROUND(Y6*Source!I29,9)</f>
        <v>0</v>
      </c>
      <c r="CY6">
        <f>AA6</f>
        <v>1</v>
      </c>
      <c r="CZ6">
        <f>AE6</f>
        <v>1</v>
      </c>
      <c r="DA6">
        <f>AI6</f>
        <v>1</v>
      </c>
      <c r="DB6">
        <f>ROUND((ROUND(AT6*CZ6,2)*0),2)</f>
        <v>0</v>
      </c>
      <c r="DC6">
        <f>ROUND((ROUND(AT6*AG6,2)*0),2)</f>
        <v>0</v>
      </c>
      <c r="DD6" t="s">
        <v>3</v>
      </c>
      <c r="DE6" t="s">
        <v>3</v>
      </c>
      <c r="DF6">
        <f t="shared" si="0"/>
        <v>0</v>
      </c>
      <c r="DG6">
        <f>ROUND(ROUND(AF6,2)*CX6,2)</f>
        <v>0</v>
      </c>
      <c r="DH6">
        <f>ROUND(ROUND(AG6,2)*CX6,2)</f>
        <v>0</v>
      </c>
      <c r="DI6">
        <f t="shared" si="1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ROW(Source!A74)</f>
        <v>74</v>
      </c>
      <c r="B7">
        <v>84185495</v>
      </c>
      <c r="C7">
        <v>84185805</v>
      </c>
      <c r="D7">
        <v>23131263</v>
      </c>
      <c r="E7">
        <v>1</v>
      </c>
      <c r="F7">
        <v>1</v>
      </c>
      <c r="G7">
        <v>1</v>
      </c>
      <c r="H7">
        <v>1</v>
      </c>
      <c r="I7" t="s">
        <v>446</v>
      </c>
      <c r="J7" t="s">
        <v>3</v>
      </c>
      <c r="K7" t="s">
        <v>447</v>
      </c>
      <c r="L7">
        <v>1369</v>
      </c>
      <c r="N7">
        <v>1013</v>
      </c>
      <c r="O7" t="s">
        <v>430</v>
      </c>
      <c r="P7" t="s">
        <v>430</v>
      </c>
      <c r="Q7">
        <v>1</v>
      </c>
      <c r="W7">
        <v>0</v>
      </c>
      <c r="X7">
        <v>920778480</v>
      </c>
      <c r="Y7">
        <f t="shared" ref="Y7:Y38" si="2">AT7</f>
        <v>0.44</v>
      </c>
      <c r="AA7">
        <v>0</v>
      </c>
      <c r="AB7">
        <v>0</v>
      </c>
      <c r="AC7">
        <v>0</v>
      </c>
      <c r="AD7">
        <v>7.63</v>
      </c>
      <c r="AE7">
        <v>0</v>
      </c>
      <c r="AF7">
        <v>0</v>
      </c>
      <c r="AG7">
        <v>0</v>
      </c>
      <c r="AH7">
        <v>7.63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0.44</v>
      </c>
      <c r="AU7" t="s">
        <v>3</v>
      </c>
      <c r="AV7">
        <v>1</v>
      </c>
      <c r="AW7">
        <v>2</v>
      </c>
      <c r="AX7">
        <v>84185811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ROUND(AT7*Source!I74*AH7*AL7,2)</f>
        <v>6.71</v>
      </c>
      <c r="CV7">
        <f>ROUND(Y7*Source!I74,9)</f>
        <v>0.88</v>
      </c>
      <c r="CW7">
        <v>0</v>
      </c>
      <c r="CX7">
        <f>ROUND(Y7*Source!I74,9)</f>
        <v>0.88</v>
      </c>
      <c r="CY7">
        <f>AD7</f>
        <v>7.63</v>
      </c>
      <c r="CZ7">
        <f>AH7</f>
        <v>7.63</v>
      </c>
      <c r="DA7">
        <f>AL7</f>
        <v>1</v>
      </c>
      <c r="DB7">
        <f t="shared" ref="DB7:DB38" si="3">ROUND(ROUND(AT7*CZ7,2),2)</f>
        <v>3.36</v>
      </c>
      <c r="DC7">
        <f t="shared" ref="DC7:DC38" si="4">ROUND(ROUND(AT7*AG7,2),2)</f>
        <v>0</v>
      </c>
      <c r="DD7" t="s">
        <v>3</v>
      </c>
      <c r="DE7" t="s">
        <v>3</v>
      </c>
      <c r="DF7">
        <f t="shared" si="0"/>
        <v>0</v>
      </c>
      <c r="DG7">
        <f>ROUND(ROUND(AF7,2)*CX7,2)</f>
        <v>0</v>
      </c>
      <c r="DH7">
        <f>ROUND(ROUND(AG7,2)*CX7,2)</f>
        <v>0</v>
      </c>
      <c r="DI7">
        <f t="shared" si="1"/>
        <v>6.71</v>
      </c>
      <c r="DJ7">
        <f>DI7</f>
        <v>6.71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ROW(Source!A74)</f>
        <v>74</v>
      </c>
      <c r="B8">
        <v>84185495</v>
      </c>
      <c r="C8">
        <v>84185805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24</v>
      </c>
      <c r="J8" t="s">
        <v>3</v>
      </c>
      <c r="K8" t="s">
        <v>431</v>
      </c>
      <c r="L8">
        <v>608254</v>
      </c>
      <c r="N8">
        <v>1013</v>
      </c>
      <c r="O8" t="s">
        <v>432</v>
      </c>
      <c r="P8" t="s">
        <v>432</v>
      </c>
      <c r="Q8">
        <v>1</v>
      </c>
      <c r="W8">
        <v>0</v>
      </c>
      <c r="X8">
        <v>-185737400</v>
      </c>
      <c r="Y8">
        <f t="shared" si="2"/>
        <v>0.48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0.48</v>
      </c>
      <c r="AU8" t="s">
        <v>3</v>
      </c>
      <c r="AV8">
        <v>2</v>
      </c>
      <c r="AW8">
        <v>2</v>
      </c>
      <c r="AX8">
        <v>84185812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ROUND(Y8*Source!I74,9)</f>
        <v>0.96</v>
      </c>
      <c r="CY8">
        <f>AD8</f>
        <v>0</v>
      </c>
      <c r="CZ8">
        <f>AH8</f>
        <v>0</v>
      </c>
      <c r="DA8">
        <f>AL8</f>
        <v>1</v>
      </c>
      <c r="DB8">
        <f t="shared" si="3"/>
        <v>0</v>
      </c>
      <c r="DC8">
        <f t="shared" si="4"/>
        <v>0</v>
      </c>
      <c r="DD8" t="s">
        <v>3</v>
      </c>
      <c r="DE8" t="s">
        <v>3</v>
      </c>
      <c r="DF8">
        <f t="shared" si="0"/>
        <v>0</v>
      </c>
      <c r="DG8">
        <f>ROUND(ROUND(AF8,2)*CX8,2)</f>
        <v>0</v>
      </c>
      <c r="DH8">
        <f>ROUND(ROUND(AG8,2)*CX8,2)</f>
        <v>0</v>
      </c>
      <c r="DI8">
        <f t="shared" si="1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ROW(Source!A74)</f>
        <v>74</v>
      </c>
      <c r="B9">
        <v>84185495</v>
      </c>
      <c r="C9">
        <v>84185805</v>
      </c>
      <c r="D9">
        <v>37802322</v>
      </c>
      <c r="E9">
        <v>1</v>
      </c>
      <c r="F9">
        <v>1</v>
      </c>
      <c r="G9">
        <v>1</v>
      </c>
      <c r="H9">
        <v>2</v>
      </c>
      <c r="I9" t="s">
        <v>448</v>
      </c>
      <c r="J9" t="s">
        <v>449</v>
      </c>
      <c r="K9" t="s">
        <v>450</v>
      </c>
      <c r="L9">
        <v>1368</v>
      </c>
      <c r="N9">
        <v>1011</v>
      </c>
      <c r="O9" t="s">
        <v>436</v>
      </c>
      <c r="P9" t="s">
        <v>436</v>
      </c>
      <c r="Q9">
        <v>1</v>
      </c>
      <c r="W9">
        <v>0</v>
      </c>
      <c r="X9">
        <v>-1747752515</v>
      </c>
      <c r="Y9">
        <f t="shared" si="2"/>
        <v>0.24</v>
      </c>
      <c r="AA9">
        <v>0</v>
      </c>
      <c r="AB9">
        <v>18.309999999999999</v>
      </c>
      <c r="AC9">
        <v>0</v>
      </c>
      <c r="AD9">
        <v>0</v>
      </c>
      <c r="AE9">
        <v>0</v>
      </c>
      <c r="AF9">
        <v>4.3899999999999997</v>
      </c>
      <c r="AG9">
        <v>0</v>
      </c>
      <c r="AH9">
        <v>0</v>
      </c>
      <c r="AI9">
        <v>1</v>
      </c>
      <c r="AJ9">
        <v>4.17</v>
      </c>
      <c r="AK9">
        <v>35.270000000000003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0.24</v>
      </c>
      <c r="AU9" t="s">
        <v>3</v>
      </c>
      <c r="AV9">
        <v>0</v>
      </c>
      <c r="AW9">
        <v>2</v>
      </c>
      <c r="AX9">
        <v>84185813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ROUND(Y9*Source!I74*DO9,9)</f>
        <v>0</v>
      </c>
      <c r="CX9">
        <f>ROUND(Y9*Source!I74,9)</f>
        <v>0.48</v>
      </c>
      <c r="CY9">
        <f>AB9</f>
        <v>18.309999999999999</v>
      </c>
      <c r="CZ9">
        <f>AF9</f>
        <v>4.3899999999999997</v>
      </c>
      <c r="DA9">
        <f>AJ9</f>
        <v>4.17</v>
      </c>
      <c r="DB9">
        <f t="shared" si="3"/>
        <v>1.05</v>
      </c>
      <c r="DC9">
        <f t="shared" si="4"/>
        <v>0</v>
      </c>
      <c r="DD9" t="s">
        <v>3</v>
      </c>
      <c r="DE9" t="s">
        <v>3</v>
      </c>
      <c r="DF9">
        <f t="shared" si="0"/>
        <v>0</v>
      </c>
      <c r="DG9">
        <f>ROUND(ROUND(AF9*AJ9,2)*CX9,2)</f>
        <v>8.7899999999999991</v>
      </c>
      <c r="DH9">
        <f>ROUND(ROUND(AG9*AK9,2)*CX9,2)</f>
        <v>0</v>
      </c>
      <c r="DI9">
        <f t="shared" si="1"/>
        <v>0</v>
      </c>
      <c r="DJ9">
        <f>DG9</f>
        <v>8.7899999999999991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ROW(Source!A74)</f>
        <v>74</v>
      </c>
      <c r="B10">
        <v>84185495</v>
      </c>
      <c r="C10">
        <v>84185805</v>
      </c>
      <c r="D10">
        <v>37802345</v>
      </c>
      <c r="E10">
        <v>1</v>
      </c>
      <c r="F10">
        <v>1</v>
      </c>
      <c r="G10">
        <v>1</v>
      </c>
      <c r="H10">
        <v>2</v>
      </c>
      <c r="I10" t="s">
        <v>451</v>
      </c>
      <c r="J10" t="s">
        <v>452</v>
      </c>
      <c r="K10" t="s">
        <v>453</v>
      </c>
      <c r="L10">
        <v>1368</v>
      </c>
      <c r="N10">
        <v>1011</v>
      </c>
      <c r="O10" t="s">
        <v>436</v>
      </c>
      <c r="P10" t="s">
        <v>436</v>
      </c>
      <c r="Q10">
        <v>1</v>
      </c>
      <c r="W10">
        <v>0</v>
      </c>
      <c r="X10">
        <v>-1096394961</v>
      </c>
      <c r="Y10">
        <f t="shared" si="2"/>
        <v>0.24</v>
      </c>
      <c r="AA10">
        <v>0</v>
      </c>
      <c r="AB10">
        <v>1014.97</v>
      </c>
      <c r="AC10">
        <v>426.77</v>
      </c>
      <c r="AD10">
        <v>0</v>
      </c>
      <c r="AE10">
        <v>0</v>
      </c>
      <c r="AF10">
        <v>72.239999999999995</v>
      </c>
      <c r="AG10">
        <v>12.1</v>
      </c>
      <c r="AH10">
        <v>0</v>
      </c>
      <c r="AI10">
        <v>1</v>
      </c>
      <c r="AJ10">
        <v>14.05</v>
      </c>
      <c r="AK10">
        <v>35.270000000000003</v>
      </c>
      <c r="AL10">
        <v>1</v>
      </c>
      <c r="AM10">
        <v>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0.24</v>
      </c>
      <c r="AU10" t="s">
        <v>3</v>
      </c>
      <c r="AV10">
        <v>0</v>
      </c>
      <c r="AW10">
        <v>2</v>
      </c>
      <c r="AX10">
        <v>84185814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ROUND(Y10*Source!I74*DO10,9)</f>
        <v>0</v>
      </c>
      <c r="CX10">
        <f>ROUND(Y10*Source!I74,9)</f>
        <v>0.48</v>
      </c>
      <c r="CY10">
        <f>AB10</f>
        <v>1014.97</v>
      </c>
      <c r="CZ10">
        <f>AF10</f>
        <v>72.239999999999995</v>
      </c>
      <c r="DA10">
        <f>AJ10</f>
        <v>14.05</v>
      </c>
      <c r="DB10">
        <f t="shared" si="3"/>
        <v>17.34</v>
      </c>
      <c r="DC10">
        <f t="shared" si="4"/>
        <v>2.9</v>
      </c>
      <c r="DD10" t="s">
        <v>3</v>
      </c>
      <c r="DE10" t="s">
        <v>3</v>
      </c>
      <c r="DF10">
        <f t="shared" si="0"/>
        <v>0</v>
      </c>
      <c r="DG10">
        <f>ROUND(ROUND(AF10*AJ10,2)*CX10,2)</f>
        <v>487.19</v>
      </c>
      <c r="DH10">
        <f>ROUND(ROUND(AG10*AK10,2)*CX10,2)</f>
        <v>204.85</v>
      </c>
      <c r="DI10">
        <f t="shared" si="1"/>
        <v>0</v>
      </c>
      <c r="DJ10">
        <f>DG10</f>
        <v>487.19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ROW(Source!A74)</f>
        <v>74</v>
      </c>
      <c r="B11">
        <v>84185495</v>
      </c>
      <c r="C11">
        <v>84185805</v>
      </c>
      <c r="D11">
        <v>37802443</v>
      </c>
      <c r="E11">
        <v>1</v>
      </c>
      <c r="F11">
        <v>1</v>
      </c>
      <c r="G11">
        <v>1</v>
      </c>
      <c r="H11">
        <v>2</v>
      </c>
      <c r="I11" t="s">
        <v>454</v>
      </c>
      <c r="J11" t="s">
        <v>455</v>
      </c>
      <c r="K11" t="s">
        <v>456</v>
      </c>
      <c r="L11">
        <v>1368</v>
      </c>
      <c r="N11">
        <v>1011</v>
      </c>
      <c r="O11" t="s">
        <v>436</v>
      </c>
      <c r="P11" t="s">
        <v>436</v>
      </c>
      <c r="Q11">
        <v>1</v>
      </c>
      <c r="W11">
        <v>0</v>
      </c>
      <c r="X11">
        <v>1447433125</v>
      </c>
      <c r="Y11">
        <f t="shared" si="2"/>
        <v>0.24</v>
      </c>
      <c r="AA11">
        <v>0</v>
      </c>
      <c r="AB11">
        <v>1453.68</v>
      </c>
      <c r="AC11">
        <v>426.77</v>
      </c>
      <c r="AD11">
        <v>0</v>
      </c>
      <c r="AE11">
        <v>0</v>
      </c>
      <c r="AF11">
        <v>124.14</v>
      </c>
      <c r="AG11">
        <v>12.1</v>
      </c>
      <c r="AH11">
        <v>0</v>
      </c>
      <c r="AI11">
        <v>1</v>
      </c>
      <c r="AJ11">
        <v>11.71</v>
      </c>
      <c r="AK11">
        <v>35.270000000000003</v>
      </c>
      <c r="AL11">
        <v>1</v>
      </c>
      <c r="AM11">
        <v>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0.24</v>
      </c>
      <c r="AU11" t="s">
        <v>3</v>
      </c>
      <c r="AV11">
        <v>0</v>
      </c>
      <c r="AW11">
        <v>2</v>
      </c>
      <c r="AX11">
        <v>84185815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ROUND(Y11*Source!I74*DO11,9)</f>
        <v>0</v>
      </c>
      <c r="CX11">
        <f>ROUND(Y11*Source!I74,9)</f>
        <v>0.48</v>
      </c>
      <c r="CY11">
        <f>AB11</f>
        <v>1453.68</v>
      </c>
      <c r="CZ11">
        <f>AF11</f>
        <v>124.14</v>
      </c>
      <c r="DA11">
        <f>AJ11</f>
        <v>11.71</v>
      </c>
      <c r="DB11">
        <f t="shared" si="3"/>
        <v>29.79</v>
      </c>
      <c r="DC11">
        <f t="shared" si="4"/>
        <v>2.9</v>
      </c>
      <c r="DD11" t="s">
        <v>3</v>
      </c>
      <c r="DE11" t="s">
        <v>3</v>
      </c>
      <c r="DF11">
        <f t="shared" si="0"/>
        <v>0</v>
      </c>
      <c r="DG11">
        <f>ROUND(ROUND(AF11*AJ11,2)*CX11,2)</f>
        <v>697.77</v>
      </c>
      <c r="DH11">
        <f>ROUND(ROUND(AG11*AK11,2)*CX11,2)</f>
        <v>204.85</v>
      </c>
      <c r="DI11">
        <f t="shared" si="1"/>
        <v>0</v>
      </c>
      <c r="DJ11">
        <f>DG11</f>
        <v>697.77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ROW(Source!A75)</f>
        <v>75</v>
      </c>
      <c r="B12">
        <v>84185495</v>
      </c>
      <c r="C12">
        <v>84185816</v>
      </c>
      <c r="D12">
        <v>23351395</v>
      </c>
      <c r="E12">
        <v>1</v>
      </c>
      <c r="F12">
        <v>1</v>
      </c>
      <c r="G12">
        <v>1</v>
      </c>
      <c r="H12">
        <v>1</v>
      </c>
      <c r="I12" t="s">
        <v>440</v>
      </c>
      <c r="J12" t="s">
        <v>3</v>
      </c>
      <c r="K12" t="s">
        <v>441</v>
      </c>
      <c r="L12">
        <v>1369</v>
      </c>
      <c r="N12">
        <v>1013</v>
      </c>
      <c r="O12" t="s">
        <v>430</v>
      </c>
      <c r="P12" t="s">
        <v>430</v>
      </c>
      <c r="Q12">
        <v>1</v>
      </c>
      <c r="W12">
        <v>0</v>
      </c>
      <c r="X12">
        <v>1072260845</v>
      </c>
      <c r="Y12">
        <f t="shared" si="2"/>
        <v>62.2</v>
      </c>
      <c r="AA12">
        <v>0</v>
      </c>
      <c r="AB12">
        <v>0</v>
      </c>
      <c r="AC12">
        <v>0</v>
      </c>
      <c r="AD12">
        <v>8.99</v>
      </c>
      <c r="AE12">
        <v>0</v>
      </c>
      <c r="AF12">
        <v>0</v>
      </c>
      <c r="AG12">
        <v>0</v>
      </c>
      <c r="AH12">
        <v>8.99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62.2</v>
      </c>
      <c r="AU12" t="s">
        <v>3</v>
      </c>
      <c r="AV12">
        <v>1</v>
      </c>
      <c r="AW12">
        <v>2</v>
      </c>
      <c r="AX12">
        <v>84185829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ROUND(AT12*Source!I75*AH12*AL12,2)</f>
        <v>15.91</v>
      </c>
      <c r="CV12">
        <f>ROUND(Y12*Source!I75,9)</f>
        <v>1.7702119999999999</v>
      </c>
      <c r="CW12">
        <v>0</v>
      </c>
      <c r="CX12">
        <f>ROUND(Y12*Source!I75,9)</f>
        <v>1.7702119999999999</v>
      </c>
      <c r="CY12">
        <f>AD12</f>
        <v>8.99</v>
      </c>
      <c r="CZ12">
        <f>AH12</f>
        <v>8.99</v>
      </c>
      <c r="DA12">
        <f>AL12</f>
        <v>1</v>
      </c>
      <c r="DB12">
        <f t="shared" si="3"/>
        <v>559.17999999999995</v>
      </c>
      <c r="DC12">
        <f t="shared" si="4"/>
        <v>0</v>
      </c>
      <c r="DD12" t="s">
        <v>3</v>
      </c>
      <c r="DE12" t="s">
        <v>3</v>
      </c>
      <c r="DF12">
        <f t="shared" si="0"/>
        <v>0</v>
      </c>
      <c r="DG12">
        <f>ROUND(ROUND(AF12,2)*CX12,2)</f>
        <v>0</v>
      </c>
      <c r="DH12">
        <f>ROUND(ROUND(AG12,2)*CX12,2)</f>
        <v>0</v>
      </c>
      <c r="DI12">
        <f t="shared" si="1"/>
        <v>15.91</v>
      </c>
      <c r="DJ12">
        <f>DI12</f>
        <v>15.91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ROW(Source!A75)</f>
        <v>75</v>
      </c>
      <c r="B13">
        <v>84185495</v>
      </c>
      <c r="C13">
        <v>84185816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24</v>
      </c>
      <c r="J13" t="s">
        <v>3</v>
      </c>
      <c r="K13" t="s">
        <v>431</v>
      </c>
      <c r="L13">
        <v>608254</v>
      </c>
      <c r="N13">
        <v>1013</v>
      </c>
      <c r="O13" t="s">
        <v>432</v>
      </c>
      <c r="P13" t="s">
        <v>432</v>
      </c>
      <c r="Q13">
        <v>1</v>
      </c>
      <c r="W13">
        <v>0</v>
      </c>
      <c r="X13">
        <v>-185737400</v>
      </c>
      <c r="Y13">
        <f t="shared" si="2"/>
        <v>1.74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1.74</v>
      </c>
      <c r="AU13" t="s">
        <v>3</v>
      </c>
      <c r="AV13">
        <v>2</v>
      </c>
      <c r="AW13">
        <v>2</v>
      </c>
      <c r="AX13">
        <v>84185830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ROUND(Y13*Source!I75,9)</f>
        <v>4.9520399999999999E-2</v>
      </c>
      <c r="CY13">
        <f>AD13</f>
        <v>0</v>
      </c>
      <c r="CZ13">
        <f>AH13</f>
        <v>0</v>
      </c>
      <c r="DA13">
        <f>AL13</f>
        <v>1</v>
      </c>
      <c r="DB13">
        <f t="shared" si="3"/>
        <v>0</v>
      </c>
      <c r="DC13">
        <f t="shared" si="4"/>
        <v>0</v>
      </c>
      <c r="DD13" t="s">
        <v>3</v>
      </c>
      <c r="DE13" t="s">
        <v>3</v>
      </c>
      <c r="DF13">
        <f t="shared" si="0"/>
        <v>0</v>
      </c>
      <c r="DG13">
        <f>ROUND(ROUND(AF13,2)*CX13,2)</f>
        <v>0</v>
      </c>
      <c r="DH13">
        <f>ROUND(ROUND(AG13,2)*CX13,2)</f>
        <v>0</v>
      </c>
      <c r="DI13">
        <f t="shared" si="1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ROW(Source!A75)</f>
        <v>75</v>
      </c>
      <c r="B14">
        <v>84185495</v>
      </c>
      <c r="C14">
        <v>84185816</v>
      </c>
      <c r="D14">
        <v>37802432</v>
      </c>
      <c r="E14">
        <v>1</v>
      </c>
      <c r="F14">
        <v>1</v>
      </c>
      <c r="G14">
        <v>1</v>
      </c>
      <c r="H14">
        <v>2</v>
      </c>
      <c r="I14" t="s">
        <v>457</v>
      </c>
      <c r="J14" t="s">
        <v>458</v>
      </c>
      <c r="K14" t="s">
        <v>459</v>
      </c>
      <c r="L14">
        <v>1368</v>
      </c>
      <c r="N14">
        <v>1011</v>
      </c>
      <c r="O14" t="s">
        <v>436</v>
      </c>
      <c r="P14" t="s">
        <v>436</v>
      </c>
      <c r="Q14">
        <v>1</v>
      </c>
      <c r="W14">
        <v>0</v>
      </c>
      <c r="X14">
        <v>-1424728221</v>
      </c>
      <c r="Y14">
        <f t="shared" si="2"/>
        <v>1.74</v>
      </c>
      <c r="AA14">
        <v>0</v>
      </c>
      <c r="AB14">
        <v>1471.29</v>
      </c>
      <c r="AC14">
        <v>426.77</v>
      </c>
      <c r="AD14">
        <v>0</v>
      </c>
      <c r="AE14">
        <v>0</v>
      </c>
      <c r="AF14">
        <v>138.54</v>
      </c>
      <c r="AG14">
        <v>12.1</v>
      </c>
      <c r="AH14">
        <v>0</v>
      </c>
      <c r="AI14">
        <v>1</v>
      </c>
      <c r="AJ14">
        <v>10.62</v>
      </c>
      <c r="AK14">
        <v>35.270000000000003</v>
      </c>
      <c r="AL14">
        <v>1</v>
      </c>
      <c r="AM14">
        <v>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1.74</v>
      </c>
      <c r="AU14" t="s">
        <v>3</v>
      </c>
      <c r="AV14">
        <v>0</v>
      </c>
      <c r="AW14">
        <v>2</v>
      </c>
      <c r="AX14">
        <v>84185831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ROUND(Y14*Source!I75*DO14,9)</f>
        <v>0</v>
      </c>
      <c r="CX14">
        <f>ROUND(Y14*Source!I75,9)</f>
        <v>4.9520399999999999E-2</v>
      </c>
      <c r="CY14">
        <f>AB14</f>
        <v>1471.29</v>
      </c>
      <c r="CZ14">
        <f>AF14</f>
        <v>138.54</v>
      </c>
      <c r="DA14">
        <f>AJ14</f>
        <v>10.62</v>
      </c>
      <c r="DB14">
        <f t="shared" si="3"/>
        <v>241.06</v>
      </c>
      <c r="DC14">
        <f t="shared" si="4"/>
        <v>21.05</v>
      </c>
      <c r="DD14" t="s">
        <v>3</v>
      </c>
      <c r="DE14" t="s">
        <v>3</v>
      </c>
      <c r="DF14">
        <f t="shared" si="0"/>
        <v>0</v>
      </c>
      <c r="DG14">
        <f>ROUND(ROUND(AF14*AJ14,2)*CX14,2)</f>
        <v>72.86</v>
      </c>
      <c r="DH14">
        <f>ROUND(ROUND(AG14*AK14,2)*CX14,2)</f>
        <v>21.13</v>
      </c>
      <c r="DI14">
        <f t="shared" si="1"/>
        <v>0</v>
      </c>
      <c r="DJ14">
        <f>DG14</f>
        <v>72.86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ROW(Source!A75)</f>
        <v>75</v>
      </c>
      <c r="B15">
        <v>84185495</v>
      </c>
      <c r="C15">
        <v>84185816</v>
      </c>
      <c r="D15">
        <v>37802657</v>
      </c>
      <c r="E15">
        <v>1</v>
      </c>
      <c r="F15">
        <v>1</v>
      </c>
      <c r="G15">
        <v>1</v>
      </c>
      <c r="H15">
        <v>2</v>
      </c>
      <c r="I15" t="s">
        <v>460</v>
      </c>
      <c r="J15" t="s">
        <v>461</v>
      </c>
      <c r="K15" t="s">
        <v>462</v>
      </c>
      <c r="L15">
        <v>1368</v>
      </c>
      <c r="N15">
        <v>1011</v>
      </c>
      <c r="O15" t="s">
        <v>436</v>
      </c>
      <c r="P15" t="s">
        <v>436</v>
      </c>
      <c r="Q15">
        <v>1</v>
      </c>
      <c r="W15">
        <v>0</v>
      </c>
      <c r="X15">
        <v>1084334125</v>
      </c>
      <c r="Y15">
        <f t="shared" si="2"/>
        <v>15.1</v>
      </c>
      <c r="AA15">
        <v>0</v>
      </c>
      <c r="AB15">
        <v>51.94</v>
      </c>
      <c r="AC15">
        <v>0</v>
      </c>
      <c r="AD15">
        <v>0</v>
      </c>
      <c r="AE15">
        <v>0</v>
      </c>
      <c r="AF15">
        <v>7.55</v>
      </c>
      <c r="AG15">
        <v>0</v>
      </c>
      <c r="AH15">
        <v>0</v>
      </c>
      <c r="AI15">
        <v>1</v>
      </c>
      <c r="AJ15">
        <v>6.88</v>
      </c>
      <c r="AK15">
        <v>35.270000000000003</v>
      </c>
      <c r="AL15">
        <v>1</v>
      </c>
      <c r="AM15">
        <v>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15.1</v>
      </c>
      <c r="AU15" t="s">
        <v>3</v>
      </c>
      <c r="AV15">
        <v>0</v>
      </c>
      <c r="AW15">
        <v>2</v>
      </c>
      <c r="AX15">
        <v>84185832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ROUND(Y15*Source!I75*DO15,9)</f>
        <v>0</v>
      </c>
      <c r="CX15">
        <f>ROUND(Y15*Source!I75,9)</f>
        <v>0.42974600000000002</v>
      </c>
      <c r="CY15">
        <f>AB15</f>
        <v>51.94</v>
      </c>
      <c r="CZ15">
        <f>AF15</f>
        <v>7.55</v>
      </c>
      <c r="DA15">
        <f>AJ15</f>
        <v>6.88</v>
      </c>
      <c r="DB15">
        <f t="shared" si="3"/>
        <v>114.01</v>
      </c>
      <c r="DC15">
        <f t="shared" si="4"/>
        <v>0</v>
      </c>
      <c r="DD15" t="s">
        <v>3</v>
      </c>
      <c r="DE15" t="s">
        <v>3</v>
      </c>
      <c r="DF15">
        <f t="shared" si="0"/>
        <v>0</v>
      </c>
      <c r="DG15">
        <f>ROUND(ROUND(AF15*AJ15,2)*CX15,2)</f>
        <v>22.32</v>
      </c>
      <c r="DH15">
        <f>ROUND(ROUND(AG15*AK15,2)*CX15,2)</f>
        <v>0</v>
      </c>
      <c r="DI15">
        <f t="shared" si="1"/>
        <v>0</v>
      </c>
      <c r="DJ15">
        <f>DG15</f>
        <v>22.32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ROW(Source!A75)</f>
        <v>75</v>
      </c>
      <c r="B16">
        <v>84185495</v>
      </c>
      <c r="C16">
        <v>84185816</v>
      </c>
      <c r="D16">
        <v>37804456</v>
      </c>
      <c r="E16">
        <v>1</v>
      </c>
      <c r="F16">
        <v>1</v>
      </c>
      <c r="G16">
        <v>1</v>
      </c>
      <c r="H16">
        <v>2</v>
      </c>
      <c r="I16" t="s">
        <v>437</v>
      </c>
      <c r="J16" t="s">
        <v>438</v>
      </c>
      <c r="K16" t="s">
        <v>439</v>
      </c>
      <c r="L16">
        <v>1368</v>
      </c>
      <c r="N16">
        <v>1011</v>
      </c>
      <c r="O16" t="s">
        <v>436</v>
      </c>
      <c r="P16" t="s">
        <v>436</v>
      </c>
      <c r="Q16">
        <v>1</v>
      </c>
      <c r="W16">
        <v>0</v>
      </c>
      <c r="X16">
        <v>-671646184</v>
      </c>
      <c r="Y16">
        <f t="shared" si="2"/>
        <v>1.74</v>
      </c>
      <c r="AA16">
        <v>0</v>
      </c>
      <c r="AB16">
        <v>1305.74</v>
      </c>
      <c r="AC16">
        <v>365.04</v>
      </c>
      <c r="AD16">
        <v>0</v>
      </c>
      <c r="AE16">
        <v>0</v>
      </c>
      <c r="AF16">
        <v>91.76</v>
      </c>
      <c r="AG16">
        <v>10.35</v>
      </c>
      <c r="AH16">
        <v>0</v>
      </c>
      <c r="AI16">
        <v>1</v>
      </c>
      <c r="AJ16">
        <v>14.23</v>
      </c>
      <c r="AK16">
        <v>35.270000000000003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1.74</v>
      </c>
      <c r="AU16" t="s">
        <v>3</v>
      </c>
      <c r="AV16">
        <v>0</v>
      </c>
      <c r="AW16">
        <v>2</v>
      </c>
      <c r="AX16">
        <v>84185833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ROUND(Y16*Source!I75*DO16,9)</f>
        <v>0</v>
      </c>
      <c r="CX16">
        <f>ROUND(Y16*Source!I75,9)</f>
        <v>4.9520399999999999E-2</v>
      </c>
      <c r="CY16">
        <f>AB16</f>
        <v>1305.74</v>
      </c>
      <c r="CZ16">
        <f>AF16</f>
        <v>91.76</v>
      </c>
      <c r="DA16">
        <f>AJ16</f>
        <v>14.23</v>
      </c>
      <c r="DB16">
        <f t="shared" si="3"/>
        <v>159.66</v>
      </c>
      <c r="DC16">
        <f t="shared" si="4"/>
        <v>18.010000000000002</v>
      </c>
      <c r="DD16" t="s">
        <v>3</v>
      </c>
      <c r="DE16" t="s">
        <v>3</v>
      </c>
      <c r="DF16">
        <f t="shared" si="0"/>
        <v>0</v>
      </c>
      <c r="DG16">
        <f>ROUND(ROUND(AF16*AJ16,2)*CX16,2)</f>
        <v>64.66</v>
      </c>
      <c r="DH16">
        <f>ROUND(ROUND(AG16*AK16,2)*CX16,2)</f>
        <v>18.079999999999998</v>
      </c>
      <c r="DI16">
        <f t="shared" si="1"/>
        <v>0</v>
      </c>
      <c r="DJ16">
        <f>DG16</f>
        <v>64.66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ROW(Source!A75)</f>
        <v>75</v>
      </c>
      <c r="B17">
        <v>84185495</v>
      </c>
      <c r="C17">
        <v>84185816</v>
      </c>
      <c r="D17">
        <v>37731377</v>
      </c>
      <c r="E17">
        <v>1</v>
      </c>
      <c r="F17">
        <v>1</v>
      </c>
      <c r="G17">
        <v>1</v>
      </c>
      <c r="H17">
        <v>3</v>
      </c>
      <c r="I17" t="s">
        <v>463</v>
      </c>
      <c r="J17" t="s">
        <v>464</v>
      </c>
      <c r="K17" t="s">
        <v>465</v>
      </c>
      <c r="L17">
        <v>1348</v>
      </c>
      <c r="N17">
        <v>1009</v>
      </c>
      <c r="O17" t="s">
        <v>126</v>
      </c>
      <c r="P17" t="s">
        <v>126</v>
      </c>
      <c r="Q17">
        <v>1000</v>
      </c>
      <c r="W17">
        <v>0</v>
      </c>
      <c r="X17">
        <v>994982934</v>
      </c>
      <c r="Y17">
        <f t="shared" si="2"/>
        <v>0.18</v>
      </c>
      <c r="AA17">
        <v>10045.32</v>
      </c>
      <c r="AB17">
        <v>0</v>
      </c>
      <c r="AC17">
        <v>0</v>
      </c>
      <c r="AD17">
        <v>0</v>
      </c>
      <c r="AE17">
        <v>582</v>
      </c>
      <c r="AF17">
        <v>0</v>
      </c>
      <c r="AG17">
        <v>0</v>
      </c>
      <c r="AH17">
        <v>0</v>
      </c>
      <c r="AI17">
        <v>17.260000000000002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0.18</v>
      </c>
      <c r="AU17" t="s">
        <v>3</v>
      </c>
      <c r="AV17">
        <v>0</v>
      </c>
      <c r="AW17">
        <v>2</v>
      </c>
      <c r="AX17">
        <v>84185834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ROUND(Y17*Source!I75,9)</f>
        <v>5.1228000000000003E-3</v>
      </c>
      <c r="CY17">
        <f t="shared" ref="CY17:CY23" si="5">AA17</f>
        <v>10045.32</v>
      </c>
      <c r="CZ17">
        <f t="shared" ref="CZ17:CZ23" si="6">AE17</f>
        <v>582</v>
      </c>
      <c r="DA17">
        <f t="shared" ref="DA17:DA23" si="7">AI17</f>
        <v>17.260000000000002</v>
      </c>
      <c r="DB17">
        <f t="shared" si="3"/>
        <v>104.76</v>
      </c>
      <c r="DC17">
        <f t="shared" si="4"/>
        <v>0</v>
      </c>
      <c r="DD17" t="s">
        <v>3</v>
      </c>
      <c r="DE17" t="s">
        <v>3</v>
      </c>
      <c r="DF17">
        <f t="shared" ref="DF17:DF22" si="8">ROUND(ROUND(AE17*AI17,2)*CX17,2)</f>
        <v>51.46</v>
      </c>
      <c r="DG17">
        <f t="shared" ref="DG17:DG25" si="9">ROUND(ROUND(AF17,2)*CX17,2)</f>
        <v>0</v>
      </c>
      <c r="DH17">
        <f t="shared" ref="DH17:DH25" si="10">ROUND(ROUND(AG17,2)*CX17,2)</f>
        <v>0</v>
      </c>
      <c r="DI17">
        <f t="shared" si="1"/>
        <v>0</v>
      </c>
      <c r="DJ17">
        <f t="shared" ref="DJ17:DJ23" si="11">DF17</f>
        <v>51.46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ROW(Source!A75)</f>
        <v>75</v>
      </c>
      <c r="B18">
        <v>84185495</v>
      </c>
      <c r="C18">
        <v>84185816</v>
      </c>
      <c r="D18">
        <v>37737041</v>
      </c>
      <c r="E18">
        <v>1</v>
      </c>
      <c r="F18">
        <v>1</v>
      </c>
      <c r="G18">
        <v>1</v>
      </c>
      <c r="H18">
        <v>3</v>
      </c>
      <c r="I18" t="s">
        <v>466</v>
      </c>
      <c r="J18" t="s">
        <v>467</v>
      </c>
      <c r="K18" t="s">
        <v>468</v>
      </c>
      <c r="L18">
        <v>1355</v>
      </c>
      <c r="N18">
        <v>1010</v>
      </c>
      <c r="O18" t="s">
        <v>27</v>
      </c>
      <c r="P18" t="s">
        <v>27</v>
      </c>
      <c r="Q18">
        <v>100</v>
      </c>
      <c r="W18">
        <v>0</v>
      </c>
      <c r="X18">
        <v>-1585051097</v>
      </c>
      <c r="Y18">
        <f t="shared" si="2"/>
        <v>0.8</v>
      </c>
      <c r="AA18">
        <v>464.46</v>
      </c>
      <c r="AB18">
        <v>0</v>
      </c>
      <c r="AC18">
        <v>0</v>
      </c>
      <c r="AD18">
        <v>0</v>
      </c>
      <c r="AE18">
        <v>111.65</v>
      </c>
      <c r="AF18">
        <v>0</v>
      </c>
      <c r="AG18">
        <v>0</v>
      </c>
      <c r="AH18">
        <v>0</v>
      </c>
      <c r="AI18">
        <v>4.16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0.8</v>
      </c>
      <c r="AU18" t="s">
        <v>3</v>
      </c>
      <c r="AV18">
        <v>0</v>
      </c>
      <c r="AW18">
        <v>2</v>
      </c>
      <c r="AX18">
        <v>84185835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ROUND(Y18*Source!I75,9)</f>
        <v>2.2768E-2</v>
      </c>
      <c r="CY18">
        <f t="shared" si="5"/>
        <v>464.46</v>
      </c>
      <c r="CZ18">
        <f t="shared" si="6"/>
        <v>111.65</v>
      </c>
      <c r="DA18">
        <f t="shared" si="7"/>
        <v>4.16</v>
      </c>
      <c r="DB18">
        <f t="shared" si="3"/>
        <v>89.32</v>
      </c>
      <c r="DC18">
        <f t="shared" si="4"/>
        <v>0</v>
      </c>
      <c r="DD18" t="s">
        <v>3</v>
      </c>
      <c r="DE18" t="s">
        <v>3</v>
      </c>
      <c r="DF18">
        <f t="shared" si="8"/>
        <v>10.57</v>
      </c>
      <c r="DG18">
        <f t="shared" si="9"/>
        <v>0</v>
      </c>
      <c r="DH18">
        <f t="shared" si="10"/>
        <v>0</v>
      </c>
      <c r="DI18">
        <f t="shared" si="1"/>
        <v>0</v>
      </c>
      <c r="DJ18">
        <f t="shared" si="11"/>
        <v>10.57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ROW(Source!A75)</f>
        <v>75</v>
      </c>
      <c r="B19">
        <v>84185495</v>
      </c>
      <c r="C19">
        <v>84185816</v>
      </c>
      <c r="D19">
        <v>37736610</v>
      </c>
      <c r="E19">
        <v>1</v>
      </c>
      <c r="F19">
        <v>1</v>
      </c>
      <c r="G19">
        <v>1</v>
      </c>
      <c r="H19">
        <v>3</v>
      </c>
      <c r="I19" t="s">
        <v>469</v>
      </c>
      <c r="J19" t="s">
        <v>470</v>
      </c>
      <c r="K19" t="s">
        <v>471</v>
      </c>
      <c r="L19">
        <v>1346</v>
      </c>
      <c r="N19">
        <v>1009</v>
      </c>
      <c r="O19" t="s">
        <v>148</v>
      </c>
      <c r="P19" t="s">
        <v>148</v>
      </c>
      <c r="Q19">
        <v>1</v>
      </c>
      <c r="W19">
        <v>0</v>
      </c>
      <c r="X19">
        <v>-347328291</v>
      </c>
      <c r="Y19">
        <f t="shared" si="2"/>
        <v>4.2</v>
      </c>
      <c r="AA19">
        <v>121.82</v>
      </c>
      <c r="AB19">
        <v>0</v>
      </c>
      <c r="AC19">
        <v>0</v>
      </c>
      <c r="AD19">
        <v>0</v>
      </c>
      <c r="AE19">
        <v>12.65</v>
      </c>
      <c r="AF19">
        <v>0</v>
      </c>
      <c r="AG19">
        <v>0</v>
      </c>
      <c r="AH19">
        <v>0</v>
      </c>
      <c r="AI19">
        <v>9.6300000000000008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4.2</v>
      </c>
      <c r="AU19" t="s">
        <v>3</v>
      </c>
      <c r="AV19">
        <v>0</v>
      </c>
      <c r="AW19">
        <v>2</v>
      </c>
      <c r="AX19">
        <v>84185836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ROUND(Y19*Source!I75,9)</f>
        <v>0.119532</v>
      </c>
      <c r="CY19">
        <f t="shared" si="5"/>
        <v>121.82</v>
      </c>
      <c r="CZ19">
        <f t="shared" si="6"/>
        <v>12.65</v>
      </c>
      <c r="DA19">
        <f t="shared" si="7"/>
        <v>9.6300000000000008</v>
      </c>
      <c r="DB19">
        <f t="shared" si="3"/>
        <v>53.13</v>
      </c>
      <c r="DC19">
        <f t="shared" si="4"/>
        <v>0</v>
      </c>
      <c r="DD19" t="s">
        <v>3</v>
      </c>
      <c r="DE19" t="s">
        <v>3</v>
      </c>
      <c r="DF19">
        <f t="shared" si="8"/>
        <v>14.56</v>
      </c>
      <c r="DG19">
        <f t="shared" si="9"/>
        <v>0</v>
      </c>
      <c r="DH19">
        <f t="shared" si="10"/>
        <v>0</v>
      </c>
      <c r="DI19">
        <f t="shared" si="1"/>
        <v>0</v>
      </c>
      <c r="DJ19">
        <f t="shared" si="11"/>
        <v>14.56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ROW(Source!A75)</f>
        <v>75</v>
      </c>
      <c r="B20">
        <v>84185495</v>
      </c>
      <c r="C20">
        <v>84185816</v>
      </c>
      <c r="D20">
        <v>37736858</v>
      </c>
      <c r="E20">
        <v>1</v>
      </c>
      <c r="F20">
        <v>1</v>
      </c>
      <c r="G20">
        <v>1</v>
      </c>
      <c r="H20">
        <v>3</v>
      </c>
      <c r="I20" t="s">
        <v>472</v>
      </c>
      <c r="J20" t="s">
        <v>473</v>
      </c>
      <c r="K20" t="s">
        <v>125</v>
      </c>
      <c r="L20">
        <v>1346</v>
      </c>
      <c r="N20">
        <v>1009</v>
      </c>
      <c r="O20" t="s">
        <v>148</v>
      </c>
      <c r="P20" t="s">
        <v>148</v>
      </c>
      <c r="Q20">
        <v>1</v>
      </c>
      <c r="W20">
        <v>0</v>
      </c>
      <c r="X20">
        <v>-1815671160</v>
      </c>
      <c r="Y20">
        <f t="shared" si="2"/>
        <v>27</v>
      </c>
      <c r="AA20">
        <v>288.5</v>
      </c>
      <c r="AB20">
        <v>0</v>
      </c>
      <c r="AC20">
        <v>0</v>
      </c>
      <c r="AD20">
        <v>0</v>
      </c>
      <c r="AE20">
        <v>9.49</v>
      </c>
      <c r="AF20">
        <v>0</v>
      </c>
      <c r="AG20">
        <v>0</v>
      </c>
      <c r="AH20">
        <v>0</v>
      </c>
      <c r="AI20">
        <v>30.4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27</v>
      </c>
      <c r="AU20" t="s">
        <v>3</v>
      </c>
      <c r="AV20">
        <v>0</v>
      </c>
      <c r="AW20">
        <v>2</v>
      </c>
      <c r="AX20">
        <v>84185837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ROUND(Y20*Source!I75,9)</f>
        <v>0.76841999999999999</v>
      </c>
      <c r="CY20">
        <f t="shared" si="5"/>
        <v>288.5</v>
      </c>
      <c r="CZ20">
        <f t="shared" si="6"/>
        <v>9.49</v>
      </c>
      <c r="DA20">
        <f t="shared" si="7"/>
        <v>30.4</v>
      </c>
      <c r="DB20">
        <f t="shared" si="3"/>
        <v>256.23</v>
      </c>
      <c r="DC20">
        <f t="shared" si="4"/>
        <v>0</v>
      </c>
      <c r="DD20" t="s">
        <v>3</v>
      </c>
      <c r="DE20" t="s">
        <v>3</v>
      </c>
      <c r="DF20">
        <f t="shared" si="8"/>
        <v>221.69</v>
      </c>
      <c r="DG20">
        <f t="shared" si="9"/>
        <v>0</v>
      </c>
      <c r="DH20">
        <f t="shared" si="10"/>
        <v>0</v>
      </c>
      <c r="DI20">
        <f t="shared" si="1"/>
        <v>0</v>
      </c>
      <c r="DJ20">
        <f t="shared" si="11"/>
        <v>221.69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ROW(Source!A75)</f>
        <v>75</v>
      </c>
      <c r="B21">
        <v>84185495</v>
      </c>
      <c r="C21">
        <v>84185816</v>
      </c>
      <c r="D21">
        <v>37751465</v>
      </c>
      <c r="E21">
        <v>1</v>
      </c>
      <c r="F21">
        <v>1</v>
      </c>
      <c r="G21">
        <v>1</v>
      </c>
      <c r="H21">
        <v>3</v>
      </c>
      <c r="I21" t="s">
        <v>474</v>
      </c>
      <c r="J21" t="s">
        <v>475</v>
      </c>
      <c r="K21" t="s">
        <v>476</v>
      </c>
      <c r="L21">
        <v>1348</v>
      </c>
      <c r="N21">
        <v>1009</v>
      </c>
      <c r="O21" t="s">
        <v>126</v>
      </c>
      <c r="P21" t="s">
        <v>126</v>
      </c>
      <c r="Q21">
        <v>1000</v>
      </c>
      <c r="W21">
        <v>0</v>
      </c>
      <c r="X21">
        <v>-1120195284</v>
      </c>
      <c r="Y21">
        <f t="shared" si="2"/>
        <v>1</v>
      </c>
      <c r="AA21">
        <v>125245.82</v>
      </c>
      <c r="AB21">
        <v>0</v>
      </c>
      <c r="AC21">
        <v>0</v>
      </c>
      <c r="AD21">
        <v>0</v>
      </c>
      <c r="AE21">
        <v>11672.49</v>
      </c>
      <c r="AF21">
        <v>0</v>
      </c>
      <c r="AG21">
        <v>0</v>
      </c>
      <c r="AH21">
        <v>0</v>
      </c>
      <c r="AI21">
        <v>10.73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</v>
      </c>
      <c r="AU21" t="s">
        <v>3</v>
      </c>
      <c r="AV21">
        <v>0</v>
      </c>
      <c r="AW21">
        <v>2</v>
      </c>
      <c r="AX21">
        <v>84185838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ROUND(Y21*Source!I75,9)</f>
        <v>2.8459999999999999E-2</v>
      </c>
      <c r="CY21">
        <f t="shared" si="5"/>
        <v>125245.82</v>
      </c>
      <c r="CZ21">
        <f t="shared" si="6"/>
        <v>11672.49</v>
      </c>
      <c r="DA21">
        <f t="shared" si="7"/>
        <v>10.73</v>
      </c>
      <c r="DB21">
        <f t="shared" si="3"/>
        <v>11672.49</v>
      </c>
      <c r="DC21">
        <f t="shared" si="4"/>
        <v>0</v>
      </c>
      <c r="DD21" t="s">
        <v>3</v>
      </c>
      <c r="DE21" t="s">
        <v>3</v>
      </c>
      <c r="DF21">
        <f t="shared" si="8"/>
        <v>3564.5</v>
      </c>
      <c r="DG21">
        <f t="shared" si="9"/>
        <v>0</v>
      </c>
      <c r="DH21">
        <f t="shared" si="10"/>
        <v>0</v>
      </c>
      <c r="DI21">
        <f t="shared" si="1"/>
        <v>0</v>
      </c>
      <c r="DJ21">
        <f t="shared" si="11"/>
        <v>3564.5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ROW(Source!A75)</f>
        <v>75</v>
      </c>
      <c r="B22">
        <v>84185495</v>
      </c>
      <c r="C22">
        <v>84185816</v>
      </c>
      <c r="D22">
        <v>37777370</v>
      </c>
      <c r="E22">
        <v>1</v>
      </c>
      <c r="F22">
        <v>1</v>
      </c>
      <c r="G22">
        <v>1</v>
      </c>
      <c r="H22">
        <v>3</v>
      </c>
      <c r="I22" t="s">
        <v>477</v>
      </c>
      <c r="J22" t="s">
        <v>478</v>
      </c>
      <c r="K22" t="s">
        <v>479</v>
      </c>
      <c r="L22">
        <v>1339</v>
      </c>
      <c r="N22">
        <v>1007</v>
      </c>
      <c r="O22" t="s">
        <v>480</v>
      </c>
      <c r="P22" t="s">
        <v>480</v>
      </c>
      <c r="Q22">
        <v>1</v>
      </c>
      <c r="W22">
        <v>0</v>
      </c>
      <c r="X22">
        <v>1123154371</v>
      </c>
      <c r="Y22">
        <f t="shared" si="2"/>
        <v>0.15</v>
      </c>
      <c r="AA22">
        <v>975.05</v>
      </c>
      <c r="AB22">
        <v>0</v>
      </c>
      <c r="AC22">
        <v>0</v>
      </c>
      <c r="AD22">
        <v>0</v>
      </c>
      <c r="AE22">
        <v>64.959999999999994</v>
      </c>
      <c r="AF22">
        <v>0</v>
      </c>
      <c r="AG22">
        <v>0</v>
      </c>
      <c r="AH22">
        <v>0</v>
      </c>
      <c r="AI22">
        <v>15.01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0.15</v>
      </c>
      <c r="AU22" t="s">
        <v>3</v>
      </c>
      <c r="AV22">
        <v>0</v>
      </c>
      <c r="AW22">
        <v>2</v>
      </c>
      <c r="AX22">
        <v>84185839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ROUND(Y22*Source!I75,9)</f>
        <v>4.2690000000000002E-3</v>
      </c>
      <c r="CY22">
        <f t="shared" si="5"/>
        <v>975.05</v>
      </c>
      <c r="CZ22">
        <f t="shared" si="6"/>
        <v>64.959999999999994</v>
      </c>
      <c r="DA22">
        <f t="shared" si="7"/>
        <v>15.01</v>
      </c>
      <c r="DB22">
        <f t="shared" si="3"/>
        <v>9.74</v>
      </c>
      <c r="DC22">
        <f t="shared" si="4"/>
        <v>0</v>
      </c>
      <c r="DD22" t="s">
        <v>3</v>
      </c>
      <c r="DE22" t="s">
        <v>3</v>
      </c>
      <c r="DF22">
        <f t="shared" si="8"/>
        <v>4.16</v>
      </c>
      <c r="DG22">
        <f t="shared" si="9"/>
        <v>0</v>
      </c>
      <c r="DH22">
        <f t="shared" si="10"/>
        <v>0</v>
      </c>
      <c r="DI22">
        <f t="shared" si="1"/>
        <v>0</v>
      </c>
      <c r="DJ22">
        <f t="shared" si="11"/>
        <v>4.16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ROW(Source!A75)</f>
        <v>75</v>
      </c>
      <c r="B23">
        <v>84185495</v>
      </c>
      <c r="C23">
        <v>84185816</v>
      </c>
      <c r="D23">
        <v>37801918</v>
      </c>
      <c r="E23">
        <v>1</v>
      </c>
      <c r="F23">
        <v>1</v>
      </c>
      <c r="G23">
        <v>1</v>
      </c>
      <c r="H23">
        <v>3</v>
      </c>
      <c r="I23" t="s">
        <v>442</v>
      </c>
      <c r="J23" t="s">
        <v>443</v>
      </c>
      <c r="K23" t="s">
        <v>444</v>
      </c>
      <c r="L23">
        <v>1374</v>
      </c>
      <c r="N23">
        <v>1013</v>
      </c>
      <c r="O23" t="s">
        <v>445</v>
      </c>
      <c r="P23" t="s">
        <v>445</v>
      </c>
      <c r="Q23">
        <v>1</v>
      </c>
      <c r="W23">
        <v>0</v>
      </c>
      <c r="X23">
        <v>2131831278</v>
      </c>
      <c r="Y23">
        <f t="shared" si="2"/>
        <v>11.18</v>
      </c>
      <c r="AA23">
        <v>1</v>
      </c>
      <c r="AB23">
        <v>0</v>
      </c>
      <c r="AC23">
        <v>0</v>
      </c>
      <c r="AD23">
        <v>0</v>
      </c>
      <c r="AE23">
        <v>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11.18</v>
      </c>
      <c r="AU23" t="s">
        <v>3</v>
      </c>
      <c r="AV23">
        <v>0</v>
      </c>
      <c r="AW23">
        <v>2</v>
      </c>
      <c r="AX23">
        <v>84185840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ROUND(Y23*Source!I75,9)</f>
        <v>0.31818279999999999</v>
      </c>
      <c r="CY23">
        <f t="shared" si="5"/>
        <v>1</v>
      </c>
      <c r="CZ23">
        <f t="shared" si="6"/>
        <v>1</v>
      </c>
      <c r="DA23">
        <f t="shared" si="7"/>
        <v>1</v>
      </c>
      <c r="DB23">
        <f t="shared" si="3"/>
        <v>11.18</v>
      </c>
      <c r="DC23">
        <f t="shared" si="4"/>
        <v>0</v>
      </c>
      <c r="DD23" t="s">
        <v>3</v>
      </c>
      <c r="DE23" t="s">
        <v>3</v>
      </c>
      <c r="DF23">
        <f>ROUND(ROUND(AE23,2)*CX23,2)</f>
        <v>0.32</v>
      </c>
      <c r="DG23">
        <f t="shared" si="9"/>
        <v>0</v>
      </c>
      <c r="DH23">
        <f t="shared" si="10"/>
        <v>0</v>
      </c>
      <c r="DI23">
        <f t="shared" si="1"/>
        <v>0</v>
      </c>
      <c r="DJ23">
        <f t="shared" si="11"/>
        <v>0.32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ROW(Source!A76)</f>
        <v>76</v>
      </c>
      <c r="B24">
        <v>84185495</v>
      </c>
      <c r="C24">
        <v>84185841</v>
      </c>
      <c r="D24">
        <v>23129536</v>
      </c>
      <c r="E24">
        <v>1</v>
      </c>
      <c r="F24">
        <v>1</v>
      </c>
      <c r="G24">
        <v>1</v>
      </c>
      <c r="H24">
        <v>1</v>
      </c>
      <c r="I24" t="s">
        <v>481</v>
      </c>
      <c r="J24" t="s">
        <v>3</v>
      </c>
      <c r="K24" t="s">
        <v>482</v>
      </c>
      <c r="L24">
        <v>1369</v>
      </c>
      <c r="N24">
        <v>1013</v>
      </c>
      <c r="O24" t="s">
        <v>430</v>
      </c>
      <c r="P24" t="s">
        <v>430</v>
      </c>
      <c r="Q24">
        <v>1</v>
      </c>
      <c r="W24">
        <v>0</v>
      </c>
      <c r="X24">
        <v>1663406391</v>
      </c>
      <c r="Y24">
        <f t="shared" si="2"/>
        <v>7.9</v>
      </c>
      <c r="AA24">
        <v>0</v>
      </c>
      <c r="AB24">
        <v>0</v>
      </c>
      <c r="AC24">
        <v>0</v>
      </c>
      <c r="AD24">
        <v>8.2799999999999994</v>
      </c>
      <c r="AE24">
        <v>0</v>
      </c>
      <c r="AF24">
        <v>0</v>
      </c>
      <c r="AG24">
        <v>0</v>
      </c>
      <c r="AH24">
        <v>8.2799999999999994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7.9</v>
      </c>
      <c r="AU24" t="s">
        <v>3</v>
      </c>
      <c r="AV24">
        <v>1</v>
      </c>
      <c r="AW24">
        <v>2</v>
      </c>
      <c r="AX24">
        <v>84185861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ROUND(AT24*Source!I76*AH24*AL24,2)</f>
        <v>65.41</v>
      </c>
      <c r="CV24">
        <f>ROUND(Y24*Source!I76,9)</f>
        <v>7.9</v>
      </c>
      <c r="CW24">
        <v>0</v>
      </c>
      <c r="CX24">
        <f>ROUND(Y24*Source!I76,9)</f>
        <v>7.9</v>
      </c>
      <c r="CY24">
        <f>AD24</f>
        <v>8.2799999999999994</v>
      </c>
      <c r="CZ24">
        <f>AH24</f>
        <v>8.2799999999999994</v>
      </c>
      <c r="DA24">
        <f>AL24</f>
        <v>1</v>
      </c>
      <c r="DB24">
        <f t="shared" si="3"/>
        <v>65.41</v>
      </c>
      <c r="DC24">
        <f t="shared" si="4"/>
        <v>0</v>
      </c>
      <c r="DD24" t="s">
        <v>3</v>
      </c>
      <c r="DE24" t="s">
        <v>3</v>
      </c>
      <c r="DF24">
        <f>ROUND(ROUND(AE24,2)*CX24,2)</f>
        <v>0</v>
      </c>
      <c r="DG24">
        <f t="shared" si="9"/>
        <v>0</v>
      </c>
      <c r="DH24">
        <f t="shared" si="10"/>
        <v>0</v>
      </c>
      <c r="DI24">
        <f t="shared" si="1"/>
        <v>65.41</v>
      </c>
      <c r="DJ24">
        <f>DI24</f>
        <v>65.41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ROW(Source!A76)</f>
        <v>76</v>
      </c>
      <c r="B25">
        <v>84185495</v>
      </c>
      <c r="C25">
        <v>84185841</v>
      </c>
      <c r="D25">
        <v>121548</v>
      </c>
      <c r="E25">
        <v>1</v>
      </c>
      <c r="F25">
        <v>1</v>
      </c>
      <c r="G25">
        <v>1</v>
      </c>
      <c r="H25">
        <v>1</v>
      </c>
      <c r="I25" t="s">
        <v>24</v>
      </c>
      <c r="J25" t="s">
        <v>3</v>
      </c>
      <c r="K25" t="s">
        <v>431</v>
      </c>
      <c r="L25">
        <v>608254</v>
      </c>
      <c r="N25">
        <v>1013</v>
      </c>
      <c r="O25" t="s">
        <v>432</v>
      </c>
      <c r="P25" t="s">
        <v>432</v>
      </c>
      <c r="Q25">
        <v>1</v>
      </c>
      <c r="W25">
        <v>0</v>
      </c>
      <c r="X25">
        <v>-185737400</v>
      </c>
      <c r="Y25">
        <f t="shared" si="2"/>
        <v>1.86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1.86</v>
      </c>
      <c r="AU25" t="s">
        <v>3</v>
      </c>
      <c r="AV25">
        <v>2</v>
      </c>
      <c r="AW25">
        <v>2</v>
      </c>
      <c r="AX25">
        <v>84185862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ROUND(Y25*Source!I76,9)</f>
        <v>1.86</v>
      </c>
      <c r="CY25">
        <f>AD25</f>
        <v>0</v>
      </c>
      <c r="CZ25">
        <f>AH25</f>
        <v>0</v>
      </c>
      <c r="DA25">
        <f>AL25</f>
        <v>1</v>
      </c>
      <c r="DB25">
        <f t="shared" si="3"/>
        <v>0</v>
      </c>
      <c r="DC25">
        <f t="shared" si="4"/>
        <v>0</v>
      </c>
      <c r="DD25" t="s">
        <v>3</v>
      </c>
      <c r="DE25" t="s">
        <v>3</v>
      </c>
      <c r="DF25">
        <f>ROUND(ROUND(AE25,2)*CX25,2)</f>
        <v>0</v>
      </c>
      <c r="DG25">
        <f t="shared" si="9"/>
        <v>0</v>
      </c>
      <c r="DH25">
        <f t="shared" si="10"/>
        <v>0</v>
      </c>
      <c r="DI25">
        <f t="shared" si="1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ROW(Source!A76)</f>
        <v>76</v>
      </c>
      <c r="B26">
        <v>84185495</v>
      </c>
      <c r="C26">
        <v>84185841</v>
      </c>
      <c r="D26">
        <v>37803498</v>
      </c>
      <c r="E26">
        <v>1</v>
      </c>
      <c r="F26">
        <v>1</v>
      </c>
      <c r="G26">
        <v>1</v>
      </c>
      <c r="H26">
        <v>2</v>
      </c>
      <c r="I26" t="s">
        <v>483</v>
      </c>
      <c r="J26" t="s">
        <v>484</v>
      </c>
      <c r="K26" t="s">
        <v>485</v>
      </c>
      <c r="L26">
        <v>1368</v>
      </c>
      <c r="N26">
        <v>1011</v>
      </c>
      <c r="O26" t="s">
        <v>436</v>
      </c>
      <c r="P26" t="s">
        <v>436</v>
      </c>
      <c r="Q26">
        <v>1</v>
      </c>
      <c r="W26">
        <v>0</v>
      </c>
      <c r="X26">
        <v>365905357</v>
      </c>
      <c r="Y26">
        <f t="shared" si="2"/>
        <v>1.86</v>
      </c>
      <c r="AA26">
        <v>0</v>
      </c>
      <c r="AB26">
        <v>2147.73</v>
      </c>
      <c r="AC26">
        <v>365.04</v>
      </c>
      <c r="AD26">
        <v>0</v>
      </c>
      <c r="AE26">
        <v>0</v>
      </c>
      <c r="AF26">
        <v>123.86</v>
      </c>
      <c r="AG26">
        <v>10.35</v>
      </c>
      <c r="AH26">
        <v>0</v>
      </c>
      <c r="AI26">
        <v>1</v>
      </c>
      <c r="AJ26">
        <v>17.34</v>
      </c>
      <c r="AK26">
        <v>35.270000000000003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1.86</v>
      </c>
      <c r="AU26" t="s">
        <v>3</v>
      </c>
      <c r="AV26">
        <v>0</v>
      </c>
      <c r="AW26">
        <v>2</v>
      </c>
      <c r="AX26">
        <v>84185863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ROUND(Y26*Source!I76*DO26,9)</f>
        <v>0</v>
      </c>
      <c r="CX26">
        <f>ROUND(Y26*Source!I76,9)</f>
        <v>1.86</v>
      </c>
      <c r="CY26">
        <f>AB26</f>
        <v>2147.73</v>
      </c>
      <c r="CZ26">
        <f>AF26</f>
        <v>123.86</v>
      </c>
      <c r="DA26">
        <f>AJ26</f>
        <v>17.34</v>
      </c>
      <c r="DB26">
        <f t="shared" si="3"/>
        <v>230.38</v>
      </c>
      <c r="DC26">
        <f t="shared" si="4"/>
        <v>19.25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3994.78</v>
      </c>
      <c r="DH26">
        <f>ROUND(ROUND(AG26*AK26,2)*CX26,2)</f>
        <v>678.97</v>
      </c>
      <c r="DI26">
        <f t="shared" si="1"/>
        <v>0</v>
      </c>
      <c r="DJ26">
        <f>DG26</f>
        <v>3994.78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ROW(Source!A76)</f>
        <v>76</v>
      </c>
      <c r="B27">
        <v>84185495</v>
      </c>
      <c r="C27">
        <v>84185841</v>
      </c>
      <c r="D27">
        <v>37804456</v>
      </c>
      <c r="E27">
        <v>1</v>
      </c>
      <c r="F27">
        <v>1</v>
      </c>
      <c r="G27">
        <v>1</v>
      </c>
      <c r="H27">
        <v>2</v>
      </c>
      <c r="I27" t="s">
        <v>437</v>
      </c>
      <c r="J27" t="s">
        <v>438</v>
      </c>
      <c r="K27" t="s">
        <v>439</v>
      </c>
      <c r="L27">
        <v>1368</v>
      </c>
      <c r="N27">
        <v>1011</v>
      </c>
      <c r="O27" t="s">
        <v>436</v>
      </c>
      <c r="P27" t="s">
        <v>436</v>
      </c>
      <c r="Q27">
        <v>1</v>
      </c>
      <c r="W27">
        <v>0</v>
      </c>
      <c r="X27">
        <v>-671646184</v>
      </c>
      <c r="Y27">
        <f t="shared" si="2"/>
        <v>0.4</v>
      </c>
      <c r="AA27">
        <v>0</v>
      </c>
      <c r="AB27">
        <v>1305.74</v>
      </c>
      <c r="AC27">
        <v>365.04</v>
      </c>
      <c r="AD27">
        <v>0</v>
      </c>
      <c r="AE27">
        <v>0</v>
      </c>
      <c r="AF27">
        <v>91.76</v>
      </c>
      <c r="AG27">
        <v>10.35</v>
      </c>
      <c r="AH27">
        <v>0</v>
      </c>
      <c r="AI27">
        <v>1</v>
      </c>
      <c r="AJ27">
        <v>14.23</v>
      </c>
      <c r="AK27">
        <v>35.270000000000003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0.4</v>
      </c>
      <c r="AU27" t="s">
        <v>3</v>
      </c>
      <c r="AV27">
        <v>0</v>
      </c>
      <c r="AW27">
        <v>2</v>
      </c>
      <c r="AX27">
        <v>84185864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ROUND(Y27*Source!I76*DO27,9)</f>
        <v>0</v>
      </c>
      <c r="CX27">
        <f>ROUND(Y27*Source!I76,9)</f>
        <v>0.4</v>
      </c>
      <c r="CY27">
        <f>AB27</f>
        <v>1305.74</v>
      </c>
      <c r="CZ27">
        <f>AF27</f>
        <v>91.76</v>
      </c>
      <c r="DA27">
        <f>AJ27</f>
        <v>14.23</v>
      </c>
      <c r="DB27">
        <f t="shared" si="3"/>
        <v>36.700000000000003</v>
      </c>
      <c r="DC27">
        <f t="shared" si="4"/>
        <v>4.1399999999999997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522.29999999999995</v>
      </c>
      <c r="DH27">
        <f>ROUND(ROUND(AG27*AK27,2)*CX27,2)</f>
        <v>146.02000000000001</v>
      </c>
      <c r="DI27">
        <f t="shared" si="1"/>
        <v>0</v>
      </c>
      <c r="DJ27">
        <f>DG27</f>
        <v>522.29999999999995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ROW(Source!A76)</f>
        <v>76</v>
      </c>
      <c r="B28">
        <v>84185495</v>
      </c>
      <c r="C28">
        <v>84185841</v>
      </c>
      <c r="D28">
        <v>37732468</v>
      </c>
      <c r="E28">
        <v>1</v>
      </c>
      <c r="F28">
        <v>1</v>
      </c>
      <c r="G28">
        <v>1</v>
      </c>
      <c r="H28">
        <v>3</v>
      </c>
      <c r="I28" t="s">
        <v>486</v>
      </c>
      <c r="J28" t="s">
        <v>487</v>
      </c>
      <c r="K28" t="s">
        <v>488</v>
      </c>
      <c r="L28">
        <v>1348</v>
      </c>
      <c r="N28">
        <v>1009</v>
      </c>
      <c r="O28" t="s">
        <v>126</v>
      </c>
      <c r="P28" t="s">
        <v>126</v>
      </c>
      <c r="Q28">
        <v>1000</v>
      </c>
      <c r="W28">
        <v>0</v>
      </c>
      <c r="X28">
        <v>-1700027683</v>
      </c>
      <c r="Y28">
        <f t="shared" si="2"/>
        <v>4.0000000000000002E-4</v>
      </c>
      <c r="AA28">
        <v>83122.95</v>
      </c>
      <c r="AB28">
        <v>0</v>
      </c>
      <c r="AC28">
        <v>0</v>
      </c>
      <c r="AD28">
        <v>0</v>
      </c>
      <c r="AE28">
        <v>15954.5</v>
      </c>
      <c r="AF28">
        <v>0</v>
      </c>
      <c r="AG28">
        <v>0</v>
      </c>
      <c r="AH28">
        <v>0</v>
      </c>
      <c r="AI28">
        <v>5.21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4.0000000000000002E-4</v>
      </c>
      <c r="AU28" t="s">
        <v>3</v>
      </c>
      <c r="AV28">
        <v>0</v>
      </c>
      <c r="AW28">
        <v>2</v>
      </c>
      <c r="AX28">
        <v>84185865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ROUND(Y28*Source!I76,9)</f>
        <v>4.0000000000000002E-4</v>
      </c>
      <c r="CY28">
        <f t="shared" ref="CY28:CY42" si="12">AA28</f>
        <v>83122.95</v>
      </c>
      <c r="CZ28">
        <f t="shared" ref="CZ28:CZ42" si="13">AE28</f>
        <v>15954.5</v>
      </c>
      <c r="DA28">
        <f t="shared" ref="DA28:DA42" si="14">AI28</f>
        <v>5.21</v>
      </c>
      <c r="DB28">
        <f t="shared" si="3"/>
        <v>6.38</v>
      </c>
      <c r="DC28">
        <f t="shared" si="4"/>
        <v>0</v>
      </c>
      <c r="DD28" t="s">
        <v>3</v>
      </c>
      <c r="DE28" t="s">
        <v>3</v>
      </c>
      <c r="DF28">
        <f>ROUND(ROUND(AE28*AI28,2)*CX28,2)</f>
        <v>33.25</v>
      </c>
      <c r="DG28">
        <f t="shared" ref="DG28:DG44" si="15">ROUND(ROUND(AF28,2)*CX28,2)</f>
        <v>0</v>
      </c>
      <c r="DH28">
        <f t="shared" ref="DH28:DH44" si="16">ROUND(ROUND(AG28,2)*CX28,2)</f>
        <v>0</v>
      </c>
      <c r="DI28">
        <f t="shared" si="1"/>
        <v>0</v>
      </c>
      <c r="DJ28">
        <f t="shared" ref="DJ28:DJ42" si="17">DF28</f>
        <v>33.25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ROW(Source!A76)</f>
        <v>76</v>
      </c>
      <c r="B29">
        <v>84185495</v>
      </c>
      <c r="C29">
        <v>84185841</v>
      </c>
      <c r="D29">
        <v>37729879</v>
      </c>
      <c r="E29">
        <v>1</v>
      </c>
      <c r="F29">
        <v>1</v>
      </c>
      <c r="G29">
        <v>1</v>
      </c>
      <c r="H29">
        <v>3</v>
      </c>
      <c r="I29" t="s">
        <v>489</v>
      </c>
      <c r="J29" t="s">
        <v>490</v>
      </c>
      <c r="K29" t="s">
        <v>491</v>
      </c>
      <c r="L29">
        <v>1348</v>
      </c>
      <c r="N29">
        <v>1009</v>
      </c>
      <c r="O29" t="s">
        <v>126</v>
      </c>
      <c r="P29" t="s">
        <v>126</v>
      </c>
      <c r="Q29">
        <v>1000</v>
      </c>
      <c r="W29">
        <v>0</v>
      </c>
      <c r="X29">
        <v>-1121770783</v>
      </c>
      <c r="Y29">
        <f t="shared" si="2"/>
        <v>3.0000000000000001E-5</v>
      </c>
      <c r="AA29">
        <v>163867.51999999999</v>
      </c>
      <c r="AB29">
        <v>0</v>
      </c>
      <c r="AC29">
        <v>0</v>
      </c>
      <c r="AD29">
        <v>0</v>
      </c>
      <c r="AE29">
        <v>9662</v>
      </c>
      <c r="AF29">
        <v>0</v>
      </c>
      <c r="AG29">
        <v>0</v>
      </c>
      <c r="AH29">
        <v>0</v>
      </c>
      <c r="AI29">
        <v>16.96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3.0000000000000001E-5</v>
      </c>
      <c r="AU29" t="s">
        <v>3</v>
      </c>
      <c r="AV29">
        <v>0</v>
      </c>
      <c r="AW29">
        <v>2</v>
      </c>
      <c r="AX29">
        <v>84185866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ROUND(Y29*Source!I76,9)</f>
        <v>3.0000000000000001E-5</v>
      </c>
      <c r="CY29">
        <f t="shared" si="12"/>
        <v>163867.51999999999</v>
      </c>
      <c r="CZ29">
        <f t="shared" si="13"/>
        <v>9662</v>
      </c>
      <c r="DA29">
        <f t="shared" si="14"/>
        <v>16.96</v>
      </c>
      <c r="DB29">
        <f t="shared" si="3"/>
        <v>0.28999999999999998</v>
      </c>
      <c r="DC29">
        <f t="shared" si="4"/>
        <v>0</v>
      </c>
      <c r="DD29" t="s">
        <v>3</v>
      </c>
      <c r="DE29" t="s">
        <v>3</v>
      </c>
      <c r="DF29">
        <f>ROUND(ROUND(AE29*AI29,2)*CX29,2)</f>
        <v>4.92</v>
      </c>
      <c r="DG29">
        <f t="shared" si="15"/>
        <v>0</v>
      </c>
      <c r="DH29">
        <f t="shared" si="16"/>
        <v>0</v>
      </c>
      <c r="DI29">
        <f t="shared" si="1"/>
        <v>0</v>
      </c>
      <c r="DJ29">
        <f t="shared" si="17"/>
        <v>4.92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ROW(Source!A76)</f>
        <v>76</v>
      </c>
      <c r="B30">
        <v>84185495</v>
      </c>
      <c r="C30">
        <v>84185841</v>
      </c>
      <c r="D30">
        <v>37736859</v>
      </c>
      <c r="E30">
        <v>1</v>
      </c>
      <c r="F30">
        <v>1</v>
      </c>
      <c r="G30">
        <v>1</v>
      </c>
      <c r="H30">
        <v>3</v>
      </c>
      <c r="I30" t="s">
        <v>124</v>
      </c>
      <c r="J30" t="s">
        <v>127</v>
      </c>
      <c r="K30" t="s">
        <v>125</v>
      </c>
      <c r="L30">
        <v>1348</v>
      </c>
      <c r="N30">
        <v>1009</v>
      </c>
      <c r="O30" t="s">
        <v>126</v>
      </c>
      <c r="P30" t="s">
        <v>126</v>
      </c>
      <c r="Q30">
        <v>1000</v>
      </c>
      <c r="W30">
        <v>0</v>
      </c>
      <c r="X30">
        <v>-384985709</v>
      </c>
      <c r="Y30">
        <f t="shared" si="2"/>
        <v>0</v>
      </c>
      <c r="AA30">
        <v>208824.23</v>
      </c>
      <c r="AB30">
        <v>0</v>
      </c>
      <c r="AC30">
        <v>0</v>
      </c>
      <c r="AD30">
        <v>0</v>
      </c>
      <c r="AE30">
        <v>9040.01</v>
      </c>
      <c r="AF30">
        <v>0</v>
      </c>
      <c r="AG30">
        <v>0</v>
      </c>
      <c r="AH30">
        <v>0</v>
      </c>
      <c r="AI30">
        <v>23.1</v>
      </c>
      <c r="AJ30">
        <v>1</v>
      </c>
      <c r="AK30">
        <v>1</v>
      </c>
      <c r="AL30">
        <v>1</v>
      </c>
      <c r="AM30">
        <v>0</v>
      </c>
      <c r="AN30">
        <v>1</v>
      </c>
      <c r="AO30">
        <v>0</v>
      </c>
      <c r="AP30">
        <v>1</v>
      </c>
      <c r="AQ30">
        <v>0</v>
      </c>
      <c r="AR30">
        <v>0</v>
      </c>
      <c r="AS30" t="s">
        <v>3</v>
      </c>
      <c r="AT30">
        <v>0</v>
      </c>
      <c r="AU30" t="s">
        <v>3</v>
      </c>
      <c r="AV30">
        <v>0</v>
      </c>
      <c r="AW30">
        <v>2</v>
      </c>
      <c r="AX30">
        <v>84185867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ROUND(Y30*Source!I76,9)</f>
        <v>0</v>
      </c>
      <c r="CY30">
        <f t="shared" si="12"/>
        <v>208824.23</v>
      </c>
      <c r="CZ30">
        <f t="shared" si="13"/>
        <v>9040.01</v>
      </c>
      <c r="DA30">
        <f t="shared" si="14"/>
        <v>23.1</v>
      </c>
      <c r="DB30">
        <f t="shared" si="3"/>
        <v>0</v>
      </c>
      <c r="DC30">
        <f t="shared" si="4"/>
        <v>0</v>
      </c>
      <c r="DD30" t="s">
        <v>3</v>
      </c>
      <c r="DE30" t="s">
        <v>3</v>
      </c>
      <c r="DF30">
        <f>ROUND(ROUND(AE30*AI30,2)*CX30,2)</f>
        <v>0</v>
      </c>
      <c r="DG30">
        <f t="shared" si="15"/>
        <v>0</v>
      </c>
      <c r="DH30">
        <f t="shared" si="16"/>
        <v>0</v>
      </c>
      <c r="DI30">
        <f t="shared" si="1"/>
        <v>0</v>
      </c>
      <c r="DJ30">
        <f t="shared" si="17"/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ROW(Source!A76)</f>
        <v>76</v>
      </c>
      <c r="B31">
        <v>84185495</v>
      </c>
      <c r="C31">
        <v>84185841</v>
      </c>
      <c r="D31">
        <v>37729991</v>
      </c>
      <c r="E31">
        <v>1</v>
      </c>
      <c r="F31">
        <v>1</v>
      </c>
      <c r="G31">
        <v>1</v>
      </c>
      <c r="H31">
        <v>3</v>
      </c>
      <c r="I31" t="s">
        <v>492</v>
      </c>
      <c r="J31" t="s">
        <v>493</v>
      </c>
      <c r="K31" t="s">
        <v>494</v>
      </c>
      <c r="L31">
        <v>1346</v>
      </c>
      <c r="N31">
        <v>1009</v>
      </c>
      <c r="O31" t="s">
        <v>148</v>
      </c>
      <c r="P31" t="s">
        <v>148</v>
      </c>
      <c r="Q31">
        <v>1</v>
      </c>
      <c r="W31">
        <v>0</v>
      </c>
      <c r="X31">
        <v>844235703</v>
      </c>
      <c r="Y31">
        <f t="shared" si="2"/>
        <v>0.02</v>
      </c>
      <c r="AA31">
        <v>27.37</v>
      </c>
      <c r="AB31">
        <v>0</v>
      </c>
      <c r="AC31">
        <v>0</v>
      </c>
      <c r="AD31">
        <v>0</v>
      </c>
      <c r="AE31">
        <v>1.82</v>
      </c>
      <c r="AF31">
        <v>0</v>
      </c>
      <c r="AG31">
        <v>0</v>
      </c>
      <c r="AH31">
        <v>0</v>
      </c>
      <c r="AI31">
        <v>15.04</v>
      </c>
      <c r="AJ31">
        <v>1</v>
      </c>
      <c r="AK31">
        <v>1</v>
      </c>
      <c r="AL31">
        <v>1</v>
      </c>
      <c r="AM31">
        <v>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0.02</v>
      </c>
      <c r="AU31" t="s">
        <v>3</v>
      </c>
      <c r="AV31">
        <v>0</v>
      </c>
      <c r="AW31">
        <v>2</v>
      </c>
      <c r="AX31">
        <v>84185868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ROUND(Y31*Source!I76,9)</f>
        <v>0.02</v>
      </c>
      <c r="CY31">
        <f t="shared" si="12"/>
        <v>27.37</v>
      </c>
      <c r="CZ31">
        <f t="shared" si="13"/>
        <v>1.82</v>
      </c>
      <c r="DA31">
        <f t="shared" si="14"/>
        <v>15.04</v>
      </c>
      <c r="DB31">
        <f t="shared" si="3"/>
        <v>0.04</v>
      </c>
      <c r="DC31">
        <f t="shared" si="4"/>
        <v>0</v>
      </c>
      <c r="DD31" t="s">
        <v>3</v>
      </c>
      <c r="DE31" t="s">
        <v>3</v>
      </c>
      <c r="DF31">
        <f>ROUND(ROUND(AE31*AI31,2)*CX31,2)</f>
        <v>0.55000000000000004</v>
      </c>
      <c r="DG31">
        <f t="shared" si="15"/>
        <v>0</v>
      </c>
      <c r="DH31">
        <f t="shared" si="16"/>
        <v>0</v>
      </c>
      <c r="DI31">
        <f t="shared" si="1"/>
        <v>0</v>
      </c>
      <c r="DJ31">
        <f t="shared" si="17"/>
        <v>0.55000000000000004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ROW(Source!A76)</f>
        <v>76</v>
      </c>
      <c r="B32">
        <v>84185495</v>
      </c>
      <c r="C32">
        <v>84185841</v>
      </c>
      <c r="D32">
        <v>37729892</v>
      </c>
      <c r="E32">
        <v>1</v>
      </c>
      <c r="F32">
        <v>1</v>
      </c>
      <c r="G32">
        <v>1</v>
      </c>
      <c r="H32">
        <v>3</v>
      </c>
      <c r="I32" t="s">
        <v>495</v>
      </c>
      <c r="J32" t="s">
        <v>496</v>
      </c>
      <c r="K32" t="s">
        <v>497</v>
      </c>
      <c r="L32">
        <v>1346</v>
      </c>
      <c r="N32">
        <v>1009</v>
      </c>
      <c r="O32" t="s">
        <v>148</v>
      </c>
      <c r="P32" t="s">
        <v>148</v>
      </c>
      <c r="Q32">
        <v>1</v>
      </c>
      <c r="W32">
        <v>0</v>
      </c>
      <c r="X32">
        <v>-1589564529</v>
      </c>
      <c r="Y32">
        <f t="shared" si="2"/>
        <v>0.1</v>
      </c>
      <c r="AA32">
        <v>238.6</v>
      </c>
      <c r="AB32">
        <v>0</v>
      </c>
      <c r="AC32">
        <v>0</v>
      </c>
      <c r="AD32">
        <v>0</v>
      </c>
      <c r="AE32">
        <v>14.62</v>
      </c>
      <c r="AF32">
        <v>0</v>
      </c>
      <c r="AG32">
        <v>0</v>
      </c>
      <c r="AH32">
        <v>0</v>
      </c>
      <c r="AI32">
        <v>16.32</v>
      </c>
      <c r="AJ32">
        <v>1</v>
      </c>
      <c r="AK32">
        <v>1</v>
      </c>
      <c r="AL32">
        <v>1</v>
      </c>
      <c r="AM32">
        <v>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0.1</v>
      </c>
      <c r="AU32" t="s">
        <v>3</v>
      </c>
      <c r="AV32">
        <v>0</v>
      </c>
      <c r="AW32">
        <v>2</v>
      </c>
      <c r="AX32">
        <v>84185869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ROUND(Y32*Source!I76,9)</f>
        <v>0.1</v>
      </c>
      <c r="CY32">
        <f t="shared" si="12"/>
        <v>238.6</v>
      </c>
      <c r="CZ32">
        <f t="shared" si="13"/>
        <v>14.62</v>
      </c>
      <c r="DA32">
        <f t="shared" si="14"/>
        <v>16.32</v>
      </c>
      <c r="DB32">
        <f t="shared" si="3"/>
        <v>1.46</v>
      </c>
      <c r="DC32">
        <f t="shared" si="4"/>
        <v>0</v>
      </c>
      <c r="DD32" t="s">
        <v>3</v>
      </c>
      <c r="DE32" t="s">
        <v>3</v>
      </c>
      <c r="DF32">
        <f>ROUND(ROUND(AE32*AI32,2)*CX32,2)</f>
        <v>23.86</v>
      </c>
      <c r="DG32">
        <f t="shared" si="15"/>
        <v>0</v>
      </c>
      <c r="DH32">
        <f t="shared" si="16"/>
        <v>0</v>
      </c>
      <c r="DI32">
        <f t="shared" si="1"/>
        <v>0</v>
      </c>
      <c r="DJ32">
        <f t="shared" si="17"/>
        <v>23.86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ROW(Source!A76)</f>
        <v>76</v>
      </c>
      <c r="B33">
        <v>84185495</v>
      </c>
      <c r="C33">
        <v>84185841</v>
      </c>
      <c r="D33">
        <v>37735757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1348</v>
      </c>
      <c r="N33">
        <v>1009</v>
      </c>
      <c r="O33" t="s">
        <v>126</v>
      </c>
      <c r="P33" t="s">
        <v>126</v>
      </c>
      <c r="Q33">
        <v>1000</v>
      </c>
      <c r="W33">
        <v>0</v>
      </c>
      <c r="X33">
        <v>361960925</v>
      </c>
      <c r="Y33">
        <f t="shared" si="2"/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0</v>
      </c>
      <c r="AN33">
        <v>1</v>
      </c>
      <c r="AO33">
        <v>0</v>
      </c>
      <c r="AP33">
        <v>1</v>
      </c>
      <c r="AQ33">
        <v>0</v>
      </c>
      <c r="AR33">
        <v>0</v>
      </c>
      <c r="AS33" t="s">
        <v>3</v>
      </c>
      <c r="AT33">
        <v>0</v>
      </c>
      <c r="AU33" t="s">
        <v>3</v>
      </c>
      <c r="AV33">
        <v>0</v>
      </c>
      <c r="AW33">
        <v>2</v>
      </c>
      <c r="AX33">
        <v>84185870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ROUND(Y33*Source!I76,9)</f>
        <v>0</v>
      </c>
      <c r="CY33">
        <f t="shared" si="12"/>
        <v>0</v>
      </c>
      <c r="CZ33">
        <f t="shared" si="13"/>
        <v>0</v>
      </c>
      <c r="DA33">
        <f t="shared" si="14"/>
        <v>1</v>
      </c>
      <c r="DB33">
        <f t="shared" si="3"/>
        <v>0</v>
      </c>
      <c r="DC33">
        <f t="shared" si="4"/>
        <v>0</v>
      </c>
      <c r="DD33" t="s">
        <v>3</v>
      </c>
      <c r="DE33" t="s">
        <v>3</v>
      </c>
      <c r="DF33">
        <f>ROUND(ROUND(AE33,2)*CX33,2)</f>
        <v>0</v>
      </c>
      <c r="DG33">
        <f t="shared" si="15"/>
        <v>0</v>
      </c>
      <c r="DH33">
        <f t="shared" si="16"/>
        <v>0</v>
      </c>
      <c r="DI33">
        <f t="shared" ref="DI33:DI64" si="18">ROUND(ROUND(AH33,2)*CX33,2)</f>
        <v>0</v>
      </c>
      <c r="DJ33">
        <f t="shared" si="17"/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ROW(Source!A76)</f>
        <v>76</v>
      </c>
      <c r="B34">
        <v>84185495</v>
      </c>
      <c r="C34">
        <v>84185841</v>
      </c>
      <c r="D34">
        <v>37744299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136</v>
      </c>
      <c r="K34" t="s">
        <v>134</v>
      </c>
      <c r="L34">
        <v>1354</v>
      </c>
      <c r="N34">
        <v>1010</v>
      </c>
      <c r="O34" t="s">
        <v>135</v>
      </c>
      <c r="P34" t="s">
        <v>135</v>
      </c>
      <c r="Q34">
        <v>1</v>
      </c>
      <c r="W34">
        <v>0</v>
      </c>
      <c r="X34">
        <v>789151112</v>
      </c>
      <c r="Y34">
        <f t="shared" si="2"/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0</v>
      </c>
      <c r="AN34">
        <v>1</v>
      </c>
      <c r="AO34">
        <v>0</v>
      </c>
      <c r="AP34">
        <v>1</v>
      </c>
      <c r="AQ34">
        <v>0</v>
      </c>
      <c r="AR34">
        <v>0</v>
      </c>
      <c r="AS34" t="s">
        <v>3</v>
      </c>
      <c r="AT34">
        <v>0</v>
      </c>
      <c r="AU34" t="s">
        <v>3</v>
      </c>
      <c r="AV34">
        <v>0</v>
      </c>
      <c r="AW34">
        <v>2</v>
      </c>
      <c r="AX34">
        <v>84185871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ROUND(Y34*Source!I76,9)</f>
        <v>0</v>
      </c>
      <c r="CY34">
        <f t="shared" si="12"/>
        <v>0</v>
      </c>
      <c r="CZ34">
        <f t="shared" si="13"/>
        <v>0</v>
      </c>
      <c r="DA34">
        <f t="shared" si="14"/>
        <v>1</v>
      </c>
      <c r="DB34">
        <f t="shared" si="3"/>
        <v>0</v>
      </c>
      <c r="DC34">
        <f t="shared" si="4"/>
        <v>0</v>
      </c>
      <c r="DD34" t="s">
        <v>3</v>
      </c>
      <c r="DE34" t="s">
        <v>3</v>
      </c>
      <c r="DF34">
        <f>ROUND(ROUND(AE34,2)*CX34,2)</f>
        <v>0</v>
      </c>
      <c r="DG34">
        <f t="shared" si="15"/>
        <v>0</v>
      </c>
      <c r="DH34">
        <f t="shared" si="16"/>
        <v>0</v>
      </c>
      <c r="DI34">
        <f t="shared" si="18"/>
        <v>0</v>
      </c>
      <c r="DJ34">
        <f t="shared" si="17"/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ROW(Source!A76)</f>
        <v>76</v>
      </c>
      <c r="B35">
        <v>84185495</v>
      </c>
      <c r="C35">
        <v>84185841</v>
      </c>
      <c r="D35">
        <v>37744290</v>
      </c>
      <c r="E35">
        <v>1</v>
      </c>
      <c r="F35">
        <v>1</v>
      </c>
      <c r="G35">
        <v>1</v>
      </c>
      <c r="H35">
        <v>3</v>
      </c>
      <c r="I35" t="s">
        <v>138</v>
      </c>
      <c r="J35" t="s">
        <v>140</v>
      </c>
      <c r="K35" t="s">
        <v>139</v>
      </c>
      <c r="L35">
        <v>1354</v>
      </c>
      <c r="N35">
        <v>1010</v>
      </c>
      <c r="O35" t="s">
        <v>135</v>
      </c>
      <c r="P35" t="s">
        <v>135</v>
      </c>
      <c r="Q35">
        <v>1</v>
      </c>
      <c r="W35">
        <v>0</v>
      </c>
      <c r="X35">
        <v>-950202787</v>
      </c>
      <c r="Y35">
        <f t="shared" si="2"/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0</v>
      </c>
      <c r="AN35">
        <v>1</v>
      </c>
      <c r="AO35">
        <v>0</v>
      </c>
      <c r="AP35">
        <v>1</v>
      </c>
      <c r="AQ35">
        <v>0</v>
      </c>
      <c r="AR35">
        <v>0</v>
      </c>
      <c r="AS35" t="s">
        <v>3</v>
      </c>
      <c r="AT35">
        <v>0</v>
      </c>
      <c r="AU35" t="s">
        <v>3</v>
      </c>
      <c r="AV35">
        <v>0</v>
      </c>
      <c r="AW35">
        <v>2</v>
      </c>
      <c r="AX35">
        <v>84185872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ROUND(Y35*Source!I76,9)</f>
        <v>0</v>
      </c>
      <c r="CY35">
        <f t="shared" si="12"/>
        <v>0</v>
      </c>
      <c r="CZ35">
        <f t="shared" si="13"/>
        <v>0</v>
      </c>
      <c r="DA35">
        <f t="shared" si="14"/>
        <v>1</v>
      </c>
      <c r="DB35">
        <f t="shared" si="3"/>
        <v>0</v>
      </c>
      <c r="DC35">
        <f t="shared" si="4"/>
        <v>0</v>
      </c>
      <c r="DD35" t="s">
        <v>3</v>
      </c>
      <c r="DE35" t="s">
        <v>3</v>
      </c>
      <c r="DF35">
        <f>ROUND(ROUND(AE35,2)*CX35,2)</f>
        <v>0</v>
      </c>
      <c r="DG35">
        <f t="shared" si="15"/>
        <v>0</v>
      </c>
      <c r="DH35">
        <f t="shared" si="16"/>
        <v>0</v>
      </c>
      <c r="DI35">
        <f t="shared" si="18"/>
        <v>0</v>
      </c>
      <c r="DJ35">
        <f t="shared" si="17"/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ROW(Source!A76)</f>
        <v>76</v>
      </c>
      <c r="B36">
        <v>84185495</v>
      </c>
      <c r="C36">
        <v>84185841</v>
      </c>
      <c r="D36">
        <v>37744198</v>
      </c>
      <c r="E36">
        <v>1</v>
      </c>
      <c r="F36">
        <v>1</v>
      </c>
      <c r="G36">
        <v>1</v>
      </c>
      <c r="H36">
        <v>3</v>
      </c>
      <c r="I36" t="s">
        <v>142</v>
      </c>
      <c r="J36" t="s">
        <v>144</v>
      </c>
      <c r="K36" t="s">
        <v>143</v>
      </c>
      <c r="L36">
        <v>1354</v>
      </c>
      <c r="N36">
        <v>1010</v>
      </c>
      <c r="O36" t="s">
        <v>135</v>
      </c>
      <c r="P36" t="s">
        <v>135</v>
      </c>
      <c r="Q36">
        <v>1</v>
      </c>
      <c r="W36">
        <v>0</v>
      </c>
      <c r="X36">
        <v>1139075706</v>
      </c>
      <c r="Y36">
        <f t="shared" si="2"/>
        <v>0.1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0</v>
      </c>
      <c r="AR36">
        <v>0</v>
      </c>
      <c r="AS36" t="s">
        <v>3</v>
      </c>
      <c r="AT36">
        <v>0.1</v>
      </c>
      <c r="AU36" t="s">
        <v>3</v>
      </c>
      <c r="AV36">
        <v>0</v>
      </c>
      <c r="AW36">
        <v>2</v>
      </c>
      <c r="AX36">
        <v>84185873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ROUND(Y36*Source!I76,9)</f>
        <v>0.1</v>
      </c>
      <c r="CY36">
        <f t="shared" si="12"/>
        <v>0</v>
      </c>
      <c r="CZ36">
        <f t="shared" si="13"/>
        <v>0</v>
      </c>
      <c r="DA36">
        <f t="shared" si="14"/>
        <v>1</v>
      </c>
      <c r="DB36">
        <f t="shared" si="3"/>
        <v>0</v>
      </c>
      <c r="DC36">
        <f t="shared" si="4"/>
        <v>0</v>
      </c>
      <c r="DD36" t="s">
        <v>3</v>
      </c>
      <c r="DE36" t="s">
        <v>3</v>
      </c>
      <c r="DF36">
        <f>ROUND(ROUND(AE36,2)*CX36,2)</f>
        <v>0</v>
      </c>
      <c r="DG36">
        <f t="shared" si="15"/>
        <v>0</v>
      </c>
      <c r="DH36">
        <f t="shared" si="16"/>
        <v>0</v>
      </c>
      <c r="DI36">
        <f t="shared" si="18"/>
        <v>0</v>
      </c>
      <c r="DJ36">
        <f t="shared" si="17"/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ROW(Source!A76)</f>
        <v>76</v>
      </c>
      <c r="B37">
        <v>84185495</v>
      </c>
      <c r="C37">
        <v>84185841</v>
      </c>
      <c r="D37">
        <v>37745010</v>
      </c>
      <c r="E37">
        <v>1</v>
      </c>
      <c r="F37">
        <v>1</v>
      </c>
      <c r="G37">
        <v>1</v>
      </c>
      <c r="H37">
        <v>3</v>
      </c>
      <c r="I37" t="s">
        <v>498</v>
      </c>
      <c r="J37" t="s">
        <v>499</v>
      </c>
      <c r="K37" t="s">
        <v>500</v>
      </c>
      <c r="L37">
        <v>1348</v>
      </c>
      <c r="N37">
        <v>1009</v>
      </c>
      <c r="O37" t="s">
        <v>126</v>
      </c>
      <c r="P37" t="s">
        <v>126</v>
      </c>
      <c r="Q37">
        <v>1000</v>
      </c>
      <c r="W37">
        <v>0</v>
      </c>
      <c r="X37">
        <v>911236404</v>
      </c>
      <c r="Y37">
        <f t="shared" si="2"/>
        <v>1E-4</v>
      </c>
      <c r="AA37">
        <v>85854.59</v>
      </c>
      <c r="AB37">
        <v>0</v>
      </c>
      <c r="AC37">
        <v>0</v>
      </c>
      <c r="AD37">
        <v>0</v>
      </c>
      <c r="AE37">
        <v>9550.01</v>
      </c>
      <c r="AF37">
        <v>0</v>
      </c>
      <c r="AG37">
        <v>0</v>
      </c>
      <c r="AH37">
        <v>0</v>
      </c>
      <c r="AI37">
        <v>8.99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1E-4</v>
      </c>
      <c r="AU37" t="s">
        <v>3</v>
      </c>
      <c r="AV37">
        <v>0</v>
      </c>
      <c r="AW37">
        <v>2</v>
      </c>
      <c r="AX37">
        <v>84185874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ROUND(Y37*Source!I76,9)</f>
        <v>1E-4</v>
      </c>
      <c r="CY37">
        <f t="shared" si="12"/>
        <v>85854.59</v>
      </c>
      <c r="CZ37">
        <f t="shared" si="13"/>
        <v>9550.01</v>
      </c>
      <c r="DA37">
        <f t="shared" si="14"/>
        <v>8.99</v>
      </c>
      <c r="DB37">
        <f t="shared" si="3"/>
        <v>0.96</v>
      </c>
      <c r="DC37">
        <f t="shared" si="4"/>
        <v>0</v>
      </c>
      <c r="DD37" t="s">
        <v>3</v>
      </c>
      <c r="DE37" t="s">
        <v>3</v>
      </c>
      <c r="DF37">
        <f>ROUND(ROUND(AE37*AI37,2)*CX37,2)</f>
        <v>8.59</v>
      </c>
      <c r="DG37">
        <f t="shared" si="15"/>
        <v>0</v>
      </c>
      <c r="DH37">
        <f t="shared" si="16"/>
        <v>0</v>
      </c>
      <c r="DI37">
        <f t="shared" si="18"/>
        <v>0</v>
      </c>
      <c r="DJ37">
        <f t="shared" si="17"/>
        <v>8.59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ROW(Source!A76)</f>
        <v>76</v>
      </c>
      <c r="B38">
        <v>84185495</v>
      </c>
      <c r="C38">
        <v>84185841</v>
      </c>
      <c r="D38">
        <v>37750429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149</v>
      </c>
      <c r="K38" t="s">
        <v>147</v>
      </c>
      <c r="L38">
        <v>1346</v>
      </c>
      <c r="N38">
        <v>1009</v>
      </c>
      <c r="O38" t="s">
        <v>148</v>
      </c>
      <c r="P38" t="s">
        <v>148</v>
      </c>
      <c r="Q38">
        <v>1</v>
      </c>
      <c r="W38">
        <v>0</v>
      </c>
      <c r="X38">
        <v>-1695541033</v>
      </c>
      <c r="Y38">
        <f t="shared" si="2"/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1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2</v>
      </c>
      <c r="AX38">
        <v>84185875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ROUND(Y38*Source!I76,9)</f>
        <v>0</v>
      </c>
      <c r="CY38">
        <f t="shared" si="12"/>
        <v>0</v>
      </c>
      <c r="CZ38">
        <f t="shared" si="13"/>
        <v>0</v>
      </c>
      <c r="DA38">
        <f t="shared" si="14"/>
        <v>1</v>
      </c>
      <c r="DB38">
        <f t="shared" si="3"/>
        <v>0</v>
      </c>
      <c r="DC38">
        <f t="shared" si="4"/>
        <v>0</v>
      </c>
      <c r="DD38" t="s">
        <v>3</v>
      </c>
      <c r="DE38" t="s">
        <v>3</v>
      </c>
      <c r="DF38">
        <f>ROUND(ROUND(AE38,2)*CX38,2)</f>
        <v>0</v>
      </c>
      <c r="DG38">
        <f t="shared" si="15"/>
        <v>0</v>
      </c>
      <c r="DH38">
        <f t="shared" si="16"/>
        <v>0</v>
      </c>
      <c r="DI38">
        <f t="shared" si="18"/>
        <v>0</v>
      </c>
      <c r="DJ38">
        <f t="shared" si="17"/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ROW(Source!A76)</f>
        <v>76</v>
      </c>
      <c r="B39">
        <v>84185495</v>
      </c>
      <c r="C39">
        <v>84185841</v>
      </c>
      <c r="D39">
        <v>37751168</v>
      </c>
      <c r="E39">
        <v>1</v>
      </c>
      <c r="F39">
        <v>1</v>
      </c>
      <c r="G39">
        <v>1</v>
      </c>
      <c r="H39">
        <v>3</v>
      </c>
      <c r="I39" t="s">
        <v>151</v>
      </c>
      <c r="J39" t="s">
        <v>153</v>
      </c>
      <c r="K39" t="s">
        <v>152</v>
      </c>
      <c r="L39">
        <v>1346</v>
      </c>
      <c r="N39">
        <v>1009</v>
      </c>
      <c r="O39" t="s">
        <v>148</v>
      </c>
      <c r="P39" t="s">
        <v>148</v>
      </c>
      <c r="Q39">
        <v>1</v>
      </c>
      <c r="W39">
        <v>0</v>
      </c>
      <c r="X39">
        <v>-2040775826</v>
      </c>
      <c r="Y39">
        <f t="shared" ref="Y39:Y70" si="19">AT39</f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0</v>
      </c>
      <c r="AN39">
        <v>1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0</v>
      </c>
      <c r="AU39" t="s">
        <v>3</v>
      </c>
      <c r="AV39">
        <v>0</v>
      </c>
      <c r="AW39">
        <v>2</v>
      </c>
      <c r="AX39">
        <v>84185876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ROUND(Y39*Source!I76,9)</f>
        <v>0</v>
      </c>
      <c r="CY39">
        <f t="shared" si="12"/>
        <v>0</v>
      </c>
      <c r="CZ39">
        <f t="shared" si="13"/>
        <v>0</v>
      </c>
      <c r="DA39">
        <f t="shared" si="14"/>
        <v>1</v>
      </c>
      <c r="DB39">
        <f t="shared" ref="DB39:DB70" si="20">ROUND(ROUND(AT39*CZ39,2),2)</f>
        <v>0</v>
      </c>
      <c r="DC39">
        <f t="shared" ref="DC39:DC70" si="21">ROUND(ROUND(AT39*AG39,2),2)</f>
        <v>0</v>
      </c>
      <c r="DD39" t="s">
        <v>3</v>
      </c>
      <c r="DE39" t="s">
        <v>3</v>
      </c>
      <c r="DF39">
        <f>ROUND(ROUND(AE39,2)*CX39,2)</f>
        <v>0</v>
      </c>
      <c r="DG39">
        <f t="shared" si="15"/>
        <v>0</v>
      </c>
      <c r="DH39">
        <f t="shared" si="16"/>
        <v>0</v>
      </c>
      <c r="DI39">
        <f t="shared" si="18"/>
        <v>0</v>
      </c>
      <c r="DJ39">
        <f t="shared" si="17"/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ROW(Source!A76)</f>
        <v>76</v>
      </c>
      <c r="B40">
        <v>84185495</v>
      </c>
      <c r="C40">
        <v>84185841</v>
      </c>
      <c r="D40">
        <v>37750801</v>
      </c>
      <c r="E40">
        <v>1</v>
      </c>
      <c r="F40">
        <v>1</v>
      </c>
      <c r="G40">
        <v>1</v>
      </c>
      <c r="H40">
        <v>3</v>
      </c>
      <c r="I40" t="s">
        <v>155</v>
      </c>
      <c r="J40" t="s">
        <v>157</v>
      </c>
      <c r="K40" t="s">
        <v>156</v>
      </c>
      <c r="L40">
        <v>1348</v>
      </c>
      <c r="N40">
        <v>1009</v>
      </c>
      <c r="O40" t="s">
        <v>126</v>
      </c>
      <c r="P40" t="s">
        <v>126</v>
      </c>
      <c r="Q40">
        <v>1000</v>
      </c>
      <c r="W40">
        <v>0</v>
      </c>
      <c r="X40">
        <v>-388174517</v>
      </c>
      <c r="Y40">
        <f t="shared" si="19"/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0</v>
      </c>
      <c r="AN40">
        <v>1</v>
      </c>
      <c r="AO40">
        <v>0</v>
      </c>
      <c r="AP40">
        <v>1</v>
      </c>
      <c r="AQ40">
        <v>0</v>
      </c>
      <c r="AR40">
        <v>0</v>
      </c>
      <c r="AS40" t="s">
        <v>3</v>
      </c>
      <c r="AT40">
        <v>0</v>
      </c>
      <c r="AU40" t="s">
        <v>3</v>
      </c>
      <c r="AV40">
        <v>0</v>
      </c>
      <c r="AW40">
        <v>2</v>
      </c>
      <c r="AX40">
        <v>84185877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ROUND(Y40*Source!I76,9)</f>
        <v>0</v>
      </c>
      <c r="CY40">
        <f t="shared" si="12"/>
        <v>0</v>
      </c>
      <c r="CZ40">
        <f t="shared" si="13"/>
        <v>0</v>
      </c>
      <c r="DA40">
        <f t="shared" si="14"/>
        <v>1</v>
      </c>
      <c r="DB40">
        <f t="shared" si="20"/>
        <v>0</v>
      </c>
      <c r="DC40">
        <f t="shared" si="21"/>
        <v>0</v>
      </c>
      <c r="DD40" t="s">
        <v>3</v>
      </c>
      <c r="DE40" t="s">
        <v>3</v>
      </c>
      <c r="DF40">
        <f>ROUND(ROUND(AE40,2)*CX40,2)</f>
        <v>0</v>
      </c>
      <c r="DG40">
        <f t="shared" si="15"/>
        <v>0</v>
      </c>
      <c r="DH40">
        <f t="shared" si="16"/>
        <v>0</v>
      </c>
      <c r="DI40">
        <f t="shared" si="18"/>
        <v>0</v>
      </c>
      <c r="DJ40">
        <f t="shared" si="17"/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ROW(Source!A76)</f>
        <v>76</v>
      </c>
      <c r="B41">
        <v>84185495</v>
      </c>
      <c r="C41">
        <v>84185841</v>
      </c>
      <c r="D41">
        <v>37775906</v>
      </c>
      <c r="E41">
        <v>1</v>
      </c>
      <c r="F41">
        <v>1</v>
      </c>
      <c r="G41">
        <v>1</v>
      </c>
      <c r="H41">
        <v>3</v>
      </c>
      <c r="I41" t="s">
        <v>159</v>
      </c>
      <c r="J41" t="s">
        <v>161</v>
      </c>
      <c r="K41" t="s">
        <v>160</v>
      </c>
      <c r="L41">
        <v>1354</v>
      </c>
      <c r="N41">
        <v>1010</v>
      </c>
      <c r="O41" t="s">
        <v>135</v>
      </c>
      <c r="P41" t="s">
        <v>135</v>
      </c>
      <c r="Q41">
        <v>1</v>
      </c>
      <c r="W41">
        <v>0</v>
      </c>
      <c r="X41">
        <v>-744192612</v>
      </c>
      <c r="Y41">
        <f t="shared" si="19"/>
        <v>0</v>
      </c>
      <c r="AA41">
        <v>19557.82</v>
      </c>
      <c r="AB41">
        <v>0</v>
      </c>
      <c r="AC41">
        <v>0</v>
      </c>
      <c r="AD41">
        <v>0</v>
      </c>
      <c r="AE41">
        <v>2074</v>
      </c>
      <c r="AF41">
        <v>0</v>
      </c>
      <c r="AG41">
        <v>0</v>
      </c>
      <c r="AH41">
        <v>0</v>
      </c>
      <c r="AI41">
        <v>9.43</v>
      </c>
      <c r="AJ41">
        <v>1</v>
      </c>
      <c r="AK41">
        <v>1</v>
      </c>
      <c r="AL41">
        <v>1</v>
      </c>
      <c r="AM41">
        <v>0</v>
      </c>
      <c r="AN41">
        <v>1</v>
      </c>
      <c r="AO41">
        <v>0</v>
      </c>
      <c r="AP41">
        <v>1</v>
      </c>
      <c r="AQ41">
        <v>0</v>
      </c>
      <c r="AR41">
        <v>0</v>
      </c>
      <c r="AS41" t="s">
        <v>3</v>
      </c>
      <c r="AT41">
        <v>0</v>
      </c>
      <c r="AU41" t="s">
        <v>3</v>
      </c>
      <c r="AV41">
        <v>0</v>
      </c>
      <c r="AW41">
        <v>2</v>
      </c>
      <c r="AX41">
        <v>84185878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ROUND(Y41*Source!I76,9)</f>
        <v>0</v>
      </c>
      <c r="CY41">
        <f t="shared" si="12"/>
        <v>19557.82</v>
      </c>
      <c r="CZ41">
        <f t="shared" si="13"/>
        <v>2074</v>
      </c>
      <c r="DA41">
        <f t="shared" si="14"/>
        <v>9.43</v>
      </c>
      <c r="DB41">
        <f t="shared" si="20"/>
        <v>0</v>
      </c>
      <c r="DC41">
        <f t="shared" si="21"/>
        <v>0</v>
      </c>
      <c r="DD41" t="s">
        <v>3</v>
      </c>
      <c r="DE41" t="s">
        <v>3</v>
      </c>
      <c r="DF41">
        <f>ROUND(ROUND(AE41*AI41,2)*CX41,2)</f>
        <v>0</v>
      </c>
      <c r="DG41">
        <f t="shared" si="15"/>
        <v>0</v>
      </c>
      <c r="DH41">
        <f t="shared" si="16"/>
        <v>0</v>
      </c>
      <c r="DI41">
        <f t="shared" si="18"/>
        <v>0</v>
      </c>
      <c r="DJ41">
        <f t="shared" si="17"/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ROW(Source!A76)</f>
        <v>76</v>
      </c>
      <c r="B42">
        <v>84185495</v>
      </c>
      <c r="C42">
        <v>84185841</v>
      </c>
      <c r="D42">
        <v>37792552</v>
      </c>
      <c r="E42">
        <v>1</v>
      </c>
      <c r="F42">
        <v>1</v>
      </c>
      <c r="G42">
        <v>1</v>
      </c>
      <c r="H42">
        <v>3</v>
      </c>
      <c r="I42" t="s">
        <v>501</v>
      </c>
      <c r="J42" t="s">
        <v>502</v>
      </c>
      <c r="K42" t="s">
        <v>503</v>
      </c>
      <c r="L42">
        <v>1354</v>
      </c>
      <c r="N42">
        <v>1010</v>
      </c>
      <c r="O42" t="s">
        <v>135</v>
      </c>
      <c r="P42" t="s">
        <v>135</v>
      </c>
      <c r="Q42">
        <v>1</v>
      </c>
      <c r="W42">
        <v>0</v>
      </c>
      <c r="X42">
        <v>1199042919</v>
      </c>
      <c r="Y42">
        <f t="shared" si="19"/>
        <v>6</v>
      </c>
      <c r="AA42">
        <v>15.19</v>
      </c>
      <c r="AB42">
        <v>0</v>
      </c>
      <c r="AC42">
        <v>0</v>
      </c>
      <c r="AD42">
        <v>0</v>
      </c>
      <c r="AE42">
        <v>6.2</v>
      </c>
      <c r="AF42">
        <v>0</v>
      </c>
      <c r="AG42">
        <v>0</v>
      </c>
      <c r="AH42">
        <v>0</v>
      </c>
      <c r="AI42">
        <v>2.4500000000000002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6</v>
      </c>
      <c r="AU42" t="s">
        <v>3</v>
      </c>
      <c r="AV42">
        <v>0</v>
      </c>
      <c r="AW42">
        <v>2</v>
      </c>
      <c r="AX42">
        <v>84185879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ROUND(Y42*Source!I76,9)</f>
        <v>6</v>
      </c>
      <c r="CY42">
        <f t="shared" si="12"/>
        <v>15.19</v>
      </c>
      <c r="CZ42">
        <f t="shared" si="13"/>
        <v>6.2</v>
      </c>
      <c r="DA42">
        <f t="shared" si="14"/>
        <v>2.4500000000000002</v>
      </c>
      <c r="DB42">
        <f t="shared" si="20"/>
        <v>37.200000000000003</v>
      </c>
      <c r="DC42">
        <f t="shared" si="21"/>
        <v>0</v>
      </c>
      <c r="DD42" t="s">
        <v>3</v>
      </c>
      <c r="DE42" t="s">
        <v>3</v>
      </c>
      <c r="DF42">
        <f>ROUND(ROUND(AE42*AI42,2)*CX42,2)</f>
        <v>91.14</v>
      </c>
      <c r="DG42">
        <f t="shared" si="15"/>
        <v>0</v>
      </c>
      <c r="DH42">
        <f t="shared" si="16"/>
        <v>0</v>
      </c>
      <c r="DI42">
        <f t="shared" si="18"/>
        <v>0</v>
      </c>
      <c r="DJ42">
        <f t="shared" si="17"/>
        <v>91.14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ROW(Source!A97)</f>
        <v>97</v>
      </c>
      <c r="B43">
        <v>84185495</v>
      </c>
      <c r="C43">
        <v>84185900</v>
      </c>
      <c r="D43">
        <v>23129536</v>
      </c>
      <c r="E43">
        <v>1</v>
      </c>
      <c r="F43">
        <v>1</v>
      </c>
      <c r="G43">
        <v>1</v>
      </c>
      <c r="H43">
        <v>1</v>
      </c>
      <c r="I43" t="s">
        <v>481</v>
      </c>
      <c r="J43" t="s">
        <v>3</v>
      </c>
      <c r="K43" t="s">
        <v>482</v>
      </c>
      <c r="L43">
        <v>1369</v>
      </c>
      <c r="N43">
        <v>1013</v>
      </c>
      <c r="O43" t="s">
        <v>430</v>
      </c>
      <c r="P43" t="s">
        <v>430</v>
      </c>
      <c r="Q43">
        <v>1</v>
      </c>
      <c r="W43">
        <v>0</v>
      </c>
      <c r="X43">
        <v>1663406391</v>
      </c>
      <c r="Y43">
        <f t="shared" si="19"/>
        <v>4.29</v>
      </c>
      <c r="AA43">
        <v>0</v>
      </c>
      <c r="AB43">
        <v>0</v>
      </c>
      <c r="AC43">
        <v>0</v>
      </c>
      <c r="AD43">
        <v>8.2799999999999994</v>
      </c>
      <c r="AE43">
        <v>0</v>
      </c>
      <c r="AF43">
        <v>0</v>
      </c>
      <c r="AG43">
        <v>0</v>
      </c>
      <c r="AH43">
        <v>8.2799999999999994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4.29</v>
      </c>
      <c r="AU43" t="s">
        <v>3</v>
      </c>
      <c r="AV43">
        <v>1</v>
      </c>
      <c r="AW43">
        <v>2</v>
      </c>
      <c r="AX43">
        <v>84185915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ROUND(AT43*Source!I97*AH43*AL43,2)</f>
        <v>35.520000000000003</v>
      </c>
      <c r="CV43">
        <f>ROUND(Y43*Source!I97,9)</f>
        <v>4.29</v>
      </c>
      <c r="CW43">
        <v>0</v>
      </c>
      <c r="CX43">
        <f>ROUND(Y43*Source!I97,9)</f>
        <v>4.29</v>
      </c>
      <c r="CY43">
        <f>AD43</f>
        <v>8.2799999999999994</v>
      </c>
      <c r="CZ43">
        <f>AH43</f>
        <v>8.2799999999999994</v>
      </c>
      <c r="DA43">
        <f>AL43</f>
        <v>1</v>
      </c>
      <c r="DB43">
        <f t="shared" si="20"/>
        <v>35.520000000000003</v>
      </c>
      <c r="DC43">
        <f t="shared" si="21"/>
        <v>0</v>
      </c>
      <c r="DD43" t="s">
        <v>3</v>
      </c>
      <c r="DE43" t="s">
        <v>3</v>
      </c>
      <c r="DF43">
        <f>ROUND(ROUND(AE43,2)*CX43,2)</f>
        <v>0</v>
      </c>
      <c r="DG43">
        <f t="shared" si="15"/>
        <v>0</v>
      </c>
      <c r="DH43">
        <f t="shared" si="16"/>
        <v>0</v>
      </c>
      <c r="DI43">
        <f t="shared" si="18"/>
        <v>35.520000000000003</v>
      </c>
      <c r="DJ43">
        <f>DI43</f>
        <v>35.520000000000003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ROW(Source!A97)</f>
        <v>97</v>
      </c>
      <c r="B44">
        <v>84185495</v>
      </c>
      <c r="C44">
        <v>84185900</v>
      </c>
      <c r="D44">
        <v>121548</v>
      </c>
      <c r="E44">
        <v>1</v>
      </c>
      <c r="F44">
        <v>1</v>
      </c>
      <c r="G44">
        <v>1</v>
      </c>
      <c r="H44">
        <v>1</v>
      </c>
      <c r="I44" t="s">
        <v>24</v>
      </c>
      <c r="J44" t="s">
        <v>3</v>
      </c>
      <c r="K44" t="s">
        <v>431</v>
      </c>
      <c r="L44">
        <v>608254</v>
      </c>
      <c r="N44">
        <v>1013</v>
      </c>
      <c r="O44" t="s">
        <v>432</v>
      </c>
      <c r="P44" t="s">
        <v>432</v>
      </c>
      <c r="Q44">
        <v>1</v>
      </c>
      <c r="W44">
        <v>0</v>
      </c>
      <c r="X44">
        <v>-185737400</v>
      </c>
      <c r="Y44">
        <f t="shared" si="19"/>
        <v>0.97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0.97</v>
      </c>
      <c r="AU44" t="s">
        <v>3</v>
      </c>
      <c r="AV44">
        <v>2</v>
      </c>
      <c r="AW44">
        <v>2</v>
      </c>
      <c r="AX44">
        <v>84185916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ROUND(Y44*Source!I97,9)</f>
        <v>0.97</v>
      </c>
      <c r="CY44">
        <f>AD44</f>
        <v>0</v>
      </c>
      <c r="CZ44">
        <f>AH44</f>
        <v>0</v>
      </c>
      <c r="DA44">
        <f>AL44</f>
        <v>1</v>
      </c>
      <c r="DB44">
        <f t="shared" si="20"/>
        <v>0</v>
      </c>
      <c r="DC44">
        <f t="shared" si="21"/>
        <v>0</v>
      </c>
      <c r="DD44" t="s">
        <v>3</v>
      </c>
      <c r="DE44" t="s">
        <v>3</v>
      </c>
      <c r="DF44">
        <f>ROUND(ROUND(AE44,2)*CX44,2)</f>
        <v>0</v>
      </c>
      <c r="DG44">
        <f t="shared" si="15"/>
        <v>0</v>
      </c>
      <c r="DH44">
        <f t="shared" si="16"/>
        <v>0</v>
      </c>
      <c r="DI44">
        <f t="shared" si="18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ROW(Source!A97)</f>
        <v>97</v>
      </c>
      <c r="B45">
        <v>84185495</v>
      </c>
      <c r="C45">
        <v>84185900</v>
      </c>
      <c r="D45">
        <v>37802579</v>
      </c>
      <c r="E45">
        <v>1</v>
      </c>
      <c r="F45">
        <v>1</v>
      </c>
      <c r="G45">
        <v>1</v>
      </c>
      <c r="H45">
        <v>2</v>
      </c>
      <c r="I45" t="s">
        <v>433</v>
      </c>
      <c r="J45" t="s">
        <v>434</v>
      </c>
      <c r="K45" t="s">
        <v>435</v>
      </c>
      <c r="L45">
        <v>1368</v>
      </c>
      <c r="N45">
        <v>1011</v>
      </c>
      <c r="O45" t="s">
        <v>436</v>
      </c>
      <c r="P45" t="s">
        <v>436</v>
      </c>
      <c r="Q45">
        <v>1</v>
      </c>
      <c r="W45">
        <v>0</v>
      </c>
      <c r="X45">
        <v>1698075389</v>
      </c>
      <c r="Y45">
        <f t="shared" si="19"/>
        <v>0.97</v>
      </c>
      <c r="AA45">
        <v>0</v>
      </c>
      <c r="AB45">
        <v>898.36</v>
      </c>
      <c r="AC45">
        <v>317.43</v>
      </c>
      <c r="AD45">
        <v>0</v>
      </c>
      <c r="AE45">
        <v>0</v>
      </c>
      <c r="AF45">
        <v>85.64</v>
      </c>
      <c r="AG45">
        <v>9</v>
      </c>
      <c r="AH45">
        <v>0</v>
      </c>
      <c r="AI45">
        <v>1</v>
      </c>
      <c r="AJ45">
        <v>10.49</v>
      </c>
      <c r="AK45">
        <v>35.270000000000003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0.97</v>
      </c>
      <c r="AU45" t="s">
        <v>3</v>
      </c>
      <c r="AV45">
        <v>0</v>
      </c>
      <c r="AW45">
        <v>2</v>
      </c>
      <c r="AX45">
        <v>84185917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ROUND(Y45*Source!I97*DO45,9)</f>
        <v>0</v>
      </c>
      <c r="CX45">
        <f>ROUND(Y45*Source!I97,9)</f>
        <v>0.97</v>
      </c>
      <c r="CY45">
        <f>AB45</f>
        <v>898.36</v>
      </c>
      <c r="CZ45">
        <f>AF45</f>
        <v>85.64</v>
      </c>
      <c r="DA45">
        <f>AJ45</f>
        <v>10.49</v>
      </c>
      <c r="DB45">
        <f t="shared" si="20"/>
        <v>83.07</v>
      </c>
      <c r="DC45">
        <f t="shared" si="21"/>
        <v>8.73</v>
      </c>
      <c r="DD45" t="s">
        <v>3</v>
      </c>
      <c r="DE45" t="s">
        <v>3</v>
      </c>
      <c r="DF45">
        <f>ROUND(ROUND(AE45,2)*CX45,2)</f>
        <v>0</v>
      </c>
      <c r="DG45">
        <f>ROUND(ROUND(AF45*AJ45,2)*CX45,2)</f>
        <v>871.41</v>
      </c>
      <c r="DH45">
        <f>ROUND(ROUND(AG45*AK45,2)*CX45,2)</f>
        <v>307.91000000000003</v>
      </c>
      <c r="DI45">
        <f t="shared" si="18"/>
        <v>0</v>
      </c>
      <c r="DJ45">
        <f>DG45</f>
        <v>871.41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ROW(Source!A97)</f>
        <v>97</v>
      </c>
      <c r="B46">
        <v>84185495</v>
      </c>
      <c r="C46">
        <v>84185900</v>
      </c>
      <c r="D46">
        <v>37804456</v>
      </c>
      <c r="E46">
        <v>1</v>
      </c>
      <c r="F46">
        <v>1</v>
      </c>
      <c r="G46">
        <v>1</v>
      </c>
      <c r="H46">
        <v>2</v>
      </c>
      <c r="I46" t="s">
        <v>437</v>
      </c>
      <c r="J46" t="s">
        <v>438</v>
      </c>
      <c r="K46" t="s">
        <v>439</v>
      </c>
      <c r="L46">
        <v>1368</v>
      </c>
      <c r="N46">
        <v>1011</v>
      </c>
      <c r="O46" t="s">
        <v>436</v>
      </c>
      <c r="P46" t="s">
        <v>436</v>
      </c>
      <c r="Q46">
        <v>1</v>
      </c>
      <c r="W46">
        <v>0</v>
      </c>
      <c r="X46">
        <v>-671646184</v>
      </c>
      <c r="Y46">
        <f t="shared" si="19"/>
        <v>0.22</v>
      </c>
      <c r="AA46">
        <v>0</v>
      </c>
      <c r="AB46">
        <v>1305.74</v>
      </c>
      <c r="AC46">
        <v>365.04</v>
      </c>
      <c r="AD46">
        <v>0</v>
      </c>
      <c r="AE46">
        <v>0</v>
      </c>
      <c r="AF46">
        <v>91.76</v>
      </c>
      <c r="AG46">
        <v>10.35</v>
      </c>
      <c r="AH46">
        <v>0</v>
      </c>
      <c r="AI46">
        <v>1</v>
      </c>
      <c r="AJ46">
        <v>14.23</v>
      </c>
      <c r="AK46">
        <v>35.270000000000003</v>
      </c>
      <c r="AL46">
        <v>1</v>
      </c>
      <c r="AM46">
        <v>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0.22</v>
      </c>
      <c r="AU46" t="s">
        <v>3</v>
      </c>
      <c r="AV46">
        <v>0</v>
      </c>
      <c r="AW46">
        <v>2</v>
      </c>
      <c r="AX46">
        <v>84185918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f>ROUND(Y46*Source!I97*DO46,9)</f>
        <v>0</v>
      </c>
      <c r="CX46">
        <f>ROUND(Y46*Source!I97,9)</f>
        <v>0.22</v>
      </c>
      <c r="CY46">
        <f>AB46</f>
        <v>1305.74</v>
      </c>
      <c r="CZ46">
        <f>AF46</f>
        <v>91.76</v>
      </c>
      <c r="DA46">
        <f>AJ46</f>
        <v>14.23</v>
      </c>
      <c r="DB46">
        <f t="shared" si="20"/>
        <v>20.190000000000001</v>
      </c>
      <c r="DC46">
        <f t="shared" si="21"/>
        <v>2.2799999999999998</v>
      </c>
      <c r="DD46" t="s">
        <v>3</v>
      </c>
      <c r="DE46" t="s">
        <v>3</v>
      </c>
      <c r="DF46">
        <f>ROUND(ROUND(AE46,2)*CX46,2)</f>
        <v>0</v>
      </c>
      <c r="DG46">
        <f>ROUND(ROUND(AF46*AJ46,2)*CX46,2)</f>
        <v>287.26</v>
      </c>
      <c r="DH46">
        <f>ROUND(ROUND(AG46*AK46,2)*CX46,2)</f>
        <v>80.31</v>
      </c>
      <c r="DI46">
        <f t="shared" si="18"/>
        <v>0</v>
      </c>
      <c r="DJ46">
        <f>DG46</f>
        <v>287.26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ROW(Source!A97)</f>
        <v>97</v>
      </c>
      <c r="B47">
        <v>84185495</v>
      </c>
      <c r="C47">
        <v>84185900</v>
      </c>
      <c r="D47">
        <v>37729879</v>
      </c>
      <c r="E47">
        <v>1</v>
      </c>
      <c r="F47">
        <v>1</v>
      </c>
      <c r="G47">
        <v>1</v>
      </c>
      <c r="H47">
        <v>3</v>
      </c>
      <c r="I47" t="s">
        <v>489</v>
      </c>
      <c r="J47" t="s">
        <v>490</v>
      </c>
      <c r="K47" t="s">
        <v>491</v>
      </c>
      <c r="L47">
        <v>1348</v>
      </c>
      <c r="N47">
        <v>1009</v>
      </c>
      <c r="O47" t="s">
        <v>126</v>
      </c>
      <c r="P47" t="s">
        <v>126</v>
      </c>
      <c r="Q47">
        <v>1000</v>
      </c>
      <c r="W47">
        <v>0</v>
      </c>
      <c r="X47">
        <v>-1121770783</v>
      </c>
      <c r="Y47">
        <f t="shared" si="19"/>
        <v>3.0000000000000001E-5</v>
      </c>
      <c r="AA47">
        <v>163867.51999999999</v>
      </c>
      <c r="AB47">
        <v>0</v>
      </c>
      <c r="AC47">
        <v>0</v>
      </c>
      <c r="AD47">
        <v>0</v>
      </c>
      <c r="AE47">
        <v>9662</v>
      </c>
      <c r="AF47">
        <v>0</v>
      </c>
      <c r="AG47">
        <v>0</v>
      </c>
      <c r="AH47">
        <v>0</v>
      </c>
      <c r="AI47">
        <v>16.96</v>
      </c>
      <c r="AJ47">
        <v>1</v>
      </c>
      <c r="AK47">
        <v>1</v>
      </c>
      <c r="AL47">
        <v>1</v>
      </c>
      <c r="AM47">
        <v>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3.0000000000000001E-5</v>
      </c>
      <c r="AU47" t="s">
        <v>3</v>
      </c>
      <c r="AV47">
        <v>0</v>
      </c>
      <c r="AW47">
        <v>2</v>
      </c>
      <c r="AX47">
        <v>84185919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ROUND(Y47*Source!I97,9)</f>
        <v>3.0000000000000001E-5</v>
      </c>
      <c r="CY47">
        <f t="shared" ref="CY47:CY56" si="22">AA47</f>
        <v>163867.51999999999</v>
      </c>
      <c r="CZ47">
        <f t="shared" ref="CZ47:CZ56" si="23">AE47</f>
        <v>9662</v>
      </c>
      <c r="DA47">
        <f t="shared" ref="DA47:DA56" si="24">AI47</f>
        <v>16.96</v>
      </c>
      <c r="DB47">
        <f t="shared" si="20"/>
        <v>0.28999999999999998</v>
      </c>
      <c r="DC47">
        <f t="shared" si="21"/>
        <v>0</v>
      </c>
      <c r="DD47" t="s">
        <v>3</v>
      </c>
      <c r="DE47" t="s">
        <v>3</v>
      </c>
      <c r="DF47">
        <f>ROUND(ROUND(AE47*AI47,2)*CX47,2)</f>
        <v>4.92</v>
      </c>
      <c r="DG47">
        <f t="shared" ref="DG47:DG58" si="25">ROUND(ROUND(AF47,2)*CX47,2)</f>
        <v>0</v>
      </c>
      <c r="DH47">
        <f t="shared" ref="DH47:DH58" si="26">ROUND(ROUND(AG47,2)*CX47,2)</f>
        <v>0</v>
      </c>
      <c r="DI47">
        <f t="shared" si="18"/>
        <v>0</v>
      </c>
      <c r="DJ47">
        <f t="shared" ref="DJ47:DJ56" si="27">DF47</f>
        <v>4.92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ROW(Source!A97)</f>
        <v>97</v>
      </c>
      <c r="B48">
        <v>84185495</v>
      </c>
      <c r="C48">
        <v>84185900</v>
      </c>
      <c r="D48">
        <v>37729917</v>
      </c>
      <c r="E48">
        <v>1</v>
      </c>
      <c r="F48">
        <v>1</v>
      </c>
      <c r="G48">
        <v>1</v>
      </c>
      <c r="H48">
        <v>3</v>
      </c>
      <c r="I48" t="s">
        <v>504</v>
      </c>
      <c r="J48" t="s">
        <v>505</v>
      </c>
      <c r="K48" t="s">
        <v>506</v>
      </c>
      <c r="L48">
        <v>1348</v>
      </c>
      <c r="N48">
        <v>1009</v>
      </c>
      <c r="O48" t="s">
        <v>126</v>
      </c>
      <c r="P48" t="s">
        <v>126</v>
      </c>
      <c r="Q48">
        <v>1000</v>
      </c>
      <c r="W48">
        <v>0</v>
      </c>
      <c r="X48">
        <v>-31802417</v>
      </c>
      <c r="Y48">
        <f t="shared" si="19"/>
        <v>3.0000000000000001E-5</v>
      </c>
      <c r="AA48">
        <v>74870.41</v>
      </c>
      <c r="AB48">
        <v>0</v>
      </c>
      <c r="AC48">
        <v>0</v>
      </c>
      <c r="AD48">
        <v>0</v>
      </c>
      <c r="AE48">
        <v>6667</v>
      </c>
      <c r="AF48">
        <v>0</v>
      </c>
      <c r="AG48">
        <v>0</v>
      </c>
      <c r="AH48">
        <v>0</v>
      </c>
      <c r="AI48">
        <v>11.23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3.0000000000000001E-5</v>
      </c>
      <c r="AU48" t="s">
        <v>3</v>
      </c>
      <c r="AV48">
        <v>0</v>
      </c>
      <c r="AW48">
        <v>2</v>
      </c>
      <c r="AX48">
        <v>84185920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ROUND(Y48*Source!I97,9)</f>
        <v>3.0000000000000001E-5</v>
      </c>
      <c r="CY48">
        <f t="shared" si="22"/>
        <v>74870.41</v>
      </c>
      <c r="CZ48">
        <f t="shared" si="23"/>
        <v>6667</v>
      </c>
      <c r="DA48">
        <f t="shared" si="24"/>
        <v>11.23</v>
      </c>
      <c r="DB48">
        <f t="shared" si="20"/>
        <v>0.2</v>
      </c>
      <c r="DC48">
        <f t="shared" si="21"/>
        <v>0</v>
      </c>
      <c r="DD48" t="s">
        <v>3</v>
      </c>
      <c r="DE48" t="s">
        <v>3</v>
      </c>
      <c r="DF48">
        <f>ROUND(ROUND(AE48*AI48,2)*CX48,2)</f>
        <v>2.25</v>
      </c>
      <c r="DG48">
        <f t="shared" si="25"/>
        <v>0</v>
      </c>
      <c r="DH48">
        <f t="shared" si="26"/>
        <v>0</v>
      </c>
      <c r="DI48">
        <f t="shared" si="18"/>
        <v>0</v>
      </c>
      <c r="DJ48">
        <f t="shared" si="27"/>
        <v>2.25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ROW(Source!A97)</f>
        <v>97</v>
      </c>
      <c r="B49">
        <v>84185495</v>
      </c>
      <c r="C49">
        <v>84185900</v>
      </c>
      <c r="D49">
        <v>37736859</v>
      </c>
      <c r="E49">
        <v>1</v>
      </c>
      <c r="F49">
        <v>1</v>
      </c>
      <c r="G49">
        <v>1</v>
      </c>
      <c r="H49">
        <v>3</v>
      </c>
      <c r="I49" t="s">
        <v>124</v>
      </c>
      <c r="J49" t="s">
        <v>127</v>
      </c>
      <c r="K49" t="s">
        <v>125</v>
      </c>
      <c r="L49">
        <v>1348</v>
      </c>
      <c r="N49">
        <v>1009</v>
      </c>
      <c r="O49" t="s">
        <v>126</v>
      </c>
      <c r="P49" t="s">
        <v>126</v>
      </c>
      <c r="Q49">
        <v>1000</v>
      </c>
      <c r="W49">
        <v>0</v>
      </c>
      <c r="X49">
        <v>-384985709</v>
      </c>
      <c r="Y49">
        <f t="shared" si="19"/>
        <v>0</v>
      </c>
      <c r="AA49">
        <v>208824.23</v>
      </c>
      <c r="AB49">
        <v>0</v>
      </c>
      <c r="AC49">
        <v>0</v>
      </c>
      <c r="AD49">
        <v>0</v>
      </c>
      <c r="AE49">
        <v>9040.01</v>
      </c>
      <c r="AF49">
        <v>0</v>
      </c>
      <c r="AG49">
        <v>0</v>
      </c>
      <c r="AH49">
        <v>0</v>
      </c>
      <c r="AI49">
        <v>23.1</v>
      </c>
      <c r="AJ49">
        <v>1</v>
      </c>
      <c r="AK49">
        <v>1</v>
      </c>
      <c r="AL49">
        <v>1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0</v>
      </c>
      <c r="AS49" t="s">
        <v>3</v>
      </c>
      <c r="AT49">
        <v>0</v>
      </c>
      <c r="AU49" t="s">
        <v>3</v>
      </c>
      <c r="AV49">
        <v>0</v>
      </c>
      <c r="AW49">
        <v>2</v>
      </c>
      <c r="AX49">
        <v>84185921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ROUND(Y49*Source!I97,9)</f>
        <v>0</v>
      </c>
      <c r="CY49">
        <f t="shared" si="22"/>
        <v>208824.23</v>
      </c>
      <c r="CZ49">
        <f t="shared" si="23"/>
        <v>9040.01</v>
      </c>
      <c r="DA49">
        <f t="shared" si="24"/>
        <v>23.1</v>
      </c>
      <c r="DB49">
        <f t="shared" si="20"/>
        <v>0</v>
      </c>
      <c r="DC49">
        <f t="shared" si="21"/>
        <v>0</v>
      </c>
      <c r="DD49" t="s">
        <v>3</v>
      </c>
      <c r="DE49" t="s">
        <v>3</v>
      </c>
      <c r="DF49">
        <f>ROUND(ROUND(AE49*AI49,2)*CX49,2)</f>
        <v>0</v>
      </c>
      <c r="DG49">
        <f t="shared" si="25"/>
        <v>0</v>
      </c>
      <c r="DH49">
        <f t="shared" si="26"/>
        <v>0</v>
      </c>
      <c r="DI49">
        <f t="shared" si="18"/>
        <v>0</v>
      </c>
      <c r="DJ49">
        <f t="shared" si="27"/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ROW(Source!A97)</f>
        <v>97</v>
      </c>
      <c r="B50">
        <v>84185495</v>
      </c>
      <c r="C50">
        <v>84185900</v>
      </c>
      <c r="D50">
        <v>37729991</v>
      </c>
      <c r="E50">
        <v>1</v>
      </c>
      <c r="F50">
        <v>1</v>
      </c>
      <c r="G50">
        <v>1</v>
      </c>
      <c r="H50">
        <v>3</v>
      </c>
      <c r="I50" t="s">
        <v>492</v>
      </c>
      <c r="J50" t="s">
        <v>493</v>
      </c>
      <c r="K50" t="s">
        <v>494</v>
      </c>
      <c r="L50">
        <v>1346</v>
      </c>
      <c r="N50">
        <v>1009</v>
      </c>
      <c r="O50" t="s">
        <v>148</v>
      </c>
      <c r="P50" t="s">
        <v>148</v>
      </c>
      <c r="Q50">
        <v>1</v>
      </c>
      <c r="W50">
        <v>0</v>
      </c>
      <c r="X50">
        <v>844235703</v>
      </c>
      <c r="Y50">
        <f t="shared" si="19"/>
        <v>0.02</v>
      </c>
      <c r="AA50">
        <v>27.37</v>
      </c>
      <c r="AB50">
        <v>0</v>
      </c>
      <c r="AC50">
        <v>0</v>
      </c>
      <c r="AD50">
        <v>0</v>
      </c>
      <c r="AE50">
        <v>1.82</v>
      </c>
      <c r="AF50">
        <v>0</v>
      </c>
      <c r="AG50">
        <v>0</v>
      </c>
      <c r="AH50">
        <v>0</v>
      </c>
      <c r="AI50">
        <v>15.04</v>
      </c>
      <c r="AJ50">
        <v>1</v>
      </c>
      <c r="AK50">
        <v>1</v>
      </c>
      <c r="AL50">
        <v>1</v>
      </c>
      <c r="AM50">
        <v>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0.02</v>
      </c>
      <c r="AU50" t="s">
        <v>3</v>
      </c>
      <c r="AV50">
        <v>0</v>
      </c>
      <c r="AW50">
        <v>2</v>
      </c>
      <c r="AX50">
        <v>84185922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ROUND(Y50*Source!I97,9)</f>
        <v>0.02</v>
      </c>
      <c r="CY50">
        <f t="shared" si="22"/>
        <v>27.37</v>
      </c>
      <c r="CZ50">
        <f t="shared" si="23"/>
        <v>1.82</v>
      </c>
      <c r="DA50">
        <f t="shared" si="24"/>
        <v>15.04</v>
      </c>
      <c r="DB50">
        <f t="shared" si="20"/>
        <v>0.04</v>
      </c>
      <c r="DC50">
        <f t="shared" si="21"/>
        <v>0</v>
      </c>
      <c r="DD50" t="s">
        <v>3</v>
      </c>
      <c r="DE50" t="s">
        <v>3</v>
      </c>
      <c r="DF50">
        <f>ROUND(ROUND(AE50*AI50,2)*CX50,2)</f>
        <v>0.55000000000000004</v>
      </c>
      <c r="DG50">
        <f t="shared" si="25"/>
        <v>0</v>
      </c>
      <c r="DH50">
        <f t="shared" si="26"/>
        <v>0</v>
      </c>
      <c r="DI50">
        <f t="shared" si="18"/>
        <v>0</v>
      </c>
      <c r="DJ50">
        <f t="shared" si="27"/>
        <v>0.55000000000000004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ROW(Source!A97)</f>
        <v>97</v>
      </c>
      <c r="B51">
        <v>84185495</v>
      </c>
      <c r="C51">
        <v>84185900</v>
      </c>
      <c r="D51">
        <v>37729892</v>
      </c>
      <c r="E51">
        <v>1</v>
      </c>
      <c r="F51">
        <v>1</v>
      </c>
      <c r="G51">
        <v>1</v>
      </c>
      <c r="H51">
        <v>3</v>
      </c>
      <c r="I51" t="s">
        <v>495</v>
      </c>
      <c r="J51" t="s">
        <v>496</v>
      </c>
      <c r="K51" t="s">
        <v>497</v>
      </c>
      <c r="L51">
        <v>1346</v>
      </c>
      <c r="N51">
        <v>1009</v>
      </c>
      <c r="O51" t="s">
        <v>148</v>
      </c>
      <c r="P51" t="s">
        <v>148</v>
      </c>
      <c r="Q51">
        <v>1</v>
      </c>
      <c r="W51">
        <v>0</v>
      </c>
      <c r="X51">
        <v>-1589564529</v>
      </c>
      <c r="Y51">
        <f t="shared" si="19"/>
        <v>0.1</v>
      </c>
      <c r="AA51">
        <v>238.6</v>
      </c>
      <c r="AB51">
        <v>0</v>
      </c>
      <c r="AC51">
        <v>0</v>
      </c>
      <c r="AD51">
        <v>0</v>
      </c>
      <c r="AE51">
        <v>14.62</v>
      </c>
      <c r="AF51">
        <v>0</v>
      </c>
      <c r="AG51">
        <v>0</v>
      </c>
      <c r="AH51">
        <v>0</v>
      </c>
      <c r="AI51">
        <v>16.32</v>
      </c>
      <c r="AJ51">
        <v>1</v>
      </c>
      <c r="AK51">
        <v>1</v>
      </c>
      <c r="AL51">
        <v>1</v>
      </c>
      <c r="AM51">
        <v>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0.1</v>
      </c>
      <c r="AU51" t="s">
        <v>3</v>
      </c>
      <c r="AV51">
        <v>0</v>
      </c>
      <c r="AW51">
        <v>2</v>
      </c>
      <c r="AX51">
        <v>84185923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ROUND(Y51*Source!I97,9)</f>
        <v>0.1</v>
      </c>
      <c r="CY51">
        <f t="shared" si="22"/>
        <v>238.6</v>
      </c>
      <c r="CZ51">
        <f t="shared" si="23"/>
        <v>14.62</v>
      </c>
      <c r="DA51">
        <f t="shared" si="24"/>
        <v>16.32</v>
      </c>
      <c r="DB51">
        <f t="shared" si="20"/>
        <v>1.46</v>
      </c>
      <c r="DC51">
        <f t="shared" si="21"/>
        <v>0</v>
      </c>
      <c r="DD51" t="s">
        <v>3</v>
      </c>
      <c r="DE51" t="s">
        <v>3</v>
      </c>
      <c r="DF51">
        <f>ROUND(ROUND(AE51*AI51,2)*CX51,2)</f>
        <v>23.86</v>
      </c>
      <c r="DG51">
        <f t="shared" si="25"/>
        <v>0</v>
      </c>
      <c r="DH51">
        <f t="shared" si="26"/>
        <v>0</v>
      </c>
      <c r="DI51">
        <f t="shared" si="18"/>
        <v>0</v>
      </c>
      <c r="DJ51">
        <f t="shared" si="27"/>
        <v>23.86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ROW(Source!A97)</f>
        <v>97</v>
      </c>
      <c r="B52">
        <v>84185495</v>
      </c>
      <c r="C52">
        <v>84185900</v>
      </c>
      <c r="D52">
        <v>37735757</v>
      </c>
      <c r="E52">
        <v>1</v>
      </c>
      <c r="F52">
        <v>1</v>
      </c>
      <c r="G52">
        <v>1</v>
      </c>
      <c r="H52">
        <v>3</v>
      </c>
      <c r="I52" t="s">
        <v>129</v>
      </c>
      <c r="J52" t="s">
        <v>131</v>
      </c>
      <c r="K52" t="s">
        <v>130</v>
      </c>
      <c r="L52">
        <v>1348</v>
      </c>
      <c r="N52">
        <v>1009</v>
      </c>
      <c r="O52" t="s">
        <v>126</v>
      </c>
      <c r="P52" t="s">
        <v>126</v>
      </c>
      <c r="Q52">
        <v>1000</v>
      </c>
      <c r="W52">
        <v>0</v>
      </c>
      <c r="X52">
        <v>361960925</v>
      </c>
      <c r="Y52">
        <f t="shared" si="19"/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0</v>
      </c>
      <c r="AN52">
        <v>1</v>
      </c>
      <c r="AO52">
        <v>0</v>
      </c>
      <c r="AP52">
        <v>1</v>
      </c>
      <c r="AQ52">
        <v>0</v>
      </c>
      <c r="AR52">
        <v>0</v>
      </c>
      <c r="AS52" t="s">
        <v>3</v>
      </c>
      <c r="AT52">
        <v>0</v>
      </c>
      <c r="AU52" t="s">
        <v>3</v>
      </c>
      <c r="AV52">
        <v>0</v>
      </c>
      <c r="AW52">
        <v>2</v>
      </c>
      <c r="AX52">
        <v>84185924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ROUND(Y52*Source!I97,9)</f>
        <v>0</v>
      </c>
      <c r="CY52">
        <f t="shared" si="22"/>
        <v>0</v>
      </c>
      <c r="CZ52">
        <f t="shared" si="23"/>
        <v>0</v>
      </c>
      <c r="DA52">
        <f t="shared" si="24"/>
        <v>1</v>
      </c>
      <c r="DB52">
        <f t="shared" si="20"/>
        <v>0</v>
      </c>
      <c r="DC52">
        <f t="shared" si="21"/>
        <v>0</v>
      </c>
      <c r="DD52" t="s">
        <v>3</v>
      </c>
      <c r="DE52" t="s">
        <v>3</v>
      </c>
      <c r="DF52">
        <f>ROUND(ROUND(AE52,2)*CX52,2)</f>
        <v>0</v>
      </c>
      <c r="DG52">
        <f t="shared" si="25"/>
        <v>0</v>
      </c>
      <c r="DH52">
        <f t="shared" si="26"/>
        <v>0</v>
      </c>
      <c r="DI52">
        <f t="shared" si="18"/>
        <v>0</v>
      </c>
      <c r="DJ52">
        <f t="shared" si="27"/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ROW(Source!A97)</f>
        <v>97</v>
      </c>
      <c r="B53">
        <v>84185495</v>
      </c>
      <c r="C53">
        <v>84185900</v>
      </c>
      <c r="D53">
        <v>37744299</v>
      </c>
      <c r="E53">
        <v>1</v>
      </c>
      <c r="F53">
        <v>1</v>
      </c>
      <c r="G53">
        <v>1</v>
      </c>
      <c r="H53">
        <v>3</v>
      </c>
      <c r="I53" t="s">
        <v>133</v>
      </c>
      <c r="J53" t="s">
        <v>136</v>
      </c>
      <c r="K53" t="s">
        <v>134</v>
      </c>
      <c r="L53">
        <v>1354</v>
      </c>
      <c r="N53">
        <v>1010</v>
      </c>
      <c r="O53" t="s">
        <v>135</v>
      </c>
      <c r="P53" t="s">
        <v>135</v>
      </c>
      <c r="Q53">
        <v>1</v>
      </c>
      <c r="W53">
        <v>0</v>
      </c>
      <c r="X53">
        <v>789151112</v>
      </c>
      <c r="Y53">
        <f t="shared" si="19"/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0</v>
      </c>
      <c r="AN53">
        <v>1</v>
      </c>
      <c r="AO53">
        <v>0</v>
      </c>
      <c r="AP53">
        <v>1</v>
      </c>
      <c r="AQ53">
        <v>0</v>
      </c>
      <c r="AR53">
        <v>0</v>
      </c>
      <c r="AS53" t="s">
        <v>3</v>
      </c>
      <c r="AT53">
        <v>0</v>
      </c>
      <c r="AU53" t="s">
        <v>3</v>
      </c>
      <c r="AV53">
        <v>0</v>
      </c>
      <c r="AW53">
        <v>2</v>
      </c>
      <c r="AX53">
        <v>84185925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ROUND(Y53*Source!I97,9)</f>
        <v>0</v>
      </c>
      <c r="CY53">
        <f t="shared" si="22"/>
        <v>0</v>
      </c>
      <c r="CZ53">
        <f t="shared" si="23"/>
        <v>0</v>
      </c>
      <c r="DA53">
        <f t="shared" si="24"/>
        <v>1</v>
      </c>
      <c r="DB53">
        <f t="shared" si="20"/>
        <v>0</v>
      </c>
      <c r="DC53">
        <f t="shared" si="21"/>
        <v>0</v>
      </c>
      <c r="DD53" t="s">
        <v>3</v>
      </c>
      <c r="DE53" t="s">
        <v>3</v>
      </c>
      <c r="DF53">
        <f>ROUND(ROUND(AE53,2)*CX53,2)</f>
        <v>0</v>
      </c>
      <c r="DG53">
        <f t="shared" si="25"/>
        <v>0</v>
      </c>
      <c r="DH53">
        <f t="shared" si="26"/>
        <v>0</v>
      </c>
      <c r="DI53">
        <f t="shared" si="18"/>
        <v>0</v>
      </c>
      <c r="DJ53">
        <f t="shared" si="27"/>
        <v>0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ROW(Source!A97)</f>
        <v>97</v>
      </c>
      <c r="B54">
        <v>84185495</v>
      </c>
      <c r="C54">
        <v>84185900</v>
      </c>
      <c r="D54">
        <v>37745010</v>
      </c>
      <c r="E54">
        <v>1</v>
      </c>
      <c r="F54">
        <v>1</v>
      </c>
      <c r="G54">
        <v>1</v>
      </c>
      <c r="H54">
        <v>3</v>
      </c>
      <c r="I54" t="s">
        <v>498</v>
      </c>
      <c r="J54" t="s">
        <v>499</v>
      </c>
      <c r="K54" t="s">
        <v>500</v>
      </c>
      <c r="L54">
        <v>1348</v>
      </c>
      <c r="N54">
        <v>1009</v>
      </c>
      <c r="O54" t="s">
        <v>126</v>
      </c>
      <c r="P54" t="s">
        <v>126</v>
      </c>
      <c r="Q54">
        <v>1000</v>
      </c>
      <c r="W54">
        <v>0</v>
      </c>
      <c r="X54">
        <v>911236404</v>
      </c>
      <c r="Y54">
        <f t="shared" si="19"/>
        <v>1E-4</v>
      </c>
      <c r="AA54">
        <v>85854.59</v>
      </c>
      <c r="AB54">
        <v>0</v>
      </c>
      <c r="AC54">
        <v>0</v>
      </c>
      <c r="AD54">
        <v>0</v>
      </c>
      <c r="AE54">
        <v>9550.01</v>
      </c>
      <c r="AF54">
        <v>0</v>
      </c>
      <c r="AG54">
        <v>0</v>
      </c>
      <c r="AH54">
        <v>0</v>
      </c>
      <c r="AI54">
        <v>8.99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1E-4</v>
      </c>
      <c r="AU54" t="s">
        <v>3</v>
      </c>
      <c r="AV54">
        <v>0</v>
      </c>
      <c r="AW54">
        <v>2</v>
      </c>
      <c r="AX54">
        <v>84185926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ROUND(Y54*Source!I97,9)</f>
        <v>1E-4</v>
      </c>
      <c r="CY54">
        <f t="shared" si="22"/>
        <v>85854.59</v>
      </c>
      <c r="CZ54">
        <f t="shared" si="23"/>
        <v>9550.01</v>
      </c>
      <c r="DA54">
        <f t="shared" si="24"/>
        <v>8.99</v>
      </c>
      <c r="DB54">
        <f t="shared" si="20"/>
        <v>0.96</v>
      </c>
      <c r="DC54">
        <f t="shared" si="21"/>
        <v>0</v>
      </c>
      <c r="DD54" t="s">
        <v>3</v>
      </c>
      <c r="DE54" t="s">
        <v>3</v>
      </c>
      <c r="DF54">
        <f>ROUND(ROUND(AE54*AI54,2)*CX54,2)</f>
        <v>8.59</v>
      </c>
      <c r="DG54">
        <f t="shared" si="25"/>
        <v>0</v>
      </c>
      <c r="DH54">
        <f t="shared" si="26"/>
        <v>0</v>
      </c>
      <c r="DI54">
        <f t="shared" si="18"/>
        <v>0</v>
      </c>
      <c r="DJ54">
        <f t="shared" si="27"/>
        <v>8.59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ROW(Source!A97)</f>
        <v>97</v>
      </c>
      <c r="B55">
        <v>84185495</v>
      </c>
      <c r="C55">
        <v>84185900</v>
      </c>
      <c r="D55">
        <v>37750429</v>
      </c>
      <c r="E55">
        <v>1</v>
      </c>
      <c r="F55">
        <v>1</v>
      </c>
      <c r="G55">
        <v>1</v>
      </c>
      <c r="H55">
        <v>3</v>
      </c>
      <c r="I55" t="s">
        <v>146</v>
      </c>
      <c r="J55" t="s">
        <v>149</v>
      </c>
      <c r="K55" t="s">
        <v>147</v>
      </c>
      <c r="L55">
        <v>1346</v>
      </c>
      <c r="N55">
        <v>1009</v>
      </c>
      <c r="O55" t="s">
        <v>148</v>
      </c>
      <c r="P55" t="s">
        <v>148</v>
      </c>
      <c r="Q55">
        <v>1</v>
      </c>
      <c r="W55">
        <v>0</v>
      </c>
      <c r="X55">
        <v>-1695541033</v>
      </c>
      <c r="Y55">
        <f t="shared" si="19"/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1</v>
      </c>
      <c r="AO55">
        <v>0</v>
      </c>
      <c r="AP55">
        <v>1</v>
      </c>
      <c r="AQ55">
        <v>0</v>
      </c>
      <c r="AR55">
        <v>0</v>
      </c>
      <c r="AS55" t="s">
        <v>3</v>
      </c>
      <c r="AT55">
        <v>0</v>
      </c>
      <c r="AU55" t="s">
        <v>3</v>
      </c>
      <c r="AV55">
        <v>0</v>
      </c>
      <c r="AW55">
        <v>2</v>
      </c>
      <c r="AX55">
        <v>84185927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ROUND(Y55*Source!I97,9)</f>
        <v>0</v>
      </c>
      <c r="CY55">
        <f t="shared" si="22"/>
        <v>0</v>
      </c>
      <c r="CZ55">
        <f t="shared" si="23"/>
        <v>0</v>
      </c>
      <c r="DA55">
        <f t="shared" si="24"/>
        <v>1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1" si="28">ROUND(ROUND(AE55,2)*CX55,2)</f>
        <v>0</v>
      </c>
      <c r="DG55">
        <f t="shared" si="25"/>
        <v>0</v>
      </c>
      <c r="DH55">
        <f t="shared" si="26"/>
        <v>0</v>
      </c>
      <c r="DI55">
        <f t="shared" si="18"/>
        <v>0</v>
      </c>
      <c r="DJ55">
        <f t="shared" si="27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ROW(Source!A97)</f>
        <v>97</v>
      </c>
      <c r="B56">
        <v>84185495</v>
      </c>
      <c r="C56">
        <v>84185900</v>
      </c>
      <c r="D56">
        <v>37751168</v>
      </c>
      <c r="E56">
        <v>1</v>
      </c>
      <c r="F56">
        <v>1</v>
      </c>
      <c r="G56">
        <v>1</v>
      </c>
      <c r="H56">
        <v>3</v>
      </c>
      <c r="I56" t="s">
        <v>151</v>
      </c>
      <c r="J56" t="s">
        <v>153</v>
      </c>
      <c r="K56" t="s">
        <v>152</v>
      </c>
      <c r="L56">
        <v>1346</v>
      </c>
      <c r="N56">
        <v>1009</v>
      </c>
      <c r="O56" t="s">
        <v>148</v>
      </c>
      <c r="P56" t="s">
        <v>148</v>
      </c>
      <c r="Q56">
        <v>1</v>
      </c>
      <c r="W56">
        <v>0</v>
      </c>
      <c r="X56">
        <v>-2040775826</v>
      </c>
      <c r="Y56">
        <f t="shared" si="19"/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0</v>
      </c>
      <c r="AN56">
        <v>1</v>
      </c>
      <c r="AO56">
        <v>0</v>
      </c>
      <c r="AP56">
        <v>1</v>
      </c>
      <c r="AQ56">
        <v>0</v>
      </c>
      <c r="AR56">
        <v>0</v>
      </c>
      <c r="AS56" t="s">
        <v>3</v>
      </c>
      <c r="AT56">
        <v>0</v>
      </c>
      <c r="AU56" t="s">
        <v>3</v>
      </c>
      <c r="AV56">
        <v>0</v>
      </c>
      <c r="AW56">
        <v>2</v>
      </c>
      <c r="AX56">
        <v>84185928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ROUND(Y56*Source!I97,9)</f>
        <v>0</v>
      </c>
      <c r="CY56">
        <f t="shared" si="22"/>
        <v>0</v>
      </c>
      <c r="CZ56">
        <f t="shared" si="23"/>
        <v>0</v>
      </c>
      <c r="DA56">
        <f t="shared" si="24"/>
        <v>1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8"/>
        <v>0</v>
      </c>
      <c r="DG56">
        <f t="shared" si="25"/>
        <v>0</v>
      </c>
      <c r="DH56">
        <f t="shared" si="26"/>
        <v>0</v>
      </c>
      <c r="DI56">
        <f t="shared" si="18"/>
        <v>0</v>
      </c>
      <c r="DJ56">
        <f t="shared" si="27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ROW(Source!A104)</f>
        <v>104</v>
      </c>
      <c r="B57">
        <v>84185495</v>
      </c>
      <c r="C57">
        <v>84185935</v>
      </c>
      <c r="D57">
        <v>23135014</v>
      </c>
      <c r="E57">
        <v>1</v>
      </c>
      <c r="F57">
        <v>1</v>
      </c>
      <c r="G57">
        <v>1</v>
      </c>
      <c r="H57">
        <v>1</v>
      </c>
      <c r="I57" t="s">
        <v>507</v>
      </c>
      <c r="J57" t="s">
        <v>3</v>
      </c>
      <c r="K57" t="s">
        <v>508</v>
      </c>
      <c r="L57">
        <v>1369</v>
      </c>
      <c r="N57">
        <v>1013</v>
      </c>
      <c r="O57" t="s">
        <v>430</v>
      </c>
      <c r="P57" t="s">
        <v>430</v>
      </c>
      <c r="Q57">
        <v>1</v>
      </c>
      <c r="W57">
        <v>0</v>
      </c>
      <c r="X57">
        <v>-883932286</v>
      </c>
      <c r="Y57">
        <f t="shared" si="19"/>
        <v>0.81</v>
      </c>
      <c r="AA57">
        <v>0</v>
      </c>
      <c r="AB57">
        <v>0</v>
      </c>
      <c r="AC57">
        <v>0</v>
      </c>
      <c r="AD57">
        <v>7.9</v>
      </c>
      <c r="AE57">
        <v>0</v>
      </c>
      <c r="AF57">
        <v>0</v>
      </c>
      <c r="AG57">
        <v>0</v>
      </c>
      <c r="AH57">
        <v>7.9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0.81</v>
      </c>
      <c r="AU57" t="s">
        <v>3</v>
      </c>
      <c r="AV57">
        <v>1</v>
      </c>
      <c r="AW57">
        <v>2</v>
      </c>
      <c r="AX57">
        <v>84185943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ROUND(AT57*Source!I104*AH57*AL57,2)</f>
        <v>12.8</v>
      </c>
      <c r="CV57">
        <f>ROUND(Y57*Source!I104,9)</f>
        <v>1.62</v>
      </c>
      <c r="CW57">
        <v>0</v>
      </c>
      <c r="CX57">
        <f>ROUND(Y57*Source!I104,9)</f>
        <v>1.62</v>
      </c>
      <c r="CY57">
        <f>AD57</f>
        <v>7.9</v>
      </c>
      <c r="CZ57">
        <f>AH57</f>
        <v>7.9</v>
      </c>
      <c r="DA57">
        <f>AL57</f>
        <v>1</v>
      </c>
      <c r="DB57">
        <f t="shared" si="20"/>
        <v>6.4</v>
      </c>
      <c r="DC57">
        <f t="shared" si="21"/>
        <v>0</v>
      </c>
      <c r="DD57" t="s">
        <v>3</v>
      </c>
      <c r="DE57" t="s">
        <v>3</v>
      </c>
      <c r="DF57">
        <f t="shared" si="28"/>
        <v>0</v>
      </c>
      <c r="DG57">
        <f t="shared" si="25"/>
        <v>0</v>
      </c>
      <c r="DH57">
        <f t="shared" si="26"/>
        <v>0</v>
      </c>
      <c r="DI57">
        <f t="shared" si="18"/>
        <v>12.8</v>
      </c>
      <c r="DJ57">
        <f>DI57</f>
        <v>12.8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ROW(Source!A104)</f>
        <v>104</v>
      </c>
      <c r="B58">
        <v>84185495</v>
      </c>
      <c r="C58">
        <v>84185935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24</v>
      </c>
      <c r="J58" t="s">
        <v>3</v>
      </c>
      <c r="K58" t="s">
        <v>431</v>
      </c>
      <c r="L58">
        <v>608254</v>
      </c>
      <c r="N58">
        <v>1013</v>
      </c>
      <c r="O58" t="s">
        <v>432</v>
      </c>
      <c r="P58" t="s">
        <v>432</v>
      </c>
      <c r="Q58">
        <v>1</v>
      </c>
      <c r="W58">
        <v>0</v>
      </c>
      <c r="X58">
        <v>-185737400</v>
      </c>
      <c r="Y58">
        <f t="shared" si="19"/>
        <v>0.61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0.61</v>
      </c>
      <c r="AU58" t="s">
        <v>3</v>
      </c>
      <c r="AV58">
        <v>2</v>
      </c>
      <c r="AW58">
        <v>2</v>
      </c>
      <c r="AX58">
        <v>84185944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ROUND(Y58*Source!I104,9)</f>
        <v>1.22</v>
      </c>
      <c r="CY58">
        <f>AD58</f>
        <v>0</v>
      </c>
      <c r="CZ58">
        <f>AH58</f>
        <v>0</v>
      </c>
      <c r="DA58">
        <f>AL58</f>
        <v>1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8"/>
        <v>0</v>
      </c>
      <c r="DG58">
        <f t="shared" si="25"/>
        <v>0</v>
      </c>
      <c r="DH58">
        <f t="shared" si="26"/>
        <v>0</v>
      </c>
      <c r="DI58">
        <f t="shared" si="18"/>
        <v>0</v>
      </c>
      <c r="DJ58">
        <f>DI58</f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ROW(Source!A104)</f>
        <v>104</v>
      </c>
      <c r="B59">
        <v>84185495</v>
      </c>
      <c r="C59">
        <v>84185935</v>
      </c>
      <c r="D59">
        <v>37802644</v>
      </c>
      <c r="E59">
        <v>1</v>
      </c>
      <c r="F59">
        <v>1</v>
      </c>
      <c r="G59">
        <v>1</v>
      </c>
      <c r="H59">
        <v>2</v>
      </c>
      <c r="I59" t="s">
        <v>509</v>
      </c>
      <c r="J59" t="s">
        <v>510</v>
      </c>
      <c r="K59" t="s">
        <v>511</v>
      </c>
      <c r="L59">
        <v>1368</v>
      </c>
      <c r="N59">
        <v>1011</v>
      </c>
      <c r="O59" t="s">
        <v>436</v>
      </c>
      <c r="P59" t="s">
        <v>436</v>
      </c>
      <c r="Q59">
        <v>1</v>
      </c>
      <c r="W59">
        <v>0</v>
      </c>
      <c r="X59">
        <v>1153725797</v>
      </c>
      <c r="Y59">
        <f t="shared" si="19"/>
        <v>0.19</v>
      </c>
      <c r="AA59">
        <v>0</v>
      </c>
      <c r="AB59">
        <v>458.56</v>
      </c>
      <c r="AC59">
        <v>0</v>
      </c>
      <c r="AD59">
        <v>0</v>
      </c>
      <c r="AE59">
        <v>0</v>
      </c>
      <c r="AF59">
        <v>14.14</v>
      </c>
      <c r="AG59">
        <v>0</v>
      </c>
      <c r="AH59">
        <v>0</v>
      </c>
      <c r="AI59">
        <v>1</v>
      </c>
      <c r="AJ59">
        <v>32.43</v>
      </c>
      <c r="AK59">
        <v>35.270000000000003</v>
      </c>
      <c r="AL59">
        <v>1</v>
      </c>
      <c r="AM59">
        <v>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0.19</v>
      </c>
      <c r="AU59" t="s">
        <v>3</v>
      </c>
      <c r="AV59">
        <v>0</v>
      </c>
      <c r="AW59">
        <v>2</v>
      </c>
      <c r="AX59">
        <v>84185945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f>ROUND(Y59*Source!I104*DO59,9)</f>
        <v>0</v>
      </c>
      <c r="CX59">
        <f>ROUND(Y59*Source!I104,9)</f>
        <v>0.38</v>
      </c>
      <c r="CY59">
        <f>AB59</f>
        <v>458.56</v>
      </c>
      <c r="CZ59">
        <f>AF59</f>
        <v>14.14</v>
      </c>
      <c r="DA59">
        <f>AJ59</f>
        <v>32.43</v>
      </c>
      <c r="DB59">
        <f t="shared" si="20"/>
        <v>2.69</v>
      </c>
      <c r="DC59">
        <f t="shared" si="21"/>
        <v>0</v>
      </c>
      <c r="DD59" t="s">
        <v>3</v>
      </c>
      <c r="DE59" t="s">
        <v>3</v>
      </c>
      <c r="DF59">
        <f t="shared" si="28"/>
        <v>0</v>
      </c>
      <c r="DG59">
        <f>ROUND(ROUND(AF59*AJ59,2)*CX59,2)</f>
        <v>174.25</v>
      </c>
      <c r="DH59">
        <f>ROUND(ROUND(AG59*AK59,2)*CX59,2)</f>
        <v>0</v>
      </c>
      <c r="DI59">
        <f t="shared" si="18"/>
        <v>0</v>
      </c>
      <c r="DJ59">
        <f>DG59</f>
        <v>174.25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ROW(Source!A104)</f>
        <v>104</v>
      </c>
      <c r="B60">
        <v>84185495</v>
      </c>
      <c r="C60">
        <v>84185935</v>
      </c>
      <c r="D60">
        <v>37802699</v>
      </c>
      <c r="E60">
        <v>1</v>
      </c>
      <c r="F60">
        <v>1</v>
      </c>
      <c r="G60">
        <v>1</v>
      </c>
      <c r="H60">
        <v>2</v>
      </c>
      <c r="I60" t="s">
        <v>512</v>
      </c>
      <c r="J60" t="s">
        <v>513</v>
      </c>
      <c r="K60" t="s">
        <v>514</v>
      </c>
      <c r="L60">
        <v>1368</v>
      </c>
      <c r="N60">
        <v>1011</v>
      </c>
      <c r="O60" t="s">
        <v>436</v>
      </c>
      <c r="P60" t="s">
        <v>436</v>
      </c>
      <c r="Q60">
        <v>1</v>
      </c>
      <c r="W60">
        <v>0</v>
      </c>
      <c r="X60">
        <v>2133576372</v>
      </c>
      <c r="Y60">
        <f t="shared" si="19"/>
        <v>0.61</v>
      </c>
      <c r="AA60">
        <v>0</v>
      </c>
      <c r="AB60">
        <v>893.67</v>
      </c>
      <c r="AC60">
        <v>317.43</v>
      </c>
      <c r="AD60">
        <v>0</v>
      </c>
      <c r="AE60">
        <v>0</v>
      </c>
      <c r="AF60">
        <v>59.38</v>
      </c>
      <c r="AG60">
        <v>9</v>
      </c>
      <c r="AH60">
        <v>0</v>
      </c>
      <c r="AI60">
        <v>1</v>
      </c>
      <c r="AJ60">
        <v>15.05</v>
      </c>
      <c r="AK60">
        <v>35.270000000000003</v>
      </c>
      <c r="AL60">
        <v>1</v>
      </c>
      <c r="AM60">
        <v>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0.61</v>
      </c>
      <c r="AU60" t="s">
        <v>3</v>
      </c>
      <c r="AV60">
        <v>0</v>
      </c>
      <c r="AW60">
        <v>2</v>
      </c>
      <c r="AX60">
        <v>84185946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f>ROUND(Y60*Source!I104*DO60,9)</f>
        <v>0</v>
      </c>
      <c r="CX60">
        <f>ROUND(Y60*Source!I104,9)</f>
        <v>1.22</v>
      </c>
      <c r="CY60">
        <f>AB60</f>
        <v>893.67</v>
      </c>
      <c r="CZ60">
        <f>AF60</f>
        <v>59.38</v>
      </c>
      <c r="DA60">
        <f>AJ60</f>
        <v>15.05</v>
      </c>
      <c r="DB60">
        <f t="shared" si="20"/>
        <v>36.22</v>
      </c>
      <c r="DC60">
        <f t="shared" si="21"/>
        <v>5.49</v>
      </c>
      <c r="DD60" t="s">
        <v>3</v>
      </c>
      <c r="DE60" t="s">
        <v>3</v>
      </c>
      <c r="DF60">
        <f t="shared" si="28"/>
        <v>0</v>
      </c>
      <c r="DG60">
        <f>ROUND(ROUND(AF60*AJ60,2)*CX60,2)</f>
        <v>1090.28</v>
      </c>
      <c r="DH60">
        <f>ROUND(ROUND(AG60*AK60,2)*CX60,2)</f>
        <v>387.26</v>
      </c>
      <c r="DI60">
        <f t="shared" si="18"/>
        <v>0</v>
      </c>
      <c r="DJ60">
        <f>DG60</f>
        <v>1090.28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ROW(Source!A104)</f>
        <v>104</v>
      </c>
      <c r="B61">
        <v>84185495</v>
      </c>
      <c r="C61">
        <v>84185935</v>
      </c>
      <c r="D61">
        <v>37804144</v>
      </c>
      <c r="E61">
        <v>1</v>
      </c>
      <c r="F61">
        <v>1</v>
      </c>
      <c r="G61">
        <v>1</v>
      </c>
      <c r="H61">
        <v>2</v>
      </c>
      <c r="I61" t="s">
        <v>515</v>
      </c>
      <c r="J61" t="s">
        <v>516</v>
      </c>
      <c r="K61" t="s">
        <v>517</v>
      </c>
      <c r="L61">
        <v>1368</v>
      </c>
      <c r="N61">
        <v>1011</v>
      </c>
      <c r="O61" t="s">
        <v>436</v>
      </c>
      <c r="P61" t="s">
        <v>436</v>
      </c>
      <c r="Q61">
        <v>1</v>
      </c>
      <c r="W61">
        <v>0</v>
      </c>
      <c r="X61">
        <v>754598957</v>
      </c>
      <c r="Y61">
        <f t="shared" si="19"/>
        <v>0.61</v>
      </c>
      <c r="AA61">
        <v>0</v>
      </c>
      <c r="AB61">
        <v>468.67</v>
      </c>
      <c r="AC61">
        <v>0</v>
      </c>
      <c r="AD61">
        <v>0</v>
      </c>
      <c r="AE61">
        <v>0</v>
      </c>
      <c r="AF61">
        <v>100.79</v>
      </c>
      <c r="AG61">
        <v>0</v>
      </c>
      <c r="AH61">
        <v>0</v>
      </c>
      <c r="AI61">
        <v>1</v>
      </c>
      <c r="AJ61">
        <v>4.6500000000000004</v>
      </c>
      <c r="AK61">
        <v>35.270000000000003</v>
      </c>
      <c r="AL61">
        <v>1</v>
      </c>
      <c r="AM61">
        <v>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0.61</v>
      </c>
      <c r="AU61" t="s">
        <v>3</v>
      </c>
      <c r="AV61">
        <v>0</v>
      </c>
      <c r="AW61">
        <v>2</v>
      </c>
      <c r="AX61">
        <v>84185947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f>ROUND(Y61*Source!I104*DO61,9)</f>
        <v>0</v>
      </c>
      <c r="CX61">
        <f>ROUND(Y61*Source!I104,9)</f>
        <v>1.22</v>
      </c>
      <c r="CY61">
        <f>AB61</f>
        <v>468.67</v>
      </c>
      <c r="CZ61">
        <f>AF61</f>
        <v>100.79</v>
      </c>
      <c r="DA61">
        <f>AJ61</f>
        <v>4.6500000000000004</v>
      </c>
      <c r="DB61">
        <f t="shared" si="20"/>
        <v>61.48</v>
      </c>
      <c r="DC61">
        <f t="shared" si="21"/>
        <v>0</v>
      </c>
      <c r="DD61" t="s">
        <v>3</v>
      </c>
      <c r="DE61" t="s">
        <v>3</v>
      </c>
      <c r="DF61">
        <f t="shared" si="28"/>
        <v>0</v>
      </c>
      <c r="DG61">
        <f>ROUND(ROUND(AF61*AJ61,2)*CX61,2)</f>
        <v>571.78</v>
      </c>
      <c r="DH61">
        <f>ROUND(ROUND(AG61*AK61,2)*CX61,2)</f>
        <v>0</v>
      </c>
      <c r="DI61">
        <f t="shared" si="18"/>
        <v>0</v>
      </c>
      <c r="DJ61">
        <f>DG61</f>
        <v>571.78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84185495</v>
      </c>
      <c r="C62">
        <v>84185935</v>
      </c>
      <c r="D62">
        <v>37736609</v>
      </c>
      <c r="E62">
        <v>1</v>
      </c>
      <c r="F62">
        <v>1</v>
      </c>
      <c r="G62">
        <v>1</v>
      </c>
      <c r="H62">
        <v>3</v>
      </c>
      <c r="I62" t="s">
        <v>518</v>
      </c>
      <c r="J62" t="s">
        <v>519</v>
      </c>
      <c r="K62" t="s">
        <v>520</v>
      </c>
      <c r="L62">
        <v>1348</v>
      </c>
      <c r="N62">
        <v>1009</v>
      </c>
      <c r="O62" t="s">
        <v>126</v>
      </c>
      <c r="P62" t="s">
        <v>126</v>
      </c>
      <c r="Q62">
        <v>1000</v>
      </c>
      <c r="W62">
        <v>0</v>
      </c>
      <c r="X62">
        <v>1483167196</v>
      </c>
      <c r="Y62">
        <f t="shared" si="19"/>
        <v>3.0000000000000001E-5</v>
      </c>
      <c r="AA62">
        <v>119730</v>
      </c>
      <c r="AB62">
        <v>0</v>
      </c>
      <c r="AC62">
        <v>0</v>
      </c>
      <c r="AD62">
        <v>0</v>
      </c>
      <c r="AE62">
        <v>9750</v>
      </c>
      <c r="AF62">
        <v>0</v>
      </c>
      <c r="AG62">
        <v>0</v>
      </c>
      <c r="AH62">
        <v>0</v>
      </c>
      <c r="AI62">
        <v>12.28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3.0000000000000001E-5</v>
      </c>
      <c r="AU62" t="s">
        <v>3</v>
      </c>
      <c r="AV62">
        <v>0</v>
      </c>
      <c r="AW62">
        <v>2</v>
      </c>
      <c r="AX62">
        <v>84185948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v>0</v>
      </c>
      <c r="CX62">
        <f>ROUND(Y62*Source!I104,9)</f>
        <v>6.0000000000000002E-5</v>
      </c>
      <c r="CY62">
        <f>AA62</f>
        <v>119730</v>
      </c>
      <c r="CZ62">
        <f>AE62</f>
        <v>9750</v>
      </c>
      <c r="DA62">
        <f>AI62</f>
        <v>12.28</v>
      </c>
      <c r="DB62">
        <f t="shared" si="20"/>
        <v>0.28999999999999998</v>
      </c>
      <c r="DC62">
        <f t="shared" si="21"/>
        <v>0</v>
      </c>
      <c r="DD62" t="s">
        <v>3</v>
      </c>
      <c r="DE62" t="s">
        <v>3</v>
      </c>
      <c r="DF62">
        <f>ROUND(ROUND(AE62*AI62,2)*CX62,2)</f>
        <v>7.18</v>
      </c>
      <c r="DG62">
        <f>ROUND(ROUND(AF62,2)*CX62,2)</f>
        <v>0</v>
      </c>
      <c r="DH62">
        <f>ROUND(ROUND(AG62,2)*CX62,2)</f>
        <v>0</v>
      </c>
      <c r="DI62">
        <f t="shared" si="18"/>
        <v>0</v>
      </c>
      <c r="DJ62">
        <f>DF62</f>
        <v>7.18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84185495</v>
      </c>
      <c r="C63">
        <v>84185935</v>
      </c>
      <c r="D63">
        <v>37753212</v>
      </c>
      <c r="E63">
        <v>1</v>
      </c>
      <c r="F63">
        <v>1</v>
      </c>
      <c r="G63">
        <v>1</v>
      </c>
      <c r="H63">
        <v>3</v>
      </c>
      <c r="I63" t="s">
        <v>232</v>
      </c>
      <c r="J63" t="s">
        <v>234</v>
      </c>
      <c r="K63" t="s">
        <v>233</v>
      </c>
      <c r="L63">
        <v>1348</v>
      </c>
      <c r="N63">
        <v>1009</v>
      </c>
      <c r="O63" t="s">
        <v>126</v>
      </c>
      <c r="P63" t="s">
        <v>126</v>
      </c>
      <c r="Q63">
        <v>1000</v>
      </c>
      <c r="W63">
        <v>1</v>
      </c>
      <c r="X63">
        <v>1308337192</v>
      </c>
      <c r="Y63">
        <f t="shared" si="19"/>
        <v>-5.0000000000000001E-3</v>
      </c>
      <c r="AA63">
        <v>69434.820000000007</v>
      </c>
      <c r="AB63">
        <v>0</v>
      </c>
      <c r="AC63">
        <v>0</v>
      </c>
      <c r="AD63">
        <v>0</v>
      </c>
      <c r="AE63">
        <v>6594</v>
      </c>
      <c r="AF63">
        <v>0</v>
      </c>
      <c r="AG63">
        <v>0</v>
      </c>
      <c r="AH63">
        <v>0</v>
      </c>
      <c r="AI63">
        <v>10.53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-5.0000000000000001E-3</v>
      </c>
      <c r="AU63" t="s">
        <v>3</v>
      </c>
      <c r="AV63">
        <v>0</v>
      </c>
      <c r="AW63">
        <v>2</v>
      </c>
      <c r="AX63">
        <v>84185949</v>
      </c>
      <c r="AY63">
        <v>1</v>
      </c>
      <c r="AZ63">
        <v>6144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ROUND(Y63*Source!I104,9)</f>
        <v>-0.01</v>
      </c>
      <c r="CY63">
        <f>AA63</f>
        <v>69434.820000000007</v>
      </c>
      <c r="CZ63">
        <f>AE63</f>
        <v>6594</v>
      </c>
      <c r="DA63">
        <f>AI63</f>
        <v>10.53</v>
      </c>
      <c r="DB63">
        <f t="shared" si="20"/>
        <v>-32.97</v>
      </c>
      <c r="DC63">
        <f t="shared" si="21"/>
        <v>0</v>
      </c>
      <c r="DD63" t="s">
        <v>3</v>
      </c>
      <c r="DE63" t="s">
        <v>3</v>
      </c>
      <c r="DF63">
        <f>ROUND(ROUND(AE63*AI63,2)*CX63,2)</f>
        <v>-694.35</v>
      </c>
      <c r="DG63">
        <f>ROUND(ROUND(AF63,2)*CX63,2)</f>
        <v>0</v>
      </c>
      <c r="DH63">
        <f>ROUND(ROUND(AG63,2)*CX63,2)</f>
        <v>0</v>
      </c>
      <c r="DI63">
        <f t="shared" si="18"/>
        <v>0</v>
      </c>
      <c r="DJ63">
        <f>DF63</f>
        <v>-694.35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ROW(Source!A107)</f>
        <v>107</v>
      </c>
      <c r="B64">
        <v>84185495</v>
      </c>
      <c r="C64">
        <v>84185952</v>
      </c>
      <c r="D64">
        <v>23135499</v>
      </c>
      <c r="E64">
        <v>1</v>
      </c>
      <c r="F64">
        <v>1</v>
      </c>
      <c r="G64">
        <v>1</v>
      </c>
      <c r="H64">
        <v>1</v>
      </c>
      <c r="I64" t="s">
        <v>521</v>
      </c>
      <c r="J64" t="s">
        <v>3</v>
      </c>
      <c r="K64" t="s">
        <v>522</v>
      </c>
      <c r="L64">
        <v>1369</v>
      </c>
      <c r="N64">
        <v>1013</v>
      </c>
      <c r="O64" t="s">
        <v>430</v>
      </c>
      <c r="P64" t="s">
        <v>430</v>
      </c>
      <c r="Q64">
        <v>1</v>
      </c>
      <c r="W64">
        <v>0</v>
      </c>
      <c r="X64">
        <v>-499460097</v>
      </c>
      <c r="Y64">
        <f t="shared" si="19"/>
        <v>28.59</v>
      </c>
      <c r="AA64">
        <v>0</v>
      </c>
      <c r="AB64">
        <v>0</v>
      </c>
      <c r="AC64">
        <v>0</v>
      </c>
      <c r="AD64">
        <v>8.99</v>
      </c>
      <c r="AE64">
        <v>0</v>
      </c>
      <c r="AF64">
        <v>0</v>
      </c>
      <c r="AG64">
        <v>0</v>
      </c>
      <c r="AH64">
        <v>8.99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28.59</v>
      </c>
      <c r="AU64" t="s">
        <v>3</v>
      </c>
      <c r="AV64">
        <v>1</v>
      </c>
      <c r="AW64">
        <v>2</v>
      </c>
      <c r="AX64">
        <v>84185959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ROUND(AT64*Source!I107*AH64*AL64,2)</f>
        <v>257.02</v>
      </c>
      <c r="CV64">
        <f>ROUND(Y64*Source!I107,9)</f>
        <v>28.59</v>
      </c>
      <c r="CW64">
        <v>0</v>
      </c>
      <c r="CX64">
        <f>ROUND(Y64*Source!I107,9)</f>
        <v>28.59</v>
      </c>
      <c r="CY64">
        <f>AD64</f>
        <v>8.99</v>
      </c>
      <c r="CZ64">
        <f>AH64</f>
        <v>8.99</v>
      </c>
      <c r="DA64">
        <f>AL64</f>
        <v>1</v>
      </c>
      <c r="DB64">
        <f t="shared" si="20"/>
        <v>257.02</v>
      </c>
      <c r="DC64">
        <f t="shared" si="21"/>
        <v>0</v>
      </c>
      <c r="DD64" t="s">
        <v>3</v>
      </c>
      <c r="DE64" t="s">
        <v>3</v>
      </c>
      <c r="DF64">
        <f t="shared" ref="DF64:DF76" si="29">ROUND(ROUND(AE64,2)*CX64,2)</f>
        <v>0</v>
      </c>
      <c r="DG64">
        <f>ROUND(ROUND(AF64,2)*CX64,2)</f>
        <v>0</v>
      </c>
      <c r="DH64">
        <f>ROUND(ROUND(AG64,2)*CX64,2)</f>
        <v>0</v>
      </c>
      <c r="DI64">
        <f t="shared" si="18"/>
        <v>257.02</v>
      </c>
      <c r="DJ64">
        <f>DI64</f>
        <v>257.02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ROW(Source!A107)</f>
        <v>107</v>
      </c>
      <c r="B65">
        <v>84185495</v>
      </c>
      <c r="C65">
        <v>84185952</v>
      </c>
      <c r="D65">
        <v>121548</v>
      </c>
      <c r="E65">
        <v>1</v>
      </c>
      <c r="F65">
        <v>1</v>
      </c>
      <c r="G65">
        <v>1</v>
      </c>
      <c r="H65">
        <v>1</v>
      </c>
      <c r="I65" t="s">
        <v>24</v>
      </c>
      <c r="J65" t="s">
        <v>3</v>
      </c>
      <c r="K65" t="s">
        <v>431</v>
      </c>
      <c r="L65">
        <v>608254</v>
      </c>
      <c r="N65">
        <v>1013</v>
      </c>
      <c r="O65" t="s">
        <v>432</v>
      </c>
      <c r="P65" t="s">
        <v>432</v>
      </c>
      <c r="Q65">
        <v>1</v>
      </c>
      <c r="W65">
        <v>0</v>
      </c>
      <c r="X65">
        <v>-185737400</v>
      </c>
      <c r="Y65">
        <f t="shared" si="19"/>
        <v>8.4499999999999993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8.4499999999999993</v>
      </c>
      <c r="AU65" t="s">
        <v>3</v>
      </c>
      <c r="AV65">
        <v>2</v>
      </c>
      <c r="AW65">
        <v>2</v>
      </c>
      <c r="AX65">
        <v>84185960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ROUND(Y65*Source!I107,9)</f>
        <v>8.4499999999999993</v>
      </c>
      <c r="CY65">
        <f>AD65</f>
        <v>0</v>
      </c>
      <c r="CZ65">
        <f>AH65</f>
        <v>0</v>
      </c>
      <c r="DA65">
        <f>AL65</f>
        <v>1</v>
      </c>
      <c r="DB65">
        <f t="shared" si="20"/>
        <v>0</v>
      </c>
      <c r="DC65">
        <f t="shared" si="21"/>
        <v>0</v>
      </c>
      <c r="DD65" t="s">
        <v>3</v>
      </c>
      <c r="DE65" t="s">
        <v>3</v>
      </c>
      <c r="DF65">
        <f t="shared" si="29"/>
        <v>0</v>
      </c>
      <c r="DG65">
        <f>ROUND(ROUND(AF65,2)*CX65,2)</f>
        <v>0</v>
      </c>
      <c r="DH65">
        <f>ROUND(ROUND(AG65,2)*CX65,2)</f>
        <v>0</v>
      </c>
      <c r="DI65">
        <f t="shared" ref="DI65:DI96" si="30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ROW(Source!A107)</f>
        <v>107</v>
      </c>
      <c r="B66">
        <v>84185495</v>
      </c>
      <c r="C66">
        <v>84185952</v>
      </c>
      <c r="D66">
        <v>37802443</v>
      </c>
      <c r="E66">
        <v>1</v>
      </c>
      <c r="F66">
        <v>1</v>
      </c>
      <c r="G66">
        <v>1</v>
      </c>
      <c r="H66">
        <v>2</v>
      </c>
      <c r="I66" t="s">
        <v>454</v>
      </c>
      <c r="J66" t="s">
        <v>455</v>
      </c>
      <c r="K66" t="s">
        <v>456</v>
      </c>
      <c r="L66">
        <v>1368</v>
      </c>
      <c r="N66">
        <v>1011</v>
      </c>
      <c r="O66" t="s">
        <v>436</v>
      </c>
      <c r="P66" t="s">
        <v>436</v>
      </c>
      <c r="Q66">
        <v>1</v>
      </c>
      <c r="W66">
        <v>0</v>
      </c>
      <c r="X66">
        <v>1447433125</v>
      </c>
      <c r="Y66">
        <f t="shared" si="19"/>
        <v>2.67</v>
      </c>
      <c r="AA66">
        <v>0</v>
      </c>
      <c r="AB66">
        <v>1453.68</v>
      </c>
      <c r="AC66">
        <v>426.77</v>
      </c>
      <c r="AD66">
        <v>0</v>
      </c>
      <c r="AE66">
        <v>0</v>
      </c>
      <c r="AF66">
        <v>124.14</v>
      </c>
      <c r="AG66">
        <v>12.1</v>
      </c>
      <c r="AH66">
        <v>0</v>
      </c>
      <c r="AI66">
        <v>1</v>
      </c>
      <c r="AJ66">
        <v>11.71</v>
      </c>
      <c r="AK66">
        <v>35.270000000000003</v>
      </c>
      <c r="AL66">
        <v>1</v>
      </c>
      <c r="AM66">
        <v>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2.67</v>
      </c>
      <c r="AU66" t="s">
        <v>3</v>
      </c>
      <c r="AV66">
        <v>0</v>
      </c>
      <c r="AW66">
        <v>2</v>
      </c>
      <c r="AX66">
        <v>84185961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ROUND(Y66*Source!I107*DO66,9)</f>
        <v>0</v>
      </c>
      <c r="CX66">
        <f>ROUND(Y66*Source!I107,9)</f>
        <v>2.67</v>
      </c>
      <c r="CY66">
        <f>AB66</f>
        <v>1453.68</v>
      </c>
      <c r="CZ66">
        <f>AF66</f>
        <v>124.14</v>
      </c>
      <c r="DA66">
        <f>AJ66</f>
        <v>11.71</v>
      </c>
      <c r="DB66">
        <f t="shared" si="20"/>
        <v>331.45</v>
      </c>
      <c r="DC66">
        <f t="shared" si="21"/>
        <v>32.31</v>
      </c>
      <c r="DD66" t="s">
        <v>3</v>
      </c>
      <c r="DE66" t="s">
        <v>3</v>
      </c>
      <c r="DF66">
        <f t="shared" si="29"/>
        <v>0</v>
      </c>
      <c r="DG66">
        <f>ROUND(ROUND(AF66*AJ66,2)*CX66,2)</f>
        <v>3881.33</v>
      </c>
      <c r="DH66">
        <f>ROUND(ROUND(AG66*AK66,2)*CX66,2)</f>
        <v>1139.48</v>
      </c>
      <c r="DI66">
        <f t="shared" si="30"/>
        <v>0</v>
      </c>
      <c r="DJ66">
        <f>DG66</f>
        <v>3881.33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ROW(Source!A107)</f>
        <v>107</v>
      </c>
      <c r="B67">
        <v>84185495</v>
      </c>
      <c r="C67">
        <v>84185952</v>
      </c>
      <c r="D67">
        <v>37802579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436</v>
      </c>
      <c r="P67" t="s">
        <v>436</v>
      </c>
      <c r="Q67">
        <v>1</v>
      </c>
      <c r="W67">
        <v>0</v>
      </c>
      <c r="X67">
        <v>1698075389</v>
      </c>
      <c r="Y67">
        <f t="shared" si="19"/>
        <v>5.78</v>
      </c>
      <c r="AA67">
        <v>0</v>
      </c>
      <c r="AB67">
        <v>898.36</v>
      </c>
      <c r="AC67">
        <v>317.43</v>
      </c>
      <c r="AD67">
        <v>0</v>
      </c>
      <c r="AE67">
        <v>0</v>
      </c>
      <c r="AF67">
        <v>85.64</v>
      </c>
      <c r="AG67">
        <v>9</v>
      </c>
      <c r="AH67">
        <v>0</v>
      </c>
      <c r="AI67">
        <v>1</v>
      </c>
      <c r="AJ67">
        <v>10.49</v>
      </c>
      <c r="AK67">
        <v>35.270000000000003</v>
      </c>
      <c r="AL67">
        <v>1</v>
      </c>
      <c r="AM67">
        <v>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5.78</v>
      </c>
      <c r="AU67" t="s">
        <v>3</v>
      </c>
      <c r="AV67">
        <v>0</v>
      </c>
      <c r="AW67">
        <v>2</v>
      </c>
      <c r="AX67">
        <v>84185962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f>ROUND(Y67*Source!I107*DO67,9)</f>
        <v>0</v>
      </c>
      <c r="CX67">
        <f>ROUND(Y67*Source!I107,9)</f>
        <v>5.78</v>
      </c>
      <c r="CY67">
        <f>AB67</f>
        <v>898.36</v>
      </c>
      <c r="CZ67">
        <f>AF67</f>
        <v>85.64</v>
      </c>
      <c r="DA67">
        <f>AJ67</f>
        <v>10.49</v>
      </c>
      <c r="DB67">
        <f t="shared" si="20"/>
        <v>495</v>
      </c>
      <c r="DC67">
        <f t="shared" si="21"/>
        <v>52.02</v>
      </c>
      <c r="DD67" t="s">
        <v>3</v>
      </c>
      <c r="DE67" t="s">
        <v>3</v>
      </c>
      <c r="DF67">
        <f t="shared" si="29"/>
        <v>0</v>
      </c>
      <c r="DG67">
        <f>ROUND(ROUND(AF67*AJ67,2)*CX67,2)</f>
        <v>5192.5200000000004</v>
      </c>
      <c r="DH67">
        <f>ROUND(ROUND(AG67*AK67,2)*CX67,2)</f>
        <v>1834.75</v>
      </c>
      <c r="DI67">
        <f t="shared" si="30"/>
        <v>0</v>
      </c>
      <c r="DJ67">
        <f>DG67</f>
        <v>5192.5200000000004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ROW(Source!A107)</f>
        <v>107</v>
      </c>
      <c r="B68">
        <v>84185495</v>
      </c>
      <c r="C68">
        <v>84185952</v>
      </c>
      <c r="D68">
        <v>37804456</v>
      </c>
      <c r="E68">
        <v>1</v>
      </c>
      <c r="F68">
        <v>1</v>
      </c>
      <c r="G68">
        <v>1</v>
      </c>
      <c r="H68">
        <v>2</v>
      </c>
      <c r="I68" t="s">
        <v>437</v>
      </c>
      <c r="J68" t="s">
        <v>438</v>
      </c>
      <c r="K68" t="s">
        <v>439</v>
      </c>
      <c r="L68">
        <v>1368</v>
      </c>
      <c r="N68">
        <v>1011</v>
      </c>
      <c r="O68" t="s">
        <v>436</v>
      </c>
      <c r="P68" t="s">
        <v>436</v>
      </c>
      <c r="Q68">
        <v>1</v>
      </c>
      <c r="W68">
        <v>0</v>
      </c>
      <c r="X68">
        <v>-671646184</v>
      </c>
      <c r="Y68">
        <f t="shared" si="19"/>
        <v>1.43</v>
      </c>
      <c r="AA68">
        <v>0</v>
      </c>
      <c r="AB68">
        <v>1305.74</v>
      </c>
      <c r="AC68">
        <v>365.04</v>
      </c>
      <c r="AD68">
        <v>0</v>
      </c>
      <c r="AE68">
        <v>0</v>
      </c>
      <c r="AF68">
        <v>91.76</v>
      </c>
      <c r="AG68">
        <v>10.35</v>
      </c>
      <c r="AH68">
        <v>0</v>
      </c>
      <c r="AI68">
        <v>1</v>
      </c>
      <c r="AJ68">
        <v>14.23</v>
      </c>
      <c r="AK68">
        <v>35.270000000000003</v>
      </c>
      <c r="AL68">
        <v>1</v>
      </c>
      <c r="AM68">
        <v>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1.43</v>
      </c>
      <c r="AU68" t="s">
        <v>3</v>
      </c>
      <c r="AV68">
        <v>0</v>
      </c>
      <c r="AW68">
        <v>2</v>
      </c>
      <c r="AX68">
        <v>84185963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f>ROUND(Y68*Source!I107*DO68,9)</f>
        <v>0</v>
      </c>
      <c r="CX68">
        <f>ROUND(Y68*Source!I107,9)</f>
        <v>1.43</v>
      </c>
      <c r="CY68">
        <f>AB68</f>
        <v>1305.74</v>
      </c>
      <c r="CZ68">
        <f>AF68</f>
        <v>91.76</v>
      </c>
      <c r="DA68">
        <f>AJ68</f>
        <v>14.23</v>
      </c>
      <c r="DB68">
        <f t="shared" si="20"/>
        <v>131.22</v>
      </c>
      <c r="DC68">
        <f t="shared" si="21"/>
        <v>14.8</v>
      </c>
      <c r="DD68" t="s">
        <v>3</v>
      </c>
      <c r="DE68" t="s">
        <v>3</v>
      </c>
      <c r="DF68">
        <f t="shared" si="29"/>
        <v>0</v>
      </c>
      <c r="DG68">
        <f>ROUND(ROUND(AF68*AJ68,2)*CX68,2)</f>
        <v>1867.21</v>
      </c>
      <c r="DH68">
        <f>ROUND(ROUND(AG68*AK68,2)*CX68,2)</f>
        <v>522.01</v>
      </c>
      <c r="DI68">
        <f t="shared" si="30"/>
        <v>0</v>
      </c>
      <c r="DJ68">
        <f>DG68</f>
        <v>1867.21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ROW(Source!A107)</f>
        <v>107</v>
      </c>
      <c r="B69">
        <v>84185495</v>
      </c>
      <c r="C69">
        <v>84185952</v>
      </c>
      <c r="D69">
        <v>37750429</v>
      </c>
      <c r="E69">
        <v>1</v>
      </c>
      <c r="F69">
        <v>1</v>
      </c>
      <c r="G69">
        <v>1</v>
      </c>
      <c r="H69">
        <v>3</v>
      </c>
      <c r="I69" t="s">
        <v>146</v>
      </c>
      <c r="J69" t="s">
        <v>149</v>
      </c>
      <c r="K69" t="s">
        <v>147</v>
      </c>
      <c r="L69">
        <v>1346</v>
      </c>
      <c r="N69">
        <v>1009</v>
      </c>
      <c r="O69" t="s">
        <v>148</v>
      </c>
      <c r="P69" t="s">
        <v>148</v>
      </c>
      <c r="Q69">
        <v>1</v>
      </c>
      <c r="W69">
        <v>0</v>
      </c>
      <c r="X69">
        <v>-1695541033</v>
      </c>
      <c r="Y69">
        <f t="shared" si="19"/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0</v>
      </c>
      <c r="AN69">
        <v>1</v>
      </c>
      <c r="AO69">
        <v>0</v>
      </c>
      <c r="AP69">
        <v>1</v>
      </c>
      <c r="AQ69">
        <v>0</v>
      </c>
      <c r="AR69">
        <v>0</v>
      </c>
      <c r="AS69" t="s">
        <v>3</v>
      </c>
      <c r="AT69">
        <v>0</v>
      </c>
      <c r="AU69" t="s">
        <v>3</v>
      </c>
      <c r="AV69">
        <v>0</v>
      </c>
      <c r="AW69">
        <v>2</v>
      </c>
      <c r="AX69">
        <v>84185964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ROUND(Y69*Source!I107,9)</f>
        <v>0</v>
      </c>
      <c r="CY69">
        <f>AA69</f>
        <v>0</v>
      </c>
      <c r="CZ69">
        <f>AE69</f>
        <v>0</v>
      </c>
      <c r="DA69">
        <f>AI69</f>
        <v>1</v>
      </c>
      <c r="DB69">
        <f t="shared" si="20"/>
        <v>0</v>
      </c>
      <c r="DC69">
        <f t="shared" si="21"/>
        <v>0</v>
      </c>
      <c r="DD69" t="s">
        <v>3</v>
      </c>
      <c r="DE69" t="s">
        <v>3</v>
      </c>
      <c r="DF69">
        <f t="shared" si="29"/>
        <v>0</v>
      </c>
      <c r="DG69">
        <f>ROUND(ROUND(AF69,2)*CX69,2)</f>
        <v>0</v>
      </c>
      <c r="DH69">
        <f>ROUND(ROUND(AG69,2)*CX69,2)</f>
        <v>0</v>
      </c>
      <c r="DI69">
        <f t="shared" si="30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ROW(Source!A111)</f>
        <v>111</v>
      </c>
      <c r="B70">
        <v>84185495</v>
      </c>
      <c r="C70">
        <v>84193094</v>
      </c>
      <c r="D70">
        <v>23129555</v>
      </c>
      <c r="E70">
        <v>1</v>
      </c>
      <c r="F70">
        <v>1</v>
      </c>
      <c r="G70">
        <v>1</v>
      </c>
      <c r="H70">
        <v>1</v>
      </c>
      <c r="I70" t="s">
        <v>523</v>
      </c>
      <c r="J70" t="s">
        <v>3</v>
      </c>
      <c r="K70" t="s">
        <v>524</v>
      </c>
      <c r="L70">
        <v>1369</v>
      </c>
      <c r="N70">
        <v>1013</v>
      </c>
      <c r="O70" t="s">
        <v>430</v>
      </c>
      <c r="P70" t="s">
        <v>430</v>
      </c>
      <c r="Q70">
        <v>1</v>
      </c>
      <c r="W70">
        <v>0</v>
      </c>
      <c r="X70">
        <v>1250814213</v>
      </c>
      <c r="Y70">
        <f t="shared" si="19"/>
        <v>154</v>
      </c>
      <c r="AA70">
        <v>0</v>
      </c>
      <c r="AB70">
        <v>0</v>
      </c>
      <c r="AC70">
        <v>0</v>
      </c>
      <c r="AD70">
        <v>7.29</v>
      </c>
      <c r="AE70">
        <v>0</v>
      </c>
      <c r="AF70">
        <v>0</v>
      </c>
      <c r="AG70">
        <v>0</v>
      </c>
      <c r="AH70">
        <v>7.29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154</v>
      </c>
      <c r="AU70" t="s">
        <v>3</v>
      </c>
      <c r="AV70">
        <v>1</v>
      </c>
      <c r="AW70">
        <v>2</v>
      </c>
      <c r="AX70">
        <v>84193096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ROUND(AT70*Source!I111*AH70*AL70,2)</f>
        <v>28.07</v>
      </c>
      <c r="CV70">
        <f>ROUND(Y70*Source!I111,9)</f>
        <v>3.85</v>
      </c>
      <c r="CW70">
        <v>0</v>
      </c>
      <c r="CX70">
        <f>ROUND(Y70*Source!I111,9)</f>
        <v>3.85</v>
      </c>
      <c r="CY70">
        <f>AD70</f>
        <v>7.29</v>
      </c>
      <c r="CZ70">
        <f>AH70</f>
        <v>7.29</v>
      </c>
      <c r="DA70">
        <f>AL70</f>
        <v>1</v>
      </c>
      <c r="DB70">
        <f t="shared" si="20"/>
        <v>1122.6600000000001</v>
      </c>
      <c r="DC70">
        <f t="shared" si="21"/>
        <v>0</v>
      </c>
      <c r="DD70" t="s">
        <v>3</v>
      </c>
      <c r="DE70" t="s">
        <v>3</v>
      </c>
      <c r="DF70">
        <f t="shared" si="29"/>
        <v>0</v>
      </c>
      <c r="DG70">
        <f>ROUND(ROUND(AF70,2)*CX70,2)</f>
        <v>0</v>
      </c>
      <c r="DH70">
        <f>ROUND(ROUND(AG70,2)*CX70,2)</f>
        <v>0</v>
      </c>
      <c r="DI70">
        <f t="shared" si="30"/>
        <v>28.07</v>
      </c>
      <c r="DJ70">
        <f>DI70</f>
        <v>28.07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ROW(Source!A112)</f>
        <v>112</v>
      </c>
      <c r="B71">
        <v>84185495</v>
      </c>
      <c r="C71">
        <v>84205137</v>
      </c>
      <c r="D71">
        <v>23135960</v>
      </c>
      <c r="E71">
        <v>1</v>
      </c>
      <c r="F71">
        <v>1</v>
      </c>
      <c r="G71">
        <v>1</v>
      </c>
      <c r="H71">
        <v>1</v>
      </c>
      <c r="I71" t="s">
        <v>525</v>
      </c>
      <c r="J71" t="s">
        <v>3</v>
      </c>
      <c r="K71" t="s">
        <v>526</v>
      </c>
      <c r="L71">
        <v>1369</v>
      </c>
      <c r="N71">
        <v>1013</v>
      </c>
      <c r="O71" t="s">
        <v>430</v>
      </c>
      <c r="P71" t="s">
        <v>430</v>
      </c>
      <c r="Q71">
        <v>1</v>
      </c>
      <c r="W71">
        <v>0</v>
      </c>
      <c r="X71">
        <v>-486278812</v>
      </c>
      <c r="Y71">
        <f t="shared" ref="Y71:Y102" si="31">AT71</f>
        <v>97.2</v>
      </c>
      <c r="AA71">
        <v>0</v>
      </c>
      <c r="AB71">
        <v>0</v>
      </c>
      <c r="AC71">
        <v>0</v>
      </c>
      <c r="AD71">
        <v>7.01</v>
      </c>
      <c r="AE71">
        <v>0</v>
      </c>
      <c r="AF71">
        <v>0</v>
      </c>
      <c r="AG71">
        <v>0</v>
      </c>
      <c r="AH71">
        <v>7.01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97.2</v>
      </c>
      <c r="AU71" t="s">
        <v>3</v>
      </c>
      <c r="AV71">
        <v>1</v>
      </c>
      <c r="AW71">
        <v>2</v>
      </c>
      <c r="AX71">
        <v>84205139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ROUND(AT71*Source!I112*AH71*AL71,2)</f>
        <v>17.03</v>
      </c>
      <c r="CV71">
        <f>ROUND(Y71*Source!I112,9)</f>
        <v>2.4300000000000002</v>
      </c>
      <c r="CW71">
        <v>0</v>
      </c>
      <c r="CX71">
        <f>ROUND(Y71*Source!I112,9)</f>
        <v>2.4300000000000002</v>
      </c>
      <c r="CY71">
        <f>AD71</f>
        <v>7.01</v>
      </c>
      <c r="CZ71">
        <f>AH71</f>
        <v>7.01</v>
      </c>
      <c r="DA71">
        <f>AL71</f>
        <v>1</v>
      </c>
      <c r="DB71">
        <f t="shared" ref="DB71:DB102" si="32">ROUND(ROUND(AT71*CZ71,2),2)</f>
        <v>681.37</v>
      </c>
      <c r="DC71">
        <f t="shared" ref="DC71:DC102" si="33">ROUND(ROUND(AT71*AG71,2),2)</f>
        <v>0</v>
      </c>
      <c r="DD71" t="s">
        <v>3</v>
      </c>
      <c r="DE71" t="s">
        <v>3</v>
      </c>
      <c r="DF71">
        <f t="shared" si="29"/>
        <v>0</v>
      </c>
      <c r="DG71">
        <f>ROUND(ROUND(AF71,2)*CX71,2)</f>
        <v>0</v>
      </c>
      <c r="DH71">
        <f>ROUND(ROUND(AG71,2)*CX71,2)</f>
        <v>0</v>
      </c>
      <c r="DI71">
        <f t="shared" si="30"/>
        <v>17.03</v>
      </c>
      <c r="DJ71">
        <f>DI71</f>
        <v>17.03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ROW(Source!A113)</f>
        <v>113</v>
      </c>
      <c r="B72">
        <v>84185495</v>
      </c>
      <c r="C72">
        <v>84193097</v>
      </c>
      <c r="D72">
        <v>23351341</v>
      </c>
      <c r="E72">
        <v>1</v>
      </c>
      <c r="F72">
        <v>1</v>
      </c>
      <c r="G72">
        <v>1</v>
      </c>
      <c r="H72">
        <v>1</v>
      </c>
      <c r="I72" t="s">
        <v>527</v>
      </c>
      <c r="J72" t="s">
        <v>3</v>
      </c>
      <c r="K72" t="s">
        <v>528</v>
      </c>
      <c r="L72">
        <v>1369</v>
      </c>
      <c r="N72">
        <v>1013</v>
      </c>
      <c r="O72" t="s">
        <v>430</v>
      </c>
      <c r="P72" t="s">
        <v>430</v>
      </c>
      <c r="Q72">
        <v>1</v>
      </c>
      <c r="W72">
        <v>0</v>
      </c>
      <c r="X72">
        <v>1903430866</v>
      </c>
      <c r="Y72">
        <f t="shared" si="31"/>
        <v>16.600000000000001</v>
      </c>
      <c r="AA72">
        <v>0</v>
      </c>
      <c r="AB72">
        <v>0</v>
      </c>
      <c r="AC72">
        <v>0</v>
      </c>
      <c r="AD72">
        <v>8.7899999999999991</v>
      </c>
      <c r="AE72">
        <v>0</v>
      </c>
      <c r="AF72">
        <v>0</v>
      </c>
      <c r="AG72">
        <v>0</v>
      </c>
      <c r="AH72">
        <v>8.7899999999999991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16.600000000000001</v>
      </c>
      <c r="AU72" t="s">
        <v>3</v>
      </c>
      <c r="AV72">
        <v>1</v>
      </c>
      <c r="AW72">
        <v>2</v>
      </c>
      <c r="AX72">
        <v>84193106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ROUND(AT72*Source!I113*AH72*AL72,2)</f>
        <v>13.13</v>
      </c>
      <c r="CV72">
        <f>ROUND(Y72*Source!I113,9)</f>
        <v>1.494</v>
      </c>
      <c r="CW72">
        <v>0</v>
      </c>
      <c r="CX72">
        <f>ROUND(Y72*Source!I113,9)</f>
        <v>1.494</v>
      </c>
      <c r="CY72">
        <f>AD72</f>
        <v>8.7899999999999991</v>
      </c>
      <c r="CZ72">
        <f>AH72</f>
        <v>8.7899999999999991</v>
      </c>
      <c r="DA72">
        <f>AL72</f>
        <v>1</v>
      </c>
      <c r="DB72">
        <f t="shared" si="32"/>
        <v>145.91</v>
      </c>
      <c r="DC72">
        <f t="shared" si="33"/>
        <v>0</v>
      </c>
      <c r="DD72" t="s">
        <v>3</v>
      </c>
      <c r="DE72" t="s">
        <v>3</v>
      </c>
      <c r="DF72">
        <f t="shared" si="29"/>
        <v>0</v>
      </c>
      <c r="DG72">
        <f>ROUND(ROUND(AF72,2)*CX72,2)</f>
        <v>0</v>
      </c>
      <c r="DH72">
        <f>ROUND(ROUND(AG72,2)*CX72,2)</f>
        <v>0</v>
      </c>
      <c r="DI72">
        <f t="shared" si="30"/>
        <v>13.13</v>
      </c>
      <c r="DJ72">
        <f>DI72</f>
        <v>13.13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ROW(Source!A113)</f>
        <v>113</v>
      </c>
      <c r="B73">
        <v>84185495</v>
      </c>
      <c r="C73">
        <v>84193097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24</v>
      </c>
      <c r="J73" t="s">
        <v>3</v>
      </c>
      <c r="K73" t="s">
        <v>431</v>
      </c>
      <c r="L73">
        <v>608254</v>
      </c>
      <c r="N73">
        <v>1013</v>
      </c>
      <c r="O73" t="s">
        <v>432</v>
      </c>
      <c r="P73" t="s">
        <v>432</v>
      </c>
      <c r="Q73">
        <v>1</v>
      </c>
      <c r="W73">
        <v>0</v>
      </c>
      <c r="X73">
        <v>-185737400</v>
      </c>
      <c r="Y73">
        <f t="shared" si="31"/>
        <v>0.22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0.22</v>
      </c>
      <c r="AU73" t="s">
        <v>3</v>
      </c>
      <c r="AV73">
        <v>2</v>
      </c>
      <c r="AW73">
        <v>2</v>
      </c>
      <c r="AX73">
        <v>84193107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ROUND(Y73*Source!I113,9)</f>
        <v>1.9800000000000002E-2</v>
      </c>
      <c r="CY73">
        <f>AD73</f>
        <v>0</v>
      </c>
      <c r="CZ73">
        <f>AH73</f>
        <v>0</v>
      </c>
      <c r="DA73">
        <f>AL73</f>
        <v>1</v>
      </c>
      <c r="DB73">
        <f t="shared" si="32"/>
        <v>0</v>
      </c>
      <c r="DC73">
        <f t="shared" si="33"/>
        <v>0</v>
      </c>
      <c r="DD73" t="s">
        <v>3</v>
      </c>
      <c r="DE73" t="s">
        <v>3</v>
      </c>
      <c r="DF73">
        <f t="shared" si="29"/>
        <v>0</v>
      </c>
      <c r="DG73">
        <f>ROUND(ROUND(AF73,2)*CX73,2)</f>
        <v>0</v>
      </c>
      <c r="DH73">
        <f>ROUND(ROUND(AG73,2)*CX73,2)</f>
        <v>0</v>
      </c>
      <c r="DI73">
        <f t="shared" si="30"/>
        <v>0</v>
      </c>
      <c r="DJ73">
        <f>DI73</f>
        <v>0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ROW(Source!A113)</f>
        <v>113</v>
      </c>
      <c r="B74">
        <v>84185495</v>
      </c>
      <c r="C74">
        <v>84193097</v>
      </c>
      <c r="D74">
        <v>37802432</v>
      </c>
      <c r="E74">
        <v>1</v>
      </c>
      <c r="F74">
        <v>1</v>
      </c>
      <c r="G74">
        <v>1</v>
      </c>
      <c r="H74">
        <v>2</v>
      </c>
      <c r="I74" t="s">
        <v>457</v>
      </c>
      <c r="J74" t="s">
        <v>458</v>
      </c>
      <c r="K74" t="s">
        <v>459</v>
      </c>
      <c r="L74">
        <v>1368</v>
      </c>
      <c r="N74">
        <v>1011</v>
      </c>
      <c r="O74" t="s">
        <v>436</v>
      </c>
      <c r="P74" t="s">
        <v>436</v>
      </c>
      <c r="Q74">
        <v>1</v>
      </c>
      <c r="W74">
        <v>0</v>
      </c>
      <c r="X74">
        <v>-1424728221</v>
      </c>
      <c r="Y74">
        <f t="shared" si="31"/>
        <v>0.22</v>
      </c>
      <c r="AA74">
        <v>0</v>
      </c>
      <c r="AB74">
        <v>1471.29</v>
      </c>
      <c r="AC74">
        <v>426.77</v>
      </c>
      <c r="AD74">
        <v>0</v>
      </c>
      <c r="AE74">
        <v>0</v>
      </c>
      <c r="AF74">
        <v>138.54</v>
      </c>
      <c r="AG74">
        <v>12.1</v>
      </c>
      <c r="AH74">
        <v>0</v>
      </c>
      <c r="AI74">
        <v>1</v>
      </c>
      <c r="AJ74">
        <v>10.62</v>
      </c>
      <c r="AK74">
        <v>35.270000000000003</v>
      </c>
      <c r="AL74">
        <v>1</v>
      </c>
      <c r="AM74">
        <v>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0.22</v>
      </c>
      <c r="AU74" t="s">
        <v>3</v>
      </c>
      <c r="AV74">
        <v>0</v>
      </c>
      <c r="AW74">
        <v>2</v>
      </c>
      <c r="AX74">
        <v>84193108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f>ROUND(Y74*Source!I113*DO74,9)</f>
        <v>0</v>
      </c>
      <c r="CX74">
        <f>ROUND(Y74*Source!I113,9)</f>
        <v>1.9800000000000002E-2</v>
      </c>
      <c r="CY74">
        <f>AB74</f>
        <v>1471.29</v>
      </c>
      <c r="CZ74">
        <f>AF74</f>
        <v>138.54</v>
      </c>
      <c r="DA74">
        <f>AJ74</f>
        <v>10.62</v>
      </c>
      <c r="DB74">
        <f t="shared" si="32"/>
        <v>30.48</v>
      </c>
      <c r="DC74">
        <f t="shared" si="33"/>
        <v>2.66</v>
      </c>
      <c r="DD74" t="s">
        <v>3</v>
      </c>
      <c r="DE74" t="s">
        <v>3</v>
      </c>
      <c r="DF74">
        <f t="shared" si="29"/>
        <v>0</v>
      </c>
      <c r="DG74">
        <f>ROUND(ROUND(AF74*AJ74,2)*CX74,2)</f>
        <v>29.13</v>
      </c>
      <c r="DH74">
        <f>ROUND(ROUND(AG74*AK74,2)*CX74,2)</f>
        <v>8.4499999999999993</v>
      </c>
      <c r="DI74">
        <f t="shared" si="30"/>
        <v>0</v>
      </c>
      <c r="DJ74">
        <f>DG74</f>
        <v>29.13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ROW(Source!A113)</f>
        <v>113</v>
      </c>
      <c r="B75">
        <v>84185495</v>
      </c>
      <c r="C75">
        <v>84193097</v>
      </c>
      <c r="D75">
        <v>37802657</v>
      </c>
      <c r="E75">
        <v>1</v>
      </c>
      <c r="F75">
        <v>1</v>
      </c>
      <c r="G75">
        <v>1</v>
      </c>
      <c r="H75">
        <v>2</v>
      </c>
      <c r="I75" t="s">
        <v>460</v>
      </c>
      <c r="J75" t="s">
        <v>461</v>
      </c>
      <c r="K75" t="s">
        <v>462</v>
      </c>
      <c r="L75">
        <v>1368</v>
      </c>
      <c r="N75">
        <v>1011</v>
      </c>
      <c r="O75" t="s">
        <v>436</v>
      </c>
      <c r="P75" t="s">
        <v>436</v>
      </c>
      <c r="Q75">
        <v>1</v>
      </c>
      <c r="W75">
        <v>0</v>
      </c>
      <c r="X75">
        <v>1084334125</v>
      </c>
      <c r="Y75">
        <f t="shared" si="31"/>
        <v>3.13</v>
      </c>
      <c r="AA75">
        <v>0</v>
      </c>
      <c r="AB75">
        <v>51.94</v>
      </c>
      <c r="AC75">
        <v>0</v>
      </c>
      <c r="AD75">
        <v>0</v>
      </c>
      <c r="AE75">
        <v>0</v>
      </c>
      <c r="AF75">
        <v>7.55</v>
      </c>
      <c r="AG75">
        <v>0</v>
      </c>
      <c r="AH75">
        <v>0</v>
      </c>
      <c r="AI75">
        <v>1</v>
      </c>
      <c r="AJ75">
        <v>6.88</v>
      </c>
      <c r="AK75">
        <v>35.270000000000003</v>
      </c>
      <c r="AL75">
        <v>1</v>
      </c>
      <c r="AM75">
        <v>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3.13</v>
      </c>
      <c r="AU75" t="s">
        <v>3</v>
      </c>
      <c r="AV75">
        <v>0</v>
      </c>
      <c r="AW75">
        <v>2</v>
      </c>
      <c r="AX75">
        <v>84193109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f>ROUND(Y75*Source!I113*DO75,9)</f>
        <v>0</v>
      </c>
      <c r="CX75">
        <f>ROUND(Y75*Source!I113,9)</f>
        <v>0.28170000000000001</v>
      </c>
      <c r="CY75">
        <f>AB75</f>
        <v>51.94</v>
      </c>
      <c r="CZ75">
        <f>AF75</f>
        <v>7.55</v>
      </c>
      <c r="DA75">
        <f>AJ75</f>
        <v>6.88</v>
      </c>
      <c r="DB75">
        <f t="shared" si="32"/>
        <v>23.63</v>
      </c>
      <c r="DC75">
        <f t="shared" si="33"/>
        <v>0</v>
      </c>
      <c r="DD75" t="s">
        <v>3</v>
      </c>
      <c r="DE75" t="s">
        <v>3</v>
      </c>
      <c r="DF75">
        <f t="shared" si="29"/>
        <v>0</v>
      </c>
      <c r="DG75">
        <f>ROUND(ROUND(AF75*AJ75,2)*CX75,2)</f>
        <v>14.63</v>
      </c>
      <c r="DH75">
        <f>ROUND(ROUND(AG75*AK75,2)*CX75,2)</f>
        <v>0</v>
      </c>
      <c r="DI75">
        <f t="shared" si="30"/>
        <v>0</v>
      </c>
      <c r="DJ75">
        <f>DG75</f>
        <v>14.63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ROW(Source!A113)</f>
        <v>113</v>
      </c>
      <c r="B76">
        <v>84185495</v>
      </c>
      <c r="C76">
        <v>84193097</v>
      </c>
      <c r="D76">
        <v>37804456</v>
      </c>
      <c r="E76">
        <v>1</v>
      </c>
      <c r="F76">
        <v>1</v>
      </c>
      <c r="G76">
        <v>1</v>
      </c>
      <c r="H76">
        <v>2</v>
      </c>
      <c r="I76" t="s">
        <v>437</v>
      </c>
      <c r="J76" t="s">
        <v>438</v>
      </c>
      <c r="K76" t="s">
        <v>439</v>
      </c>
      <c r="L76">
        <v>1368</v>
      </c>
      <c r="N76">
        <v>1011</v>
      </c>
      <c r="O76" t="s">
        <v>436</v>
      </c>
      <c r="P76" t="s">
        <v>436</v>
      </c>
      <c r="Q76">
        <v>1</v>
      </c>
      <c r="W76">
        <v>0</v>
      </c>
      <c r="X76">
        <v>-671646184</v>
      </c>
      <c r="Y76">
        <f t="shared" si="31"/>
        <v>0.22</v>
      </c>
      <c r="AA76">
        <v>0</v>
      </c>
      <c r="AB76">
        <v>1305.74</v>
      </c>
      <c r="AC76">
        <v>365.04</v>
      </c>
      <c r="AD76">
        <v>0</v>
      </c>
      <c r="AE76">
        <v>0</v>
      </c>
      <c r="AF76">
        <v>91.76</v>
      </c>
      <c r="AG76">
        <v>10.35</v>
      </c>
      <c r="AH76">
        <v>0</v>
      </c>
      <c r="AI76">
        <v>1</v>
      </c>
      <c r="AJ76">
        <v>14.23</v>
      </c>
      <c r="AK76">
        <v>35.270000000000003</v>
      </c>
      <c r="AL76">
        <v>1</v>
      </c>
      <c r="AM76">
        <v>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0.22</v>
      </c>
      <c r="AU76" t="s">
        <v>3</v>
      </c>
      <c r="AV76">
        <v>0</v>
      </c>
      <c r="AW76">
        <v>2</v>
      </c>
      <c r="AX76">
        <v>84193110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f>ROUND(Y76*Source!I113*DO76,9)</f>
        <v>0</v>
      </c>
      <c r="CX76">
        <f>ROUND(Y76*Source!I113,9)</f>
        <v>1.9800000000000002E-2</v>
      </c>
      <c r="CY76">
        <f>AB76</f>
        <v>1305.74</v>
      </c>
      <c r="CZ76">
        <f>AF76</f>
        <v>91.76</v>
      </c>
      <c r="DA76">
        <f>AJ76</f>
        <v>14.23</v>
      </c>
      <c r="DB76">
        <f t="shared" si="32"/>
        <v>20.190000000000001</v>
      </c>
      <c r="DC76">
        <f t="shared" si="33"/>
        <v>2.2799999999999998</v>
      </c>
      <c r="DD76" t="s">
        <v>3</v>
      </c>
      <c r="DE76" t="s">
        <v>3</v>
      </c>
      <c r="DF76">
        <f t="shared" si="29"/>
        <v>0</v>
      </c>
      <c r="DG76">
        <f>ROUND(ROUND(AF76*AJ76,2)*CX76,2)</f>
        <v>25.85</v>
      </c>
      <c r="DH76">
        <f>ROUND(ROUND(AG76*AK76,2)*CX76,2)</f>
        <v>7.23</v>
      </c>
      <c r="DI76">
        <f t="shared" si="30"/>
        <v>0</v>
      </c>
      <c r="DJ76">
        <f>DG76</f>
        <v>25.85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ROW(Source!A113)</f>
        <v>113</v>
      </c>
      <c r="B77">
        <v>84185495</v>
      </c>
      <c r="C77">
        <v>84193097</v>
      </c>
      <c r="D77">
        <v>37736610</v>
      </c>
      <c r="E77">
        <v>1</v>
      </c>
      <c r="F77">
        <v>1</v>
      </c>
      <c r="G77">
        <v>1</v>
      </c>
      <c r="H77">
        <v>3</v>
      </c>
      <c r="I77" t="s">
        <v>469</v>
      </c>
      <c r="J77" t="s">
        <v>470</v>
      </c>
      <c r="K77" t="s">
        <v>471</v>
      </c>
      <c r="L77">
        <v>1346</v>
      </c>
      <c r="N77">
        <v>1009</v>
      </c>
      <c r="O77" t="s">
        <v>148</v>
      </c>
      <c r="P77" t="s">
        <v>148</v>
      </c>
      <c r="Q77">
        <v>1</v>
      </c>
      <c r="W77">
        <v>0</v>
      </c>
      <c r="X77">
        <v>-347328291</v>
      </c>
      <c r="Y77">
        <f t="shared" si="31"/>
        <v>0.9</v>
      </c>
      <c r="AA77">
        <v>121.82</v>
      </c>
      <c r="AB77">
        <v>0</v>
      </c>
      <c r="AC77">
        <v>0</v>
      </c>
      <c r="AD77">
        <v>0</v>
      </c>
      <c r="AE77">
        <v>12.65</v>
      </c>
      <c r="AF77">
        <v>0</v>
      </c>
      <c r="AG77">
        <v>0</v>
      </c>
      <c r="AH77">
        <v>0</v>
      </c>
      <c r="AI77">
        <v>9.6300000000000008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0.9</v>
      </c>
      <c r="AU77" t="s">
        <v>3</v>
      </c>
      <c r="AV77">
        <v>0</v>
      </c>
      <c r="AW77">
        <v>2</v>
      </c>
      <c r="AX77">
        <v>84193111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ROUND(Y77*Source!I113,9)</f>
        <v>8.1000000000000003E-2</v>
      </c>
      <c r="CY77">
        <f>AA77</f>
        <v>121.82</v>
      </c>
      <c r="CZ77">
        <f>AE77</f>
        <v>12.65</v>
      </c>
      <c r="DA77">
        <f>AI77</f>
        <v>9.6300000000000008</v>
      </c>
      <c r="DB77">
        <f t="shared" si="32"/>
        <v>11.39</v>
      </c>
      <c r="DC77">
        <f t="shared" si="33"/>
        <v>0</v>
      </c>
      <c r="DD77" t="s">
        <v>3</v>
      </c>
      <c r="DE77" t="s">
        <v>3</v>
      </c>
      <c r="DF77">
        <f>ROUND(ROUND(AE77*AI77,2)*CX77,2)</f>
        <v>9.8699999999999992</v>
      </c>
      <c r="DG77">
        <f>ROUND(ROUND(AF77,2)*CX77,2)</f>
        <v>0</v>
      </c>
      <c r="DH77">
        <f>ROUND(ROUND(AG77,2)*CX77,2)</f>
        <v>0</v>
      </c>
      <c r="DI77">
        <f t="shared" si="30"/>
        <v>0</v>
      </c>
      <c r="DJ77">
        <f>DF77</f>
        <v>9.8699999999999992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ROW(Source!A113)</f>
        <v>113</v>
      </c>
      <c r="B78">
        <v>84185495</v>
      </c>
      <c r="C78">
        <v>84193097</v>
      </c>
      <c r="D78">
        <v>37745017</v>
      </c>
      <c r="E78">
        <v>1</v>
      </c>
      <c r="F78">
        <v>1</v>
      </c>
      <c r="G78">
        <v>1</v>
      </c>
      <c r="H78">
        <v>3</v>
      </c>
      <c r="I78" t="s">
        <v>529</v>
      </c>
      <c r="J78" t="s">
        <v>530</v>
      </c>
      <c r="K78" t="s">
        <v>531</v>
      </c>
      <c r="L78">
        <v>1348</v>
      </c>
      <c r="N78">
        <v>1009</v>
      </c>
      <c r="O78" t="s">
        <v>126</v>
      </c>
      <c r="P78" t="s">
        <v>126</v>
      </c>
      <c r="Q78">
        <v>1000</v>
      </c>
      <c r="W78">
        <v>0</v>
      </c>
      <c r="X78">
        <v>-1286039561</v>
      </c>
      <c r="Y78">
        <f t="shared" si="31"/>
        <v>3.7000000000000002E-3</v>
      </c>
      <c r="AA78">
        <v>77557.919999999998</v>
      </c>
      <c r="AB78">
        <v>0</v>
      </c>
      <c r="AC78">
        <v>0</v>
      </c>
      <c r="AD78">
        <v>0</v>
      </c>
      <c r="AE78">
        <v>9528</v>
      </c>
      <c r="AF78">
        <v>0</v>
      </c>
      <c r="AG78">
        <v>0</v>
      </c>
      <c r="AH78">
        <v>0</v>
      </c>
      <c r="AI78">
        <v>8.14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3.7000000000000002E-3</v>
      </c>
      <c r="AU78" t="s">
        <v>3</v>
      </c>
      <c r="AV78">
        <v>0</v>
      </c>
      <c r="AW78">
        <v>2</v>
      </c>
      <c r="AX78">
        <v>84193112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ROUND(Y78*Source!I113,9)</f>
        <v>3.3300000000000002E-4</v>
      </c>
      <c r="CY78">
        <f>AA78</f>
        <v>77557.919999999998</v>
      </c>
      <c r="CZ78">
        <f>AE78</f>
        <v>9528</v>
      </c>
      <c r="DA78">
        <f>AI78</f>
        <v>8.14</v>
      </c>
      <c r="DB78">
        <f t="shared" si="32"/>
        <v>35.25</v>
      </c>
      <c r="DC78">
        <f t="shared" si="33"/>
        <v>0</v>
      </c>
      <c r="DD78" t="s">
        <v>3</v>
      </c>
      <c r="DE78" t="s">
        <v>3</v>
      </c>
      <c r="DF78">
        <f>ROUND(ROUND(AE78*AI78,2)*CX78,2)</f>
        <v>25.83</v>
      </c>
      <c r="DG78">
        <f>ROUND(ROUND(AF78,2)*CX78,2)</f>
        <v>0</v>
      </c>
      <c r="DH78">
        <f>ROUND(ROUND(AG78,2)*CX78,2)</f>
        <v>0</v>
      </c>
      <c r="DI78">
        <f t="shared" si="30"/>
        <v>0</v>
      </c>
      <c r="DJ78">
        <f>DF78</f>
        <v>25.83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ROW(Source!A113)</f>
        <v>113</v>
      </c>
      <c r="B79">
        <v>84185495</v>
      </c>
      <c r="C79">
        <v>84193097</v>
      </c>
      <c r="D79">
        <v>37801918</v>
      </c>
      <c r="E79">
        <v>1</v>
      </c>
      <c r="F79">
        <v>1</v>
      </c>
      <c r="G79">
        <v>1</v>
      </c>
      <c r="H79">
        <v>3</v>
      </c>
      <c r="I79" t="s">
        <v>442</v>
      </c>
      <c r="J79" t="s">
        <v>443</v>
      </c>
      <c r="K79" t="s">
        <v>444</v>
      </c>
      <c r="L79">
        <v>1374</v>
      </c>
      <c r="N79">
        <v>1013</v>
      </c>
      <c r="O79" t="s">
        <v>445</v>
      </c>
      <c r="P79" t="s">
        <v>445</v>
      </c>
      <c r="Q79">
        <v>1</v>
      </c>
      <c r="W79">
        <v>0</v>
      </c>
      <c r="X79">
        <v>2131831278</v>
      </c>
      <c r="Y79">
        <f t="shared" si="31"/>
        <v>2.92</v>
      </c>
      <c r="AA79">
        <v>1</v>
      </c>
      <c r="AB79">
        <v>0</v>
      </c>
      <c r="AC79">
        <v>0</v>
      </c>
      <c r="AD79">
        <v>0</v>
      </c>
      <c r="AE79">
        <v>1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2.92</v>
      </c>
      <c r="AU79" t="s">
        <v>3</v>
      </c>
      <c r="AV79">
        <v>0</v>
      </c>
      <c r="AW79">
        <v>2</v>
      </c>
      <c r="AX79">
        <v>84193113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ROUND(Y79*Source!I113,9)</f>
        <v>0.26279999999999998</v>
      </c>
      <c r="CY79">
        <f>AA79</f>
        <v>1</v>
      </c>
      <c r="CZ79">
        <f>AE79</f>
        <v>1</v>
      </c>
      <c r="DA79">
        <f>AI79</f>
        <v>1</v>
      </c>
      <c r="DB79">
        <f t="shared" si="32"/>
        <v>2.92</v>
      </c>
      <c r="DC79">
        <f t="shared" si="33"/>
        <v>0</v>
      </c>
      <c r="DD79" t="s">
        <v>3</v>
      </c>
      <c r="DE79" t="s">
        <v>3</v>
      </c>
      <c r="DF79">
        <f t="shared" ref="DF79:DF84" si="34">ROUND(ROUND(AE79,2)*CX79,2)</f>
        <v>0.26</v>
      </c>
      <c r="DG79">
        <f>ROUND(ROUND(AF79,2)*CX79,2)</f>
        <v>0</v>
      </c>
      <c r="DH79">
        <f>ROUND(ROUND(AG79,2)*CX79,2)</f>
        <v>0</v>
      </c>
      <c r="DI79">
        <f t="shared" si="30"/>
        <v>0</v>
      </c>
      <c r="DJ79">
        <f>DF79</f>
        <v>0.26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ROW(Source!A115)</f>
        <v>115</v>
      </c>
      <c r="B80">
        <v>84185495</v>
      </c>
      <c r="C80">
        <v>84193115</v>
      </c>
      <c r="D80">
        <v>23135014</v>
      </c>
      <c r="E80">
        <v>1</v>
      </c>
      <c r="F80">
        <v>1</v>
      </c>
      <c r="G80">
        <v>1</v>
      </c>
      <c r="H80">
        <v>1</v>
      </c>
      <c r="I80" t="s">
        <v>507</v>
      </c>
      <c r="J80" t="s">
        <v>3</v>
      </c>
      <c r="K80" t="s">
        <v>508</v>
      </c>
      <c r="L80">
        <v>1369</v>
      </c>
      <c r="N80">
        <v>1013</v>
      </c>
      <c r="O80" t="s">
        <v>430</v>
      </c>
      <c r="P80" t="s">
        <v>430</v>
      </c>
      <c r="Q80">
        <v>1</v>
      </c>
      <c r="W80">
        <v>0</v>
      </c>
      <c r="X80">
        <v>-883932286</v>
      </c>
      <c r="Y80">
        <f t="shared" si="31"/>
        <v>0.81</v>
      </c>
      <c r="AA80">
        <v>0</v>
      </c>
      <c r="AB80">
        <v>0</v>
      </c>
      <c r="AC80">
        <v>0</v>
      </c>
      <c r="AD80">
        <v>7.9</v>
      </c>
      <c r="AE80">
        <v>0</v>
      </c>
      <c r="AF80">
        <v>0</v>
      </c>
      <c r="AG80">
        <v>0</v>
      </c>
      <c r="AH80">
        <v>7.9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0.81</v>
      </c>
      <c r="AU80" t="s">
        <v>3</v>
      </c>
      <c r="AV80">
        <v>1</v>
      </c>
      <c r="AW80">
        <v>2</v>
      </c>
      <c r="AX80">
        <v>84193123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ROUND(AT80*Source!I115*AH80*AL80,2)</f>
        <v>19.2</v>
      </c>
      <c r="CV80">
        <f>ROUND(Y80*Source!I115,9)</f>
        <v>2.4300000000000002</v>
      </c>
      <c r="CW80">
        <v>0</v>
      </c>
      <c r="CX80">
        <f>ROUND(Y80*Source!I115,9)</f>
        <v>2.4300000000000002</v>
      </c>
      <c r="CY80">
        <f>AD80</f>
        <v>7.9</v>
      </c>
      <c r="CZ80">
        <f>AH80</f>
        <v>7.9</v>
      </c>
      <c r="DA80">
        <f>AL80</f>
        <v>1</v>
      </c>
      <c r="DB80">
        <f t="shared" si="32"/>
        <v>6.4</v>
      </c>
      <c r="DC80">
        <f t="shared" si="33"/>
        <v>0</v>
      </c>
      <c r="DD80" t="s">
        <v>3</v>
      </c>
      <c r="DE80" t="s">
        <v>3</v>
      </c>
      <c r="DF80">
        <f t="shared" si="34"/>
        <v>0</v>
      </c>
      <c r="DG80">
        <f>ROUND(ROUND(AF80,2)*CX80,2)</f>
        <v>0</v>
      </c>
      <c r="DH80">
        <f>ROUND(ROUND(AG80,2)*CX80,2)</f>
        <v>0</v>
      </c>
      <c r="DI80">
        <f t="shared" si="30"/>
        <v>19.2</v>
      </c>
      <c r="DJ80">
        <f>DI80</f>
        <v>19.2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ROW(Source!A115)</f>
        <v>115</v>
      </c>
      <c r="B81">
        <v>84185495</v>
      </c>
      <c r="C81">
        <v>84193115</v>
      </c>
      <c r="D81">
        <v>121548</v>
      </c>
      <c r="E81">
        <v>1</v>
      </c>
      <c r="F81">
        <v>1</v>
      </c>
      <c r="G81">
        <v>1</v>
      </c>
      <c r="H81">
        <v>1</v>
      </c>
      <c r="I81" t="s">
        <v>24</v>
      </c>
      <c r="J81" t="s">
        <v>3</v>
      </c>
      <c r="K81" t="s">
        <v>431</v>
      </c>
      <c r="L81">
        <v>608254</v>
      </c>
      <c r="N81">
        <v>1013</v>
      </c>
      <c r="O81" t="s">
        <v>432</v>
      </c>
      <c r="P81" t="s">
        <v>432</v>
      </c>
      <c r="Q81">
        <v>1</v>
      </c>
      <c r="W81">
        <v>0</v>
      </c>
      <c r="X81">
        <v>-185737400</v>
      </c>
      <c r="Y81">
        <f t="shared" si="31"/>
        <v>0.61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0.61</v>
      </c>
      <c r="AU81" t="s">
        <v>3</v>
      </c>
      <c r="AV81">
        <v>2</v>
      </c>
      <c r="AW81">
        <v>2</v>
      </c>
      <c r="AX81">
        <v>84193124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ROUND(Y81*Source!I115,9)</f>
        <v>1.83</v>
      </c>
      <c r="CY81">
        <f>AD81</f>
        <v>0</v>
      </c>
      <c r="CZ81">
        <f>AH81</f>
        <v>0</v>
      </c>
      <c r="DA81">
        <f>AL81</f>
        <v>1</v>
      </c>
      <c r="DB81">
        <f t="shared" si="32"/>
        <v>0</v>
      </c>
      <c r="DC81">
        <f t="shared" si="33"/>
        <v>0</v>
      </c>
      <c r="DD81" t="s">
        <v>3</v>
      </c>
      <c r="DE81" t="s">
        <v>3</v>
      </c>
      <c r="DF81">
        <f t="shared" si="34"/>
        <v>0</v>
      </c>
      <c r="DG81">
        <f>ROUND(ROUND(AF81,2)*CX81,2)</f>
        <v>0</v>
      </c>
      <c r="DH81">
        <f>ROUND(ROUND(AG81,2)*CX81,2)</f>
        <v>0</v>
      </c>
      <c r="DI81">
        <f t="shared" si="30"/>
        <v>0</v>
      </c>
      <c r="DJ81">
        <f>DI81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ROW(Source!A115)</f>
        <v>115</v>
      </c>
      <c r="B82">
        <v>84185495</v>
      </c>
      <c r="C82">
        <v>84193115</v>
      </c>
      <c r="D82">
        <v>37802644</v>
      </c>
      <c r="E82">
        <v>1</v>
      </c>
      <c r="F82">
        <v>1</v>
      </c>
      <c r="G82">
        <v>1</v>
      </c>
      <c r="H82">
        <v>2</v>
      </c>
      <c r="I82" t="s">
        <v>509</v>
      </c>
      <c r="J82" t="s">
        <v>510</v>
      </c>
      <c r="K82" t="s">
        <v>511</v>
      </c>
      <c r="L82">
        <v>1368</v>
      </c>
      <c r="N82">
        <v>1011</v>
      </c>
      <c r="O82" t="s">
        <v>436</v>
      </c>
      <c r="P82" t="s">
        <v>436</v>
      </c>
      <c r="Q82">
        <v>1</v>
      </c>
      <c r="W82">
        <v>0</v>
      </c>
      <c r="X82">
        <v>1153725797</v>
      </c>
      <c r="Y82">
        <f t="shared" si="31"/>
        <v>0.19</v>
      </c>
      <c r="AA82">
        <v>0</v>
      </c>
      <c r="AB82">
        <v>458.56</v>
      </c>
      <c r="AC82">
        <v>0</v>
      </c>
      <c r="AD82">
        <v>0</v>
      </c>
      <c r="AE82">
        <v>0</v>
      </c>
      <c r="AF82">
        <v>14.14</v>
      </c>
      <c r="AG82">
        <v>0</v>
      </c>
      <c r="AH82">
        <v>0</v>
      </c>
      <c r="AI82">
        <v>1</v>
      </c>
      <c r="AJ82">
        <v>32.43</v>
      </c>
      <c r="AK82">
        <v>35.270000000000003</v>
      </c>
      <c r="AL82">
        <v>1</v>
      </c>
      <c r="AM82">
        <v>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0.19</v>
      </c>
      <c r="AU82" t="s">
        <v>3</v>
      </c>
      <c r="AV82">
        <v>0</v>
      </c>
      <c r="AW82">
        <v>2</v>
      </c>
      <c r="AX82">
        <v>84193125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ROUND(Y82*Source!I115*DO82,9)</f>
        <v>0</v>
      </c>
      <c r="CX82">
        <f>ROUND(Y82*Source!I115,9)</f>
        <v>0.56999999999999995</v>
      </c>
      <c r="CY82">
        <f>AB82</f>
        <v>458.56</v>
      </c>
      <c r="CZ82">
        <f>AF82</f>
        <v>14.14</v>
      </c>
      <c r="DA82">
        <f>AJ82</f>
        <v>32.43</v>
      </c>
      <c r="DB82">
        <f t="shared" si="32"/>
        <v>2.69</v>
      </c>
      <c r="DC82">
        <f t="shared" si="33"/>
        <v>0</v>
      </c>
      <c r="DD82" t="s">
        <v>3</v>
      </c>
      <c r="DE82" t="s">
        <v>3</v>
      </c>
      <c r="DF82">
        <f t="shared" si="34"/>
        <v>0</v>
      </c>
      <c r="DG82">
        <f>ROUND(ROUND(AF82*AJ82,2)*CX82,2)</f>
        <v>261.38</v>
      </c>
      <c r="DH82">
        <f>ROUND(ROUND(AG82*AK82,2)*CX82,2)</f>
        <v>0</v>
      </c>
      <c r="DI82">
        <f t="shared" si="30"/>
        <v>0</v>
      </c>
      <c r="DJ82">
        <f>DG82</f>
        <v>261.38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ROW(Source!A115)</f>
        <v>115</v>
      </c>
      <c r="B83">
        <v>84185495</v>
      </c>
      <c r="C83">
        <v>84193115</v>
      </c>
      <c r="D83">
        <v>37802699</v>
      </c>
      <c r="E83">
        <v>1</v>
      </c>
      <c r="F83">
        <v>1</v>
      </c>
      <c r="G83">
        <v>1</v>
      </c>
      <c r="H83">
        <v>2</v>
      </c>
      <c r="I83" t="s">
        <v>512</v>
      </c>
      <c r="J83" t="s">
        <v>513</v>
      </c>
      <c r="K83" t="s">
        <v>514</v>
      </c>
      <c r="L83">
        <v>1368</v>
      </c>
      <c r="N83">
        <v>1011</v>
      </c>
      <c r="O83" t="s">
        <v>436</v>
      </c>
      <c r="P83" t="s">
        <v>436</v>
      </c>
      <c r="Q83">
        <v>1</v>
      </c>
      <c r="W83">
        <v>0</v>
      </c>
      <c r="X83">
        <v>2133576372</v>
      </c>
      <c r="Y83">
        <f t="shared" si="31"/>
        <v>0.61</v>
      </c>
      <c r="AA83">
        <v>0</v>
      </c>
      <c r="AB83">
        <v>893.67</v>
      </c>
      <c r="AC83">
        <v>317.43</v>
      </c>
      <c r="AD83">
        <v>0</v>
      </c>
      <c r="AE83">
        <v>0</v>
      </c>
      <c r="AF83">
        <v>59.38</v>
      </c>
      <c r="AG83">
        <v>9</v>
      </c>
      <c r="AH83">
        <v>0</v>
      </c>
      <c r="AI83">
        <v>1</v>
      </c>
      <c r="AJ83">
        <v>15.05</v>
      </c>
      <c r="AK83">
        <v>35.270000000000003</v>
      </c>
      <c r="AL83">
        <v>1</v>
      </c>
      <c r="AM83">
        <v>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0.61</v>
      </c>
      <c r="AU83" t="s">
        <v>3</v>
      </c>
      <c r="AV83">
        <v>0</v>
      </c>
      <c r="AW83">
        <v>2</v>
      </c>
      <c r="AX83">
        <v>84193126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f>ROUND(Y83*Source!I115*DO83,9)</f>
        <v>0</v>
      </c>
      <c r="CX83">
        <f>ROUND(Y83*Source!I115,9)</f>
        <v>1.83</v>
      </c>
      <c r="CY83">
        <f>AB83</f>
        <v>893.67</v>
      </c>
      <c r="CZ83">
        <f>AF83</f>
        <v>59.38</v>
      </c>
      <c r="DA83">
        <f>AJ83</f>
        <v>15.05</v>
      </c>
      <c r="DB83">
        <f t="shared" si="32"/>
        <v>36.22</v>
      </c>
      <c r="DC83">
        <f t="shared" si="33"/>
        <v>5.49</v>
      </c>
      <c r="DD83" t="s">
        <v>3</v>
      </c>
      <c r="DE83" t="s">
        <v>3</v>
      </c>
      <c r="DF83">
        <f t="shared" si="34"/>
        <v>0</v>
      </c>
      <c r="DG83">
        <f>ROUND(ROUND(AF83*AJ83,2)*CX83,2)</f>
        <v>1635.42</v>
      </c>
      <c r="DH83">
        <f>ROUND(ROUND(AG83*AK83,2)*CX83,2)</f>
        <v>580.9</v>
      </c>
      <c r="DI83">
        <f t="shared" si="30"/>
        <v>0</v>
      </c>
      <c r="DJ83">
        <f>DG83</f>
        <v>1635.42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ROW(Source!A115)</f>
        <v>115</v>
      </c>
      <c r="B84">
        <v>84185495</v>
      </c>
      <c r="C84">
        <v>84193115</v>
      </c>
      <c r="D84">
        <v>37804144</v>
      </c>
      <c r="E84">
        <v>1</v>
      </c>
      <c r="F84">
        <v>1</v>
      </c>
      <c r="G84">
        <v>1</v>
      </c>
      <c r="H84">
        <v>2</v>
      </c>
      <c r="I84" t="s">
        <v>515</v>
      </c>
      <c r="J84" t="s">
        <v>516</v>
      </c>
      <c r="K84" t="s">
        <v>517</v>
      </c>
      <c r="L84">
        <v>1368</v>
      </c>
      <c r="N84">
        <v>1011</v>
      </c>
      <c r="O84" t="s">
        <v>436</v>
      </c>
      <c r="P84" t="s">
        <v>436</v>
      </c>
      <c r="Q84">
        <v>1</v>
      </c>
      <c r="W84">
        <v>0</v>
      </c>
      <c r="X84">
        <v>754598957</v>
      </c>
      <c r="Y84">
        <f t="shared" si="31"/>
        <v>0.61</v>
      </c>
      <c r="AA84">
        <v>0</v>
      </c>
      <c r="AB84">
        <v>468.67</v>
      </c>
      <c r="AC84">
        <v>0</v>
      </c>
      <c r="AD84">
        <v>0</v>
      </c>
      <c r="AE84">
        <v>0</v>
      </c>
      <c r="AF84">
        <v>100.79</v>
      </c>
      <c r="AG84">
        <v>0</v>
      </c>
      <c r="AH84">
        <v>0</v>
      </c>
      <c r="AI84">
        <v>1</v>
      </c>
      <c r="AJ84">
        <v>4.6500000000000004</v>
      </c>
      <c r="AK84">
        <v>35.270000000000003</v>
      </c>
      <c r="AL84">
        <v>1</v>
      </c>
      <c r="AM84">
        <v>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0.61</v>
      </c>
      <c r="AU84" t="s">
        <v>3</v>
      </c>
      <c r="AV84">
        <v>0</v>
      </c>
      <c r="AW84">
        <v>2</v>
      </c>
      <c r="AX84">
        <v>84193127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f>ROUND(Y84*Source!I115*DO84,9)</f>
        <v>0</v>
      </c>
      <c r="CX84">
        <f>ROUND(Y84*Source!I115,9)</f>
        <v>1.83</v>
      </c>
      <c r="CY84">
        <f>AB84</f>
        <v>468.67</v>
      </c>
      <c r="CZ84">
        <f>AF84</f>
        <v>100.79</v>
      </c>
      <c r="DA84">
        <f>AJ84</f>
        <v>4.6500000000000004</v>
      </c>
      <c r="DB84">
        <f t="shared" si="32"/>
        <v>61.48</v>
      </c>
      <c r="DC84">
        <f t="shared" si="33"/>
        <v>0</v>
      </c>
      <c r="DD84" t="s">
        <v>3</v>
      </c>
      <c r="DE84" t="s">
        <v>3</v>
      </c>
      <c r="DF84">
        <f t="shared" si="34"/>
        <v>0</v>
      </c>
      <c r="DG84">
        <f>ROUND(ROUND(AF84*AJ84,2)*CX84,2)</f>
        <v>857.67</v>
      </c>
      <c r="DH84">
        <f>ROUND(ROUND(AG84*AK84,2)*CX84,2)</f>
        <v>0</v>
      </c>
      <c r="DI84">
        <f t="shared" si="30"/>
        <v>0</v>
      </c>
      <c r="DJ84">
        <f>DG84</f>
        <v>857.67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ROW(Source!A115)</f>
        <v>115</v>
      </c>
      <c r="B85">
        <v>84185495</v>
      </c>
      <c r="C85">
        <v>84193115</v>
      </c>
      <c r="D85">
        <v>37736609</v>
      </c>
      <c r="E85">
        <v>1</v>
      </c>
      <c r="F85">
        <v>1</v>
      </c>
      <c r="G85">
        <v>1</v>
      </c>
      <c r="H85">
        <v>3</v>
      </c>
      <c r="I85" t="s">
        <v>518</v>
      </c>
      <c r="J85" t="s">
        <v>519</v>
      </c>
      <c r="K85" t="s">
        <v>520</v>
      </c>
      <c r="L85">
        <v>1348</v>
      </c>
      <c r="N85">
        <v>1009</v>
      </c>
      <c r="O85" t="s">
        <v>126</v>
      </c>
      <c r="P85" t="s">
        <v>126</v>
      </c>
      <c r="Q85">
        <v>1000</v>
      </c>
      <c r="W85">
        <v>0</v>
      </c>
      <c r="X85">
        <v>1483167196</v>
      </c>
      <c r="Y85">
        <f t="shared" si="31"/>
        <v>3.0000000000000001E-5</v>
      </c>
      <c r="AA85">
        <v>119730</v>
      </c>
      <c r="AB85">
        <v>0</v>
      </c>
      <c r="AC85">
        <v>0</v>
      </c>
      <c r="AD85">
        <v>0</v>
      </c>
      <c r="AE85">
        <v>9750</v>
      </c>
      <c r="AF85">
        <v>0</v>
      </c>
      <c r="AG85">
        <v>0</v>
      </c>
      <c r="AH85">
        <v>0</v>
      </c>
      <c r="AI85">
        <v>12.28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3.0000000000000001E-5</v>
      </c>
      <c r="AU85" t="s">
        <v>3</v>
      </c>
      <c r="AV85">
        <v>0</v>
      </c>
      <c r="AW85">
        <v>2</v>
      </c>
      <c r="AX85">
        <v>84193128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ROUND(Y85*Source!I115,9)</f>
        <v>9.0000000000000006E-5</v>
      </c>
      <c r="CY85">
        <f>AA85</f>
        <v>119730</v>
      </c>
      <c r="CZ85">
        <f>AE85</f>
        <v>9750</v>
      </c>
      <c r="DA85">
        <f>AI85</f>
        <v>12.28</v>
      </c>
      <c r="DB85">
        <f t="shared" si="32"/>
        <v>0.28999999999999998</v>
      </c>
      <c r="DC85">
        <f t="shared" si="33"/>
        <v>0</v>
      </c>
      <c r="DD85" t="s">
        <v>3</v>
      </c>
      <c r="DE85" t="s">
        <v>3</v>
      </c>
      <c r="DF85">
        <f>ROUND(ROUND(AE85*AI85,2)*CX85,2)</f>
        <v>10.78</v>
      </c>
      <c r="DG85">
        <f t="shared" ref="DG85:DG92" si="35">ROUND(ROUND(AF85,2)*CX85,2)</f>
        <v>0</v>
      </c>
      <c r="DH85">
        <f t="shared" ref="DH85:DH92" si="36">ROUND(ROUND(AG85,2)*CX85,2)</f>
        <v>0</v>
      </c>
      <c r="DI85">
        <f t="shared" si="30"/>
        <v>0</v>
      </c>
      <c r="DJ85">
        <f>DF85</f>
        <v>10.78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ROW(Source!A115)</f>
        <v>115</v>
      </c>
      <c r="B86">
        <v>84185495</v>
      </c>
      <c r="C86">
        <v>84193115</v>
      </c>
      <c r="D86">
        <v>37753212</v>
      </c>
      <c r="E86">
        <v>1</v>
      </c>
      <c r="F86">
        <v>1</v>
      </c>
      <c r="G86">
        <v>1</v>
      </c>
      <c r="H86">
        <v>3</v>
      </c>
      <c r="I86" t="s">
        <v>232</v>
      </c>
      <c r="J86" t="s">
        <v>234</v>
      </c>
      <c r="K86" t="s">
        <v>233</v>
      </c>
      <c r="L86">
        <v>1348</v>
      </c>
      <c r="N86">
        <v>1009</v>
      </c>
      <c r="O86" t="s">
        <v>126</v>
      </c>
      <c r="P86" t="s">
        <v>126</v>
      </c>
      <c r="Q86">
        <v>1000</v>
      </c>
      <c r="W86">
        <v>1</v>
      </c>
      <c r="X86">
        <v>1308337192</v>
      </c>
      <c r="Y86">
        <f t="shared" si="31"/>
        <v>-5.0000000000000001E-3</v>
      </c>
      <c r="AA86">
        <v>69434.820000000007</v>
      </c>
      <c r="AB86">
        <v>0</v>
      </c>
      <c r="AC86">
        <v>0</v>
      </c>
      <c r="AD86">
        <v>0</v>
      </c>
      <c r="AE86">
        <v>6594</v>
      </c>
      <c r="AF86">
        <v>0</v>
      </c>
      <c r="AG86">
        <v>0</v>
      </c>
      <c r="AH86">
        <v>0</v>
      </c>
      <c r="AI86">
        <v>10.53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-5.0000000000000001E-3</v>
      </c>
      <c r="AU86" t="s">
        <v>3</v>
      </c>
      <c r="AV86">
        <v>0</v>
      </c>
      <c r="AW86">
        <v>2</v>
      </c>
      <c r="AX86">
        <v>84193129</v>
      </c>
      <c r="AY86">
        <v>1</v>
      </c>
      <c r="AZ86">
        <v>6144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ROUND(Y86*Source!I115,9)</f>
        <v>-1.4999999999999999E-2</v>
      </c>
      <c r="CY86">
        <f>AA86</f>
        <v>69434.820000000007</v>
      </c>
      <c r="CZ86">
        <f>AE86</f>
        <v>6594</v>
      </c>
      <c r="DA86">
        <f>AI86</f>
        <v>10.53</v>
      </c>
      <c r="DB86">
        <f t="shared" si="32"/>
        <v>-32.97</v>
      </c>
      <c r="DC86">
        <f t="shared" si="33"/>
        <v>0</v>
      </c>
      <c r="DD86" t="s">
        <v>3</v>
      </c>
      <c r="DE86" t="s">
        <v>3</v>
      </c>
      <c r="DF86">
        <f>ROUND(ROUND(AE86*AI86,2)*CX86,2)</f>
        <v>-1041.52</v>
      </c>
      <c r="DG86">
        <f t="shared" si="35"/>
        <v>0</v>
      </c>
      <c r="DH86">
        <f t="shared" si="36"/>
        <v>0</v>
      </c>
      <c r="DI86">
        <f t="shared" si="30"/>
        <v>0</v>
      </c>
      <c r="DJ86">
        <f>DF86</f>
        <v>-1041.52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ROW(Source!A118)</f>
        <v>118</v>
      </c>
      <c r="B87">
        <v>84185495</v>
      </c>
      <c r="C87">
        <v>84193132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532</v>
      </c>
      <c r="J87" t="s">
        <v>3</v>
      </c>
      <c r="K87" t="s">
        <v>533</v>
      </c>
      <c r="L87">
        <v>1369</v>
      </c>
      <c r="N87">
        <v>1013</v>
      </c>
      <c r="O87" t="s">
        <v>430</v>
      </c>
      <c r="P87" t="s">
        <v>430</v>
      </c>
      <c r="Q87">
        <v>1</v>
      </c>
      <c r="W87">
        <v>0</v>
      </c>
      <c r="X87">
        <v>-284458088</v>
      </c>
      <c r="Y87">
        <f t="shared" si="31"/>
        <v>0.61</v>
      </c>
      <c r="AA87">
        <v>0</v>
      </c>
      <c r="AB87">
        <v>0</v>
      </c>
      <c r="AC87">
        <v>0</v>
      </c>
      <c r="AD87">
        <v>12.08</v>
      </c>
      <c r="AE87">
        <v>0</v>
      </c>
      <c r="AF87">
        <v>0</v>
      </c>
      <c r="AG87">
        <v>0</v>
      </c>
      <c r="AH87">
        <v>12.08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0.61</v>
      </c>
      <c r="AU87" t="s">
        <v>3</v>
      </c>
      <c r="AV87">
        <v>1</v>
      </c>
      <c r="AW87">
        <v>2</v>
      </c>
      <c r="AX87">
        <v>84193135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ROUND(AT87*Source!I118*AH87*AL87,2)</f>
        <v>44.21</v>
      </c>
      <c r="CV87">
        <f>ROUND(Y87*Source!I118,9)</f>
        <v>3.66</v>
      </c>
      <c r="CW87">
        <v>0</v>
      </c>
      <c r="CX87">
        <f>ROUND(Y87*Source!I118,9)</f>
        <v>3.66</v>
      </c>
      <c r="CY87">
        <f t="shared" ref="CY87:CY92" si="37">AD87</f>
        <v>12.08</v>
      </c>
      <c r="CZ87">
        <f t="shared" ref="CZ87:CZ92" si="38">AH87</f>
        <v>12.08</v>
      </c>
      <c r="DA87">
        <f t="shared" ref="DA87:DA92" si="39">AL87</f>
        <v>1</v>
      </c>
      <c r="DB87">
        <f t="shared" si="32"/>
        <v>7.37</v>
      </c>
      <c r="DC87">
        <f t="shared" si="33"/>
        <v>0</v>
      </c>
      <c r="DD87" t="s">
        <v>3</v>
      </c>
      <c r="DE87" t="s">
        <v>3</v>
      </c>
      <c r="DF87">
        <f t="shared" ref="DF87:DF95" si="40">ROUND(ROUND(AE87,2)*CX87,2)</f>
        <v>0</v>
      </c>
      <c r="DG87">
        <f t="shared" si="35"/>
        <v>0</v>
      </c>
      <c r="DH87">
        <f t="shared" si="36"/>
        <v>0</v>
      </c>
      <c r="DI87">
        <f t="shared" si="30"/>
        <v>44.21</v>
      </c>
      <c r="DJ87">
        <f t="shared" ref="DJ87:DJ92" si="41">DI87</f>
        <v>44.21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ROW(Source!A118)</f>
        <v>118</v>
      </c>
      <c r="B88">
        <v>84185495</v>
      </c>
      <c r="C88">
        <v>84193132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534</v>
      </c>
      <c r="J88" t="s">
        <v>3</v>
      </c>
      <c r="K88" t="s">
        <v>535</v>
      </c>
      <c r="L88">
        <v>1369</v>
      </c>
      <c r="N88">
        <v>1013</v>
      </c>
      <c r="O88" t="s">
        <v>430</v>
      </c>
      <c r="P88" t="s">
        <v>430</v>
      </c>
      <c r="Q88">
        <v>1</v>
      </c>
      <c r="W88">
        <v>0</v>
      </c>
      <c r="X88">
        <v>-1713304237</v>
      </c>
      <c r="Y88">
        <f t="shared" si="31"/>
        <v>0.61</v>
      </c>
      <c r="AA88">
        <v>0</v>
      </c>
      <c r="AB88">
        <v>0</v>
      </c>
      <c r="AC88">
        <v>0</v>
      </c>
      <c r="AD88">
        <v>11.86</v>
      </c>
      <c r="AE88">
        <v>0</v>
      </c>
      <c r="AF88">
        <v>0</v>
      </c>
      <c r="AG88">
        <v>0</v>
      </c>
      <c r="AH88">
        <v>11.86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0.61</v>
      </c>
      <c r="AU88" t="s">
        <v>3</v>
      </c>
      <c r="AV88">
        <v>1</v>
      </c>
      <c r="AW88">
        <v>2</v>
      </c>
      <c r="AX88">
        <v>84193136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ROUND(AT88*Source!I118*AH88*AL88,2)</f>
        <v>43.41</v>
      </c>
      <c r="CV88">
        <f>ROUND(Y88*Source!I118,9)</f>
        <v>3.66</v>
      </c>
      <c r="CW88">
        <v>0</v>
      </c>
      <c r="CX88">
        <f>ROUND(Y88*Source!I118,9)</f>
        <v>3.66</v>
      </c>
      <c r="CY88">
        <f t="shared" si="37"/>
        <v>11.86</v>
      </c>
      <c r="CZ88">
        <f t="shared" si="38"/>
        <v>11.86</v>
      </c>
      <c r="DA88">
        <f t="shared" si="39"/>
        <v>1</v>
      </c>
      <c r="DB88">
        <f t="shared" si="32"/>
        <v>7.23</v>
      </c>
      <c r="DC88">
        <f t="shared" si="33"/>
        <v>0</v>
      </c>
      <c r="DD88" t="s">
        <v>3</v>
      </c>
      <c r="DE88" t="s">
        <v>3</v>
      </c>
      <c r="DF88">
        <f t="shared" si="40"/>
        <v>0</v>
      </c>
      <c r="DG88">
        <f t="shared" si="35"/>
        <v>0</v>
      </c>
      <c r="DH88">
        <f t="shared" si="36"/>
        <v>0</v>
      </c>
      <c r="DI88">
        <f t="shared" si="30"/>
        <v>43.41</v>
      </c>
      <c r="DJ88">
        <f t="shared" si="41"/>
        <v>43.41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ROW(Source!A119)</f>
        <v>119</v>
      </c>
      <c r="B89">
        <v>84185495</v>
      </c>
      <c r="C89">
        <v>84193137</v>
      </c>
      <c r="D89">
        <v>23567769</v>
      </c>
      <c r="E89">
        <v>1</v>
      </c>
      <c r="F89">
        <v>1</v>
      </c>
      <c r="G89">
        <v>1</v>
      </c>
      <c r="H89">
        <v>1</v>
      </c>
      <c r="I89" t="s">
        <v>532</v>
      </c>
      <c r="J89" t="s">
        <v>3</v>
      </c>
      <c r="K89" t="s">
        <v>533</v>
      </c>
      <c r="L89">
        <v>1369</v>
      </c>
      <c r="N89">
        <v>1013</v>
      </c>
      <c r="O89" t="s">
        <v>430</v>
      </c>
      <c r="P89" t="s">
        <v>430</v>
      </c>
      <c r="Q89">
        <v>1</v>
      </c>
      <c r="W89">
        <v>0</v>
      </c>
      <c r="X89">
        <v>-284458088</v>
      </c>
      <c r="Y89">
        <f t="shared" si="31"/>
        <v>6.48</v>
      </c>
      <c r="AA89">
        <v>0</v>
      </c>
      <c r="AB89">
        <v>0</v>
      </c>
      <c r="AC89">
        <v>0</v>
      </c>
      <c r="AD89">
        <v>12.08</v>
      </c>
      <c r="AE89">
        <v>0</v>
      </c>
      <c r="AF89">
        <v>0</v>
      </c>
      <c r="AG89">
        <v>0</v>
      </c>
      <c r="AH89">
        <v>12.08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6.48</v>
      </c>
      <c r="AU89" t="s">
        <v>3</v>
      </c>
      <c r="AV89">
        <v>1</v>
      </c>
      <c r="AW89">
        <v>2</v>
      </c>
      <c r="AX89">
        <v>84193140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ROUND(AT89*Source!I119*AH89*AL89,2)</f>
        <v>31.31</v>
      </c>
      <c r="CV89">
        <f>ROUND(Y89*Source!I119,9)</f>
        <v>2.5920000000000001</v>
      </c>
      <c r="CW89">
        <v>0</v>
      </c>
      <c r="CX89">
        <f>ROUND(Y89*Source!I119,9)</f>
        <v>2.5920000000000001</v>
      </c>
      <c r="CY89">
        <f t="shared" si="37"/>
        <v>12.08</v>
      </c>
      <c r="CZ89">
        <f t="shared" si="38"/>
        <v>12.08</v>
      </c>
      <c r="DA89">
        <f t="shared" si="39"/>
        <v>1</v>
      </c>
      <c r="DB89">
        <f t="shared" si="32"/>
        <v>78.28</v>
      </c>
      <c r="DC89">
        <f t="shared" si="33"/>
        <v>0</v>
      </c>
      <c r="DD89" t="s">
        <v>3</v>
      </c>
      <c r="DE89" t="s">
        <v>3</v>
      </c>
      <c r="DF89">
        <f t="shared" si="40"/>
        <v>0</v>
      </c>
      <c r="DG89">
        <f t="shared" si="35"/>
        <v>0</v>
      </c>
      <c r="DH89">
        <f t="shared" si="36"/>
        <v>0</v>
      </c>
      <c r="DI89">
        <f t="shared" si="30"/>
        <v>31.31</v>
      </c>
      <c r="DJ89">
        <f t="shared" si="41"/>
        <v>31.31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ROW(Source!A119)</f>
        <v>119</v>
      </c>
      <c r="B90">
        <v>84185495</v>
      </c>
      <c r="C90">
        <v>84193137</v>
      </c>
      <c r="D90">
        <v>23566809</v>
      </c>
      <c r="E90">
        <v>1</v>
      </c>
      <c r="F90">
        <v>1</v>
      </c>
      <c r="G90">
        <v>1</v>
      </c>
      <c r="H90">
        <v>1</v>
      </c>
      <c r="I90" t="s">
        <v>534</v>
      </c>
      <c r="J90" t="s">
        <v>3</v>
      </c>
      <c r="K90" t="s">
        <v>535</v>
      </c>
      <c r="L90">
        <v>1369</v>
      </c>
      <c r="N90">
        <v>1013</v>
      </c>
      <c r="O90" t="s">
        <v>430</v>
      </c>
      <c r="P90" t="s">
        <v>430</v>
      </c>
      <c r="Q90">
        <v>1</v>
      </c>
      <c r="W90">
        <v>0</v>
      </c>
      <c r="X90">
        <v>-1713304237</v>
      </c>
      <c r="Y90">
        <f t="shared" si="31"/>
        <v>6.48</v>
      </c>
      <c r="AA90">
        <v>0</v>
      </c>
      <c r="AB90">
        <v>0</v>
      </c>
      <c r="AC90">
        <v>0</v>
      </c>
      <c r="AD90">
        <v>11.86</v>
      </c>
      <c r="AE90">
        <v>0</v>
      </c>
      <c r="AF90">
        <v>0</v>
      </c>
      <c r="AG90">
        <v>0</v>
      </c>
      <c r="AH90">
        <v>11.86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6.48</v>
      </c>
      <c r="AU90" t="s">
        <v>3</v>
      </c>
      <c r="AV90">
        <v>1</v>
      </c>
      <c r="AW90">
        <v>2</v>
      </c>
      <c r="AX90">
        <v>84193141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ROUND(AT90*Source!I119*AH90*AL90,2)</f>
        <v>30.74</v>
      </c>
      <c r="CV90">
        <f>ROUND(Y90*Source!I119,9)</f>
        <v>2.5920000000000001</v>
      </c>
      <c r="CW90">
        <v>0</v>
      </c>
      <c r="CX90">
        <f>ROUND(Y90*Source!I119,9)</f>
        <v>2.5920000000000001</v>
      </c>
      <c r="CY90">
        <f t="shared" si="37"/>
        <v>11.86</v>
      </c>
      <c r="CZ90">
        <f t="shared" si="38"/>
        <v>11.86</v>
      </c>
      <c r="DA90">
        <f t="shared" si="39"/>
        <v>1</v>
      </c>
      <c r="DB90">
        <f t="shared" si="32"/>
        <v>76.849999999999994</v>
      </c>
      <c r="DC90">
        <f t="shared" si="33"/>
        <v>0</v>
      </c>
      <c r="DD90" t="s">
        <v>3</v>
      </c>
      <c r="DE90" t="s">
        <v>3</v>
      </c>
      <c r="DF90">
        <f t="shared" si="40"/>
        <v>0</v>
      </c>
      <c r="DG90">
        <f t="shared" si="35"/>
        <v>0</v>
      </c>
      <c r="DH90">
        <f t="shared" si="36"/>
        <v>0</v>
      </c>
      <c r="DI90">
        <f t="shared" si="30"/>
        <v>30.74</v>
      </c>
      <c r="DJ90">
        <f t="shared" si="41"/>
        <v>30.74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ROW(Source!A164)</f>
        <v>164</v>
      </c>
      <c r="B91">
        <v>84185495</v>
      </c>
      <c r="C91">
        <v>84185967</v>
      </c>
      <c r="D91">
        <v>23351395</v>
      </c>
      <c r="E91">
        <v>1</v>
      </c>
      <c r="F91">
        <v>1</v>
      </c>
      <c r="G91">
        <v>1</v>
      </c>
      <c r="H91">
        <v>1</v>
      </c>
      <c r="I91" t="s">
        <v>440</v>
      </c>
      <c r="J91" t="s">
        <v>3</v>
      </c>
      <c r="K91" t="s">
        <v>441</v>
      </c>
      <c r="L91">
        <v>1369</v>
      </c>
      <c r="N91">
        <v>1013</v>
      </c>
      <c r="O91" t="s">
        <v>430</v>
      </c>
      <c r="P91" t="s">
        <v>430</v>
      </c>
      <c r="Q91">
        <v>1</v>
      </c>
      <c r="W91">
        <v>0</v>
      </c>
      <c r="X91">
        <v>1072260845</v>
      </c>
      <c r="Y91">
        <f t="shared" si="31"/>
        <v>62.2</v>
      </c>
      <c r="AA91">
        <v>0</v>
      </c>
      <c r="AB91">
        <v>0</v>
      </c>
      <c r="AC91">
        <v>0</v>
      </c>
      <c r="AD91">
        <v>8.99</v>
      </c>
      <c r="AE91">
        <v>0</v>
      </c>
      <c r="AF91">
        <v>0</v>
      </c>
      <c r="AG91">
        <v>0</v>
      </c>
      <c r="AH91">
        <v>8.99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62.2</v>
      </c>
      <c r="AU91" t="s">
        <v>3</v>
      </c>
      <c r="AV91">
        <v>1</v>
      </c>
      <c r="AW91">
        <v>2</v>
      </c>
      <c r="AX91">
        <v>84185980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U91">
        <f>ROUND(AT91*Source!I164*AH91*AL91,2)</f>
        <v>12.67</v>
      </c>
      <c r="CV91">
        <f>ROUND(Y91*Source!I164,9)</f>
        <v>1.4094519999999999</v>
      </c>
      <c r="CW91">
        <v>0</v>
      </c>
      <c r="CX91">
        <f>ROUND(Y91*Source!I164,9)</f>
        <v>1.4094519999999999</v>
      </c>
      <c r="CY91">
        <f t="shared" si="37"/>
        <v>8.99</v>
      </c>
      <c r="CZ91">
        <f t="shared" si="38"/>
        <v>8.99</v>
      </c>
      <c r="DA91">
        <f t="shared" si="39"/>
        <v>1</v>
      </c>
      <c r="DB91">
        <f t="shared" si="32"/>
        <v>559.17999999999995</v>
      </c>
      <c r="DC91">
        <f t="shared" si="33"/>
        <v>0</v>
      </c>
      <c r="DD91" t="s">
        <v>3</v>
      </c>
      <c r="DE91" t="s">
        <v>3</v>
      </c>
      <c r="DF91">
        <f t="shared" si="40"/>
        <v>0</v>
      </c>
      <c r="DG91">
        <f t="shared" si="35"/>
        <v>0</v>
      </c>
      <c r="DH91">
        <f t="shared" si="36"/>
        <v>0</v>
      </c>
      <c r="DI91">
        <f t="shared" si="30"/>
        <v>12.67</v>
      </c>
      <c r="DJ91">
        <f t="shared" si="41"/>
        <v>12.67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ROW(Source!A164)</f>
        <v>164</v>
      </c>
      <c r="B92">
        <v>84185495</v>
      </c>
      <c r="C92">
        <v>84185967</v>
      </c>
      <c r="D92">
        <v>121548</v>
      </c>
      <c r="E92">
        <v>1</v>
      </c>
      <c r="F92">
        <v>1</v>
      </c>
      <c r="G92">
        <v>1</v>
      </c>
      <c r="H92">
        <v>1</v>
      </c>
      <c r="I92" t="s">
        <v>24</v>
      </c>
      <c r="J92" t="s">
        <v>3</v>
      </c>
      <c r="K92" t="s">
        <v>431</v>
      </c>
      <c r="L92">
        <v>608254</v>
      </c>
      <c r="N92">
        <v>1013</v>
      </c>
      <c r="O92" t="s">
        <v>432</v>
      </c>
      <c r="P92" t="s">
        <v>432</v>
      </c>
      <c r="Q92">
        <v>1</v>
      </c>
      <c r="W92">
        <v>0</v>
      </c>
      <c r="X92">
        <v>-185737400</v>
      </c>
      <c r="Y92">
        <f t="shared" si="31"/>
        <v>1.74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1.74</v>
      </c>
      <c r="AU92" t="s">
        <v>3</v>
      </c>
      <c r="AV92">
        <v>2</v>
      </c>
      <c r="AW92">
        <v>2</v>
      </c>
      <c r="AX92">
        <v>84185981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ROUND(Y92*Source!I164,9)</f>
        <v>3.9428400000000002E-2</v>
      </c>
      <c r="CY92">
        <f t="shared" si="37"/>
        <v>0</v>
      </c>
      <c r="CZ92">
        <f t="shared" si="38"/>
        <v>0</v>
      </c>
      <c r="DA92">
        <f t="shared" si="39"/>
        <v>1</v>
      </c>
      <c r="DB92">
        <f t="shared" si="32"/>
        <v>0</v>
      </c>
      <c r="DC92">
        <f t="shared" si="33"/>
        <v>0</v>
      </c>
      <c r="DD92" t="s">
        <v>3</v>
      </c>
      <c r="DE92" t="s">
        <v>3</v>
      </c>
      <c r="DF92">
        <f t="shared" si="40"/>
        <v>0</v>
      </c>
      <c r="DG92">
        <f t="shared" si="35"/>
        <v>0</v>
      </c>
      <c r="DH92">
        <f t="shared" si="36"/>
        <v>0</v>
      </c>
      <c r="DI92">
        <f t="shared" si="30"/>
        <v>0</v>
      </c>
      <c r="DJ92">
        <f t="shared" si="41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ROW(Source!A164)</f>
        <v>164</v>
      </c>
      <c r="B93">
        <v>84185495</v>
      </c>
      <c r="C93">
        <v>84185967</v>
      </c>
      <c r="D93">
        <v>37802432</v>
      </c>
      <c r="E93">
        <v>1</v>
      </c>
      <c r="F93">
        <v>1</v>
      </c>
      <c r="G93">
        <v>1</v>
      </c>
      <c r="H93">
        <v>2</v>
      </c>
      <c r="I93" t="s">
        <v>457</v>
      </c>
      <c r="J93" t="s">
        <v>458</v>
      </c>
      <c r="K93" t="s">
        <v>459</v>
      </c>
      <c r="L93">
        <v>1368</v>
      </c>
      <c r="N93">
        <v>1011</v>
      </c>
      <c r="O93" t="s">
        <v>436</v>
      </c>
      <c r="P93" t="s">
        <v>436</v>
      </c>
      <c r="Q93">
        <v>1</v>
      </c>
      <c r="W93">
        <v>0</v>
      </c>
      <c r="X93">
        <v>-1424728221</v>
      </c>
      <c r="Y93">
        <f t="shared" si="31"/>
        <v>1.74</v>
      </c>
      <c r="AA93">
        <v>0</v>
      </c>
      <c r="AB93">
        <v>1471.29</v>
      </c>
      <c r="AC93">
        <v>426.77</v>
      </c>
      <c r="AD93">
        <v>0</v>
      </c>
      <c r="AE93">
        <v>0</v>
      </c>
      <c r="AF93">
        <v>138.54</v>
      </c>
      <c r="AG93">
        <v>12.1</v>
      </c>
      <c r="AH93">
        <v>0</v>
      </c>
      <c r="AI93">
        <v>1</v>
      </c>
      <c r="AJ93">
        <v>10.62</v>
      </c>
      <c r="AK93">
        <v>35.270000000000003</v>
      </c>
      <c r="AL93">
        <v>1</v>
      </c>
      <c r="AM93">
        <v>2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1.74</v>
      </c>
      <c r="AU93" t="s">
        <v>3</v>
      </c>
      <c r="AV93">
        <v>0</v>
      </c>
      <c r="AW93">
        <v>2</v>
      </c>
      <c r="AX93">
        <v>84185982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f>ROUND(Y93*Source!I164*DO93,9)</f>
        <v>0</v>
      </c>
      <c r="CX93">
        <f>ROUND(Y93*Source!I164,9)</f>
        <v>3.9428400000000002E-2</v>
      </c>
      <c r="CY93">
        <f>AB93</f>
        <v>1471.29</v>
      </c>
      <c r="CZ93">
        <f>AF93</f>
        <v>138.54</v>
      </c>
      <c r="DA93">
        <f>AJ93</f>
        <v>10.62</v>
      </c>
      <c r="DB93">
        <f t="shared" si="32"/>
        <v>241.06</v>
      </c>
      <c r="DC93">
        <f t="shared" si="33"/>
        <v>21.05</v>
      </c>
      <c r="DD93" t="s">
        <v>3</v>
      </c>
      <c r="DE93" t="s">
        <v>3</v>
      </c>
      <c r="DF93">
        <f t="shared" si="40"/>
        <v>0</v>
      </c>
      <c r="DG93">
        <f>ROUND(ROUND(AF93*AJ93,2)*CX93,2)</f>
        <v>58.01</v>
      </c>
      <c r="DH93">
        <f>ROUND(ROUND(AG93*AK93,2)*CX93,2)</f>
        <v>16.829999999999998</v>
      </c>
      <c r="DI93">
        <f t="shared" si="30"/>
        <v>0</v>
      </c>
      <c r="DJ93">
        <f>DG93</f>
        <v>58.01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ROW(Source!A164)</f>
        <v>164</v>
      </c>
      <c r="B94">
        <v>84185495</v>
      </c>
      <c r="C94">
        <v>84185967</v>
      </c>
      <c r="D94">
        <v>37802657</v>
      </c>
      <c r="E94">
        <v>1</v>
      </c>
      <c r="F94">
        <v>1</v>
      </c>
      <c r="G94">
        <v>1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436</v>
      </c>
      <c r="P94" t="s">
        <v>436</v>
      </c>
      <c r="Q94">
        <v>1</v>
      </c>
      <c r="W94">
        <v>0</v>
      </c>
      <c r="X94">
        <v>1084334125</v>
      </c>
      <c r="Y94">
        <f t="shared" si="31"/>
        <v>15.1</v>
      </c>
      <c r="AA94">
        <v>0</v>
      </c>
      <c r="AB94">
        <v>51.94</v>
      </c>
      <c r="AC94">
        <v>0</v>
      </c>
      <c r="AD94">
        <v>0</v>
      </c>
      <c r="AE94">
        <v>0</v>
      </c>
      <c r="AF94">
        <v>7.55</v>
      </c>
      <c r="AG94">
        <v>0</v>
      </c>
      <c r="AH94">
        <v>0</v>
      </c>
      <c r="AI94">
        <v>1</v>
      </c>
      <c r="AJ94">
        <v>6.88</v>
      </c>
      <c r="AK94">
        <v>35.270000000000003</v>
      </c>
      <c r="AL94">
        <v>1</v>
      </c>
      <c r="AM94">
        <v>2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15.1</v>
      </c>
      <c r="AU94" t="s">
        <v>3</v>
      </c>
      <c r="AV94">
        <v>0</v>
      </c>
      <c r="AW94">
        <v>2</v>
      </c>
      <c r="AX94">
        <v>84185983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f>ROUND(Y94*Source!I164*DO94,9)</f>
        <v>0</v>
      </c>
      <c r="CX94">
        <f>ROUND(Y94*Source!I164,9)</f>
        <v>0.34216600000000003</v>
      </c>
      <c r="CY94">
        <f>AB94</f>
        <v>51.94</v>
      </c>
      <c r="CZ94">
        <f>AF94</f>
        <v>7.55</v>
      </c>
      <c r="DA94">
        <f>AJ94</f>
        <v>6.88</v>
      </c>
      <c r="DB94">
        <f t="shared" si="32"/>
        <v>114.01</v>
      </c>
      <c r="DC94">
        <f t="shared" si="33"/>
        <v>0</v>
      </c>
      <c r="DD94" t="s">
        <v>3</v>
      </c>
      <c r="DE94" t="s">
        <v>3</v>
      </c>
      <c r="DF94">
        <f t="shared" si="40"/>
        <v>0</v>
      </c>
      <c r="DG94">
        <f>ROUND(ROUND(AF94*AJ94,2)*CX94,2)</f>
        <v>17.77</v>
      </c>
      <c r="DH94">
        <f>ROUND(ROUND(AG94*AK94,2)*CX94,2)</f>
        <v>0</v>
      </c>
      <c r="DI94">
        <f t="shared" si="30"/>
        <v>0</v>
      </c>
      <c r="DJ94">
        <f>DG94</f>
        <v>17.77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ROW(Source!A164)</f>
        <v>164</v>
      </c>
      <c r="B95">
        <v>84185495</v>
      </c>
      <c r="C95">
        <v>84185967</v>
      </c>
      <c r="D95">
        <v>37804456</v>
      </c>
      <c r="E95">
        <v>1</v>
      </c>
      <c r="F95">
        <v>1</v>
      </c>
      <c r="G95">
        <v>1</v>
      </c>
      <c r="H95">
        <v>2</v>
      </c>
      <c r="I95" t="s">
        <v>437</v>
      </c>
      <c r="J95" t="s">
        <v>438</v>
      </c>
      <c r="K95" t="s">
        <v>439</v>
      </c>
      <c r="L95">
        <v>1368</v>
      </c>
      <c r="N95">
        <v>1011</v>
      </c>
      <c r="O95" t="s">
        <v>436</v>
      </c>
      <c r="P95" t="s">
        <v>436</v>
      </c>
      <c r="Q95">
        <v>1</v>
      </c>
      <c r="W95">
        <v>0</v>
      </c>
      <c r="X95">
        <v>-671646184</v>
      </c>
      <c r="Y95">
        <f t="shared" si="31"/>
        <v>1.74</v>
      </c>
      <c r="AA95">
        <v>0</v>
      </c>
      <c r="AB95">
        <v>1305.74</v>
      </c>
      <c r="AC95">
        <v>365.04</v>
      </c>
      <c r="AD95">
        <v>0</v>
      </c>
      <c r="AE95">
        <v>0</v>
      </c>
      <c r="AF95">
        <v>91.76</v>
      </c>
      <c r="AG95">
        <v>10.35</v>
      </c>
      <c r="AH95">
        <v>0</v>
      </c>
      <c r="AI95">
        <v>1</v>
      </c>
      <c r="AJ95">
        <v>14.23</v>
      </c>
      <c r="AK95">
        <v>35.270000000000003</v>
      </c>
      <c r="AL95">
        <v>1</v>
      </c>
      <c r="AM95">
        <v>2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1.74</v>
      </c>
      <c r="AU95" t="s">
        <v>3</v>
      </c>
      <c r="AV95">
        <v>0</v>
      </c>
      <c r="AW95">
        <v>2</v>
      </c>
      <c r="AX95">
        <v>84185984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f>ROUND(Y95*Source!I164*DO95,9)</f>
        <v>0</v>
      </c>
      <c r="CX95">
        <f>ROUND(Y95*Source!I164,9)</f>
        <v>3.9428400000000002E-2</v>
      </c>
      <c r="CY95">
        <f>AB95</f>
        <v>1305.74</v>
      </c>
      <c r="CZ95">
        <f>AF95</f>
        <v>91.76</v>
      </c>
      <c r="DA95">
        <f>AJ95</f>
        <v>14.23</v>
      </c>
      <c r="DB95">
        <f t="shared" si="32"/>
        <v>159.66</v>
      </c>
      <c r="DC95">
        <f t="shared" si="33"/>
        <v>18.010000000000002</v>
      </c>
      <c r="DD95" t="s">
        <v>3</v>
      </c>
      <c r="DE95" t="s">
        <v>3</v>
      </c>
      <c r="DF95">
        <f t="shared" si="40"/>
        <v>0</v>
      </c>
      <c r="DG95">
        <f>ROUND(ROUND(AF95*AJ95,2)*CX95,2)</f>
        <v>51.48</v>
      </c>
      <c r="DH95">
        <f>ROUND(ROUND(AG95*AK95,2)*CX95,2)</f>
        <v>14.39</v>
      </c>
      <c r="DI95">
        <f t="shared" si="30"/>
        <v>0</v>
      </c>
      <c r="DJ95">
        <f>DG95</f>
        <v>51.48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ROW(Source!A164)</f>
        <v>164</v>
      </c>
      <c r="B96">
        <v>84185495</v>
      </c>
      <c r="C96">
        <v>84185967</v>
      </c>
      <c r="D96">
        <v>37731377</v>
      </c>
      <c r="E96">
        <v>1</v>
      </c>
      <c r="F96">
        <v>1</v>
      </c>
      <c r="G96">
        <v>1</v>
      </c>
      <c r="H96">
        <v>3</v>
      </c>
      <c r="I96" t="s">
        <v>463</v>
      </c>
      <c r="J96" t="s">
        <v>464</v>
      </c>
      <c r="K96" t="s">
        <v>465</v>
      </c>
      <c r="L96">
        <v>1348</v>
      </c>
      <c r="N96">
        <v>1009</v>
      </c>
      <c r="O96" t="s">
        <v>126</v>
      </c>
      <c r="P96" t="s">
        <v>126</v>
      </c>
      <c r="Q96">
        <v>1000</v>
      </c>
      <c r="W96">
        <v>0</v>
      </c>
      <c r="X96">
        <v>994982934</v>
      </c>
      <c r="Y96">
        <f t="shared" si="31"/>
        <v>0.18</v>
      </c>
      <c r="AA96">
        <v>10045.32</v>
      </c>
      <c r="AB96">
        <v>0</v>
      </c>
      <c r="AC96">
        <v>0</v>
      </c>
      <c r="AD96">
        <v>0</v>
      </c>
      <c r="AE96">
        <v>582</v>
      </c>
      <c r="AF96">
        <v>0</v>
      </c>
      <c r="AG96">
        <v>0</v>
      </c>
      <c r="AH96">
        <v>0</v>
      </c>
      <c r="AI96">
        <v>17.260000000000002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0.18</v>
      </c>
      <c r="AU96" t="s">
        <v>3</v>
      </c>
      <c r="AV96">
        <v>0</v>
      </c>
      <c r="AW96">
        <v>2</v>
      </c>
      <c r="AX96">
        <v>84185985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ROUND(Y96*Source!I164,9)</f>
        <v>4.0787999999999996E-3</v>
      </c>
      <c r="CY96">
        <f t="shared" ref="CY96:CY102" si="42">AA96</f>
        <v>10045.32</v>
      </c>
      <c r="CZ96">
        <f t="shared" ref="CZ96:CZ102" si="43">AE96</f>
        <v>582</v>
      </c>
      <c r="DA96">
        <f t="shared" ref="DA96:DA102" si="44">AI96</f>
        <v>17.260000000000002</v>
      </c>
      <c r="DB96">
        <f t="shared" si="32"/>
        <v>104.76</v>
      </c>
      <c r="DC96">
        <f t="shared" si="33"/>
        <v>0</v>
      </c>
      <c r="DD96" t="s">
        <v>3</v>
      </c>
      <c r="DE96" t="s">
        <v>3</v>
      </c>
      <c r="DF96">
        <f t="shared" ref="DF96:DF101" si="45">ROUND(ROUND(AE96*AI96,2)*CX96,2)</f>
        <v>40.97</v>
      </c>
      <c r="DG96">
        <f t="shared" ref="DG96:DG104" si="46">ROUND(ROUND(AF96,2)*CX96,2)</f>
        <v>0</v>
      </c>
      <c r="DH96">
        <f t="shared" ref="DH96:DH104" si="47">ROUND(ROUND(AG96,2)*CX96,2)</f>
        <v>0</v>
      </c>
      <c r="DI96">
        <f t="shared" si="30"/>
        <v>0</v>
      </c>
      <c r="DJ96">
        <f t="shared" ref="DJ96:DJ102" si="48">DF96</f>
        <v>40.97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ROW(Source!A164)</f>
        <v>164</v>
      </c>
      <c r="B97">
        <v>84185495</v>
      </c>
      <c r="C97">
        <v>84185967</v>
      </c>
      <c r="D97">
        <v>37737041</v>
      </c>
      <c r="E97">
        <v>1</v>
      </c>
      <c r="F97">
        <v>1</v>
      </c>
      <c r="G97">
        <v>1</v>
      </c>
      <c r="H97">
        <v>3</v>
      </c>
      <c r="I97" t="s">
        <v>466</v>
      </c>
      <c r="J97" t="s">
        <v>467</v>
      </c>
      <c r="K97" t="s">
        <v>468</v>
      </c>
      <c r="L97">
        <v>1355</v>
      </c>
      <c r="N97">
        <v>1010</v>
      </c>
      <c r="O97" t="s">
        <v>27</v>
      </c>
      <c r="P97" t="s">
        <v>27</v>
      </c>
      <c r="Q97">
        <v>100</v>
      </c>
      <c r="W97">
        <v>0</v>
      </c>
      <c r="X97">
        <v>-1585051097</v>
      </c>
      <c r="Y97">
        <f t="shared" si="31"/>
        <v>0.8</v>
      </c>
      <c r="AA97">
        <v>464.46</v>
      </c>
      <c r="AB97">
        <v>0</v>
      </c>
      <c r="AC97">
        <v>0</v>
      </c>
      <c r="AD97">
        <v>0</v>
      </c>
      <c r="AE97">
        <v>111.65</v>
      </c>
      <c r="AF97">
        <v>0</v>
      </c>
      <c r="AG97">
        <v>0</v>
      </c>
      <c r="AH97">
        <v>0</v>
      </c>
      <c r="AI97">
        <v>4.16</v>
      </c>
      <c r="AJ97">
        <v>1</v>
      </c>
      <c r="AK97">
        <v>1</v>
      </c>
      <c r="AL97">
        <v>1</v>
      </c>
      <c r="AM97">
        <v>2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0.8</v>
      </c>
      <c r="AU97" t="s">
        <v>3</v>
      </c>
      <c r="AV97">
        <v>0</v>
      </c>
      <c r="AW97">
        <v>2</v>
      </c>
      <c r="AX97">
        <v>84185986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ROUND(Y97*Source!I164,9)</f>
        <v>1.8127999999999998E-2</v>
      </c>
      <c r="CY97">
        <f t="shared" si="42"/>
        <v>464.46</v>
      </c>
      <c r="CZ97">
        <f t="shared" si="43"/>
        <v>111.65</v>
      </c>
      <c r="DA97">
        <f t="shared" si="44"/>
        <v>4.16</v>
      </c>
      <c r="DB97">
        <f t="shared" si="32"/>
        <v>89.32</v>
      </c>
      <c r="DC97">
        <f t="shared" si="33"/>
        <v>0</v>
      </c>
      <c r="DD97" t="s">
        <v>3</v>
      </c>
      <c r="DE97" t="s">
        <v>3</v>
      </c>
      <c r="DF97">
        <f t="shared" si="45"/>
        <v>8.42</v>
      </c>
      <c r="DG97">
        <f t="shared" si="46"/>
        <v>0</v>
      </c>
      <c r="DH97">
        <f t="shared" si="47"/>
        <v>0</v>
      </c>
      <c r="DI97">
        <f t="shared" ref="DI97:DI128" si="49">ROUND(ROUND(AH97,2)*CX97,2)</f>
        <v>0</v>
      </c>
      <c r="DJ97">
        <f t="shared" si="48"/>
        <v>8.42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ROW(Source!A164)</f>
        <v>164</v>
      </c>
      <c r="B98">
        <v>84185495</v>
      </c>
      <c r="C98">
        <v>84185967</v>
      </c>
      <c r="D98">
        <v>37736610</v>
      </c>
      <c r="E98">
        <v>1</v>
      </c>
      <c r="F98">
        <v>1</v>
      </c>
      <c r="G98">
        <v>1</v>
      </c>
      <c r="H98">
        <v>3</v>
      </c>
      <c r="I98" t="s">
        <v>469</v>
      </c>
      <c r="J98" t="s">
        <v>470</v>
      </c>
      <c r="K98" t="s">
        <v>471</v>
      </c>
      <c r="L98">
        <v>1346</v>
      </c>
      <c r="N98">
        <v>1009</v>
      </c>
      <c r="O98" t="s">
        <v>148</v>
      </c>
      <c r="P98" t="s">
        <v>148</v>
      </c>
      <c r="Q98">
        <v>1</v>
      </c>
      <c r="W98">
        <v>0</v>
      </c>
      <c r="X98">
        <v>-347328291</v>
      </c>
      <c r="Y98">
        <f t="shared" si="31"/>
        <v>4.2</v>
      </c>
      <c r="AA98">
        <v>121.82</v>
      </c>
      <c r="AB98">
        <v>0</v>
      </c>
      <c r="AC98">
        <v>0</v>
      </c>
      <c r="AD98">
        <v>0</v>
      </c>
      <c r="AE98">
        <v>12.65</v>
      </c>
      <c r="AF98">
        <v>0</v>
      </c>
      <c r="AG98">
        <v>0</v>
      </c>
      <c r="AH98">
        <v>0</v>
      </c>
      <c r="AI98">
        <v>9.6300000000000008</v>
      </c>
      <c r="AJ98">
        <v>1</v>
      </c>
      <c r="AK98">
        <v>1</v>
      </c>
      <c r="AL98">
        <v>1</v>
      </c>
      <c r="AM98">
        <v>2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4.2</v>
      </c>
      <c r="AU98" t="s">
        <v>3</v>
      </c>
      <c r="AV98">
        <v>0</v>
      </c>
      <c r="AW98">
        <v>2</v>
      </c>
      <c r="AX98">
        <v>84185987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ROUND(Y98*Source!I164,9)</f>
        <v>9.5172000000000007E-2</v>
      </c>
      <c r="CY98">
        <f t="shared" si="42"/>
        <v>121.82</v>
      </c>
      <c r="CZ98">
        <f t="shared" si="43"/>
        <v>12.65</v>
      </c>
      <c r="DA98">
        <f t="shared" si="44"/>
        <v>9.6300000000000008</v>
      </c>
      <c r="DB98">
        <f t="shared" si="32"/>
        <v>53.13</v>
      </c>
      <c r="DC98">
        <f t="shared" si="33"/>
        <v>0</v>
      </c>
      <c r="DD98" t="s">
        <v>3</v>
      </c>
      <c r="DE98" t="s">
        <v>3</v>
      </c>
      <c r="DF98">
        <f t="shared" si="45"/>
        <v>11.59</v>
      </c>
      <c r="DG98">
        <f t="shared" si="46"/>
        <v>0</v>
      </c>
      <c r="DH98">
        <f t="shared" si="47"/>
        <v>0</v>
      </c>
      <c r="DI98">
        <f t="shared" si="49"/>
        <v>0</v>
      </c>
      <c r="DJ98">
        <f t="shared" si="48"/>
        <v>11.59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ROW(Source!A164)</f>
        <v>164</v>
      </c>
      <c r="B99">
        <v>84185495</v>
      </c>
      <c r="C99">
        <v>84185967</v>
      </c>
      <c r="D99">
        <v>37736858</v>
      </c>
      <c r="E99">
        <v>1</v>
      </c>
      <c r="F99">
        <v>1</v>
      </c>
      <c r="G99">
        <v>1</v>
      </c>
      <c r="H99">
        <v>3</v>
      </c>
      <c r="I99" t="s">
        <v>472</v>
      </c>
      <c r="J99" t="s">
        <v>473</v>
      </c>
      <c r="K99" t="s">
        <v>125</v>
      </c>
      <c r="L99">
        <v>1346</v>
      </c>
      <c r="N99">
        <v>1009</v>
      </c>
      <c r="O99" t="s">
        <v>148</v>
      </c>
      <c r="P99" t="s">
        <v>148</v>
      </c>
      <c r="Q99">
        <v>1</v>
      </c>
      <c r="W99">
        <v>0</v>
      </c>
      <c r="X99">
        <v>-1815671160</v>
      </c>
      <c r="Y99">
        <f t="shared" si="31"/>
        <v>27</v>
      </c>
      <c r="AA99">
        <v>288.5</v>
      </c>
      <c r="AB99">
        <v>0</v>
      </c>
      <c r="AC99">
        <v>0</v>
      </c>
      <c r="AD99">
        <v>0</v>
      </c>
      <c r="AE99">
        <v>9.49</v>
      </c>
      <c r="AF99">
        <v>0</v>
      </c>
      <c r="AG99">
        <v>0</v>
      </c>
      <c r="AH99">
        <v>0</v>
      </c>
      <c r="AI99">
        <v>30.4</v>
      </c>
      <c r="AJ99">
        <v>1</v>
      </c>
      <c r="AK99">
        <v>1</v>
      </c>
      <c r="AL99">
        <v>1</v>
      </c>
      <c r="AM99">
        <v>2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27</v>
      </c>
      <c r="AU99" t="s">
        <v>3</v>
      </c>
      <c r="AV99">
        <v>0</v>
      </c>
      <c r="AW99">
        <v>2</v>
      </c>
      <c r="AX99">
        <v>84185988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ROUND(Y99*Source!I164,9)</f>
        <v>0.61182000000000003</v>
      </c>
      <c r="CY99">
        <f t="shared" si="42"/>
        <v>288.5</v>
      </c>
      <c r="CZ99">
        <f t="shared" si="43"/>
        <v>9.49</v>
      </c>
      <c r="DA99">
        <f t="shared" si="44"/>
        <v>30.4</v>
      </c>
      <c r="DB99">
        <f t="shared" si="32"/>
        <v>256.23</v>
      </c>
      <c r="DC99">
        <f t="shared" si="33"/>
        <v>0</v>
      </c>
      <c r="DD99" t="s">
        <v>3</v>
      </c>
      <c r="DE99" t="s">
        <v>3</v>
      </c>
      <c r="DF99">
        <f t="shared" si="45"/>
        <v>176.51</v>
      </c>
      <c r="DG99">
        <f t="shared" si="46"/>
        <v>0</v>
      </c>
      <c r="DH99">
        <f t="shared" si="47"/>
        <v>0</v>
      </c>
      <c r="DI99">
        <f t="shared" si="49"/>
        <v>0</v>
      </c>
      <c r="DJ99">
        <f t="shared" si="48"/>
        <v>176.51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ROW(Source!A164)</f>
        <v>164</v>
      </c>
      <c r="B100">
        <v>84185495</v>
      </c>
      <c r="C100">
        <v>84185967</v>
      </c>
      <c r="D100">
        <v>37751465</v>
      </c>
      <c r="E100">
        <v>1</v>
      </c>
      <c r="F100">
        <v>1</v>
      </c>
      <c r="G100">
        <v>1</v>
      </c>
      <c r="H100">
        <v>3</v>
      </c>
      <c r="I100" t="s">
        <v>474</v>
      </c>
      <c r="J100" t="s">
        <v>475</v>
      </c>
      <c r="K100" t="s">
        <v>476</v>
      </c>
      <c r="L100">
        <v>1348</v>
      </c>
      <c r="N100">
        <v>1009</v>
      </c>
      <c r="O100" t="s">
        <v>126</v>
      </c>
      <c r="P100" t="s">
        <v>126</v>
      </c>
      <c r="Q100">
        <v>1000</v>
      </c>
      <c r="W100">
        <v>0</v>
      </c>
      <c r="X100">
        <v>-1120195284</v>
      </c>
      <c r="Y100">
        <f t="shared" si="31"/>
        <v>1</v>
      </c>
      <c r="AA100">
        <v>125245.82</v>
      </c>
      <c r="AB100">
        <v>0</v>
      </c>
      <c r="AC100">
        <v>0</v>
      </c>
      <c r="AD100">
        <v>0</v>
      </c>
      <c r="AE100">
        <v>11672.49</v>
      </c>
      <c r="AF100">
        <v>0</v>
      </c>
      <c r="AG100">
        <v>0</v>
      </c>
      <c r="AH100">
        <v>0</v>
      </c>
      <c r="AI100">
        <v>10.73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</v>
      </c>
      <c r="AU100" t="s">
        <v>3</v>
      </c>
      <c r="AV100">
        <v>0</v>
      </c>
      <c r="AW100">
        <v>2</v>
      </c>
      <c r="AX100">
        <v>84185989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V100">
        <v>0</v>
      </c>
      <c r="CW100">
        <v>0</v>
      </c>
      <c r="CX100">
        <f>ROUND(Y100*Source!I164,9)</f>
        <v>2.266E-2</v>
      </c>
      <c r="CY100">
        <f t="shared" si="42"/>
        <v>125245.82</v>
      </c>
      <c r="CZ100">
        <f t="shared" si="43"/>
        <v>11672.49</v>
      </c>
      <c r="DA100">
        <f t="shared" si="44"/>
        <v>10.73</v>
      </c>
      <c r="DB100">
        <f t="shared" si="32"/>
        <v>11672.49</v>
      </c>
      <c r="DC100">
        <f t="shared" si="33"/>
        <v>0</v>
      </c>
      <c r="DD100" t="s">
        <v>3</v>
      </c>
      <c r="DE100" t="s">
        <v>3</v>
      </c>
      <c r="DF100">
        <f t="shared" si="45"/>
        <v>2838.07</v>
      </c>
      <c r="DG100">
        <f t="shared" si="46"/>
        <v>0</v>
      </c>
      <c r="DH100">
        <f t="shared" si="47"/>
        <v>0</v>
      </c>
      <c r="DI100">
        <f t="shared" si="49"/>
        <v>0</v>
      </c>
      <c r="DJ100">
        <f t="shared" si="48"/>
        <v>2838.07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ROW(Source!A164)</f>
        <v>164</v>
      </c>
      <c r="B101">
        <v>84185495</v>
      </c>
      <c r="C101">
        <v>84185967</v>
      </c>
      <c r="D101">
        <v>37777370</v>
      </c>
      <c r="E101">
        <v>1</v>
      </c>
      <c r="F101">
        <v>1</v>
      </c>
      <c r="G101">
        <v>1</v>
      </c>
      <c r="H101">
        <v>3</v>
      </c>
      <c r="I101" t="s">
        <v>477</v>
      </c>
      <c r="J101" t="s">
        <v>478</v>
      </c>
      <c r="K101" t="s">
        <v>479</v>
      </c>
      <c r="L101">
        <v>1339</v>
      </c>
      <c r="N101">
        <v>1007</v>
      </c>
      <c r="O101" t="s">
        <v>480</v>
      </c>
      <c r="P101" t="s">
        <v>480</v>
      </c>
      <c r="Q101">
        <v>1</v>
      </c>
      <c r="W101">
        <v>0</v>
      </c>
      <c r="X101">
        <v>1123154371</v>
      </c>
      <c r="Y101">
        <f t="shared" si="31"/>
        <v>0.15</v>
      </c>
      <c r="AA101">
        <v>975.05</v>
      </c>
      <c r="AB101">
        <v>0</v>
      </c>
      <c r="AC101">
        <v>0</v>
      </c>
      <c r="AD101">
        <v>0</v>
      </c>
      <c r="AE101">
        <v>64.959999999999994</v>
      </c>
      <c r="AF101">
        <v>0</v>
      </c>
      <c r="AG101">
        <v>0</v>
      </c>
      <c r="AH101">
        <v>0</v>
      </c>
      <c r="AI101">
        <v>15.01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0.15</v>
      </c>
      <c r="AU101" t="s">
        <v>3</v>
      </c>
      <c r="AV101">
        <v>0</v>
      </c>
      <c r="AW101">
        <v>2</v>
      </c>
      <c r="AX101">
        <v>84185990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v>0</v>
      </c>
      <c r="CX101">
        <f>ROUND(Y101*Source!I164,9)</f>
        <v>3.3990000000000001E-3</v>
      </c>
      <c r="CY101">
        <f t="shared" si="42"/>
        <v>975.05</v>
      </c>
      <c r="CZ101">
        <f t="shared" si="43"/>
        <v>64.959999999999994</v>
      </c>
      <c r="DA101">
        <f t="shared" si="44"/>
        <v>15.01</v>
      </c>
      <c r="DB101">
        <f t="shared" si="32"/>
        <v>9.74</v>
      </c>
      <c r="DC101">
        <f t="shared" si="33"/>
        <v>0</v>
      </c>
      <c r="DD101" t="s">
        <v>3</v>
      </c>
      <c r="DE101" t="s">
        <v>3</v>
      </c>
      <c r="DF101">
        <f t="shared" si="45"/>
        <v>3.31</v>
      </c>
      <c r="DG101">
        <f t="shared" si="46"/>
        <v>0</v>
      </c>
      <c r="DH101">
        <f t="shared" si="47"/>
        <v>0</v>
      </c>
      <c r="DI101">
        <f t="shared" si="49"/>
        <v>0</v>
      </c>
      <c r="DJ101">
        <f t="shared" si="48"/>
        <v>3.31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ROW(Source!A164)</f>
        <v>164</v>
      </c>
      <c r="B102">
        <v>84185495</v>
      </c>
      <c r="C102">
        <v>84185967</v>
      </c>
      <c r="D102">
        <v>37801918</v>
      </c>
      <c r="E102">
        <v>1</v>
      </c>
      <c r="F102">
        <v>1</v>
      </c>
      <c r="G102">
        <v>1</v>
      </c>
      <c r="H102">
        <v>3</v>
      </c>
      <c r="I102" t="s">
        <v>442</v>
      </c>
      <c r="J102" t="s">
        <v>443</v>
      </c>
      <c r="K102" t="s">
        <v>444</v>
      </c>
      <c r="L102">
        <v>1374</v>
      </c>
      <c r="N102">
        <v>1013</v>
      </c>
      <c r="O102" t="s">
        <v>445</v>
      </c>
      <c r="P102" t="s">
        <v>445</v>
      </c>
      <c r="Q102">
        <v>1</v>
      </c>
      <c r="W102">
        <v>0</v>
      </c>
      <c r="X102">
        <v>2131831278</v>
      </c>
      <c r="Y102">
        <f t="shared" si="31"/>
        <v>11.18</v>
      </c>
      <c r="AA102">
        <v>1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11.18</v>
      </c>
      <c r="AU102" t="s">
        <v>3</v>
      </c>
      <c r="AV102">
        <v>0</v>
      </c>
      <c r="AW102">
        <v>2</v>
      </c>
      <c r="AX102">
        <v>84185991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ROUND(Y102*Source!I164,9)</f>
        <v>0.25333879999999998</v>
      </c>
      <c r="CY102">
        <f t="shared" si="42"/>
        <v>1</v>
      </c>
      <c r="CZ102">
        <f t="shared" si="43"/>
        <v>1</v>
      </c>
      <c r="DA102">
        <f t="shared" si="44"/>
        <v>1</v>
      </c>
      <c r="DB102">
        <f t="shared" si="32"/>
        <v>11.18</v>
      </c>
      <c r="DC102">
        <f t="shared" si="33"/>
        <v>0</v>
      </c>
      <c r="DD102" t="s">
        <v>3</v>
      </c>
      <c r="DE102" t="s">
        <v>3</v>
      </c>
      <c r="DF102">
        <f>ROUND(ROUND(AE102,2)*CX102,2)</f>
        <v>0.25</v>
      </c>
      <c r="DG102">
        <f t="shared" si="46"/>
        <v>0</v>
      </c>
      <c r="DH102">
        <f t="shared" si="47"/>
        <v>0</v>
      </c>
      <c r="DI102">
        <f t="shared" si="49"/>
        <v>0</v>
      </c>
      <c r="DJ102">
        <f t="shared" si="48"/>
        <v>0.25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ROW(Source!A165)</f>
        <v>165</v>
      </c>
      <c r="B103">
        <v>84185495</v>
      </c>
      <c r="C103">
        <v>84185992</v>
      </c>
      <c r="D103">
        <v>23146451</v>
      </c>
      <c r="E103">
        <v>1</v>
      </c>
      <c r="F103">
        <v>1</v>
      </c>
      <c r="G103">
        <v>1</v>
      </c>
      <c r="H103">
        <v>1</v>
      </c>
      <c r="I103" t="s">
        <v>536</v>
      </c>
      <c r="J103" t="s">
        <v>3</v>
      </c>
      <c r="K103" t="s">
        <v>537</v>
      </c>
      <c r="L103">
        <v>1369</v>
      </c>
      <c r="N103">
        <v>1013</v>
      </c>
      <c r="O103" t="s">
        <v>430</v>
      </c>
      <c r="P103" t="s">
        <v>430</v>
      </c>
      <c r="Q103">
        <v>1</v>
      </c>
      <c r="W103">
        <v>0</v>
      </c>
      <c r="X103">
        <v>1468083442</v>
      </c>
      <c r="Y103">
        <f t="shared" ref="Y103:Y134" si="50">AT103</f>
        <v>8.09</v>
      </c>
      <c r="AA103">
        <v>0</v>
      </c>
      <c r="AB103">
        <v>0</v>
      </c>
      <c r="AC103">
        <v>0</v>
      </c>
      <c r="AD103">
        <v>9.4</v>
      </c>
      <c r="AE103">
        <v>0</v>
      </c>
      <c r="AF103">
        <v>0</v>
      </c>
      <c r="AG103">
        <v>0</v>
      </c>
      <c r="AH103">
        <v>9.4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8.09</v>
      </c>
      <c r="AU103" t="s">
        <v>3</v>
      </c>
      <c r="AV103">
        <v>1</v>
      </c>
      <c r="AW103">
        <v>2</v>
      </c>
      <c r="AX103">
        <v>84186008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ROUND(AT103*Source!I165*AH103*AL103,2)</f>
        <v>76.05</v>
      </c>
      <c r="CV103">
        <f>ROUND(Y103*Source!I165,9)</f>
        <v>8.09</v>
      </c>
      <c r="CW103">
        <v>0</v>
      </c>
      <c r="CX103">
        <f>ROUND(Y103*Source!I165,9)</f>
        <v>8.09</v>
      </c>
      <c r="CY103">
        <f>AD103</f>
        <v>9.4</v>
      </c>
      <c r="CZ103">
        <f>AH103</f>
        <v>9.4</v>
      </c>
      <c r="DA103">
        <f>AL103</f>
        <v>1</v>
      </c>
      <c r="DB103">
        <f t="shared" ref="DB103:DB134" si="51">ROUND(ROUND(AT103*CZ103,2),2)</f>
        <v>76.05</v>
      </c>
      <c r="DC103">
        <f t="shared" ref="DC103:DC134" si="52">ROUND(ROUND(AT103*AG103,2),2)</f>
        <v>0</v>
      </c>
      <c r="DD103" t="s">
        <v>3</v>
      </c>
      <c r="DE103" t="s">
        <v>3</v>
      </c>
      <c r="DF103">
        <f>ROUND(ROUND(AE103,2)*CX103,2)</f>
        <v>0</v>
      </c>
      <c r="DG103">
        <f t="shared" si="46"/>
        <v>0</v>
      </c>
      <c r="DH103">
        <f t="shared" si="47"/>
        <v>0</v>
      </c>
      <c r="DI103">
        <f t="shared" si="49"/>
        <v>76.05</v>
      </c>
      <c r="DJ103">
        <f>DI103</f>
        <v>76.05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ROW(Source!A165)</f>
        <v>165</v>
      </c>
      <c r="B104">
        <v>84185495</v>
      </c>
      <c r="C104">
        <v>84185992</v>
      </c>
      <c r="D104">
        <v>121548</v>
      </c>
      <c r="E104">
        <v>1</v>
      </c>
      <c r="F104">
        <v>1</v>
      </c>
      <c r="G104">
        <v>1</v>
      </c>
      <c r="H104">
        <v>1</v>
      </c>
      <c r="I104" t="s">
        <v>24</v>
      </c>
      <c r="J104" t="s">
        <v>3</v>
      </c>
      <c r="K104" t="s">
        <v>431</v>
      </c>
      <c r="L104">
        <v>608254</v>
      </c>
      <c r="N104">
        <v>1013</v>
      </c>
      <c r="O104" t="s">
        <v>432</v>
      </c>
      <c r="P104" t="s">
        <v>432</v>
      </c>
      <c r="Q104">
        <v>1</v>
      </c>
      <c r="W104">
        <v>0</v>
      </c>
      <c r="X104">
        <v>-185737400</v>
      </c>
      <c r="Y104">
        <f t="shared" si="50"/>
        <v>0.66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0.66</v>
      </c>
      <c r="AU104" t="s">
        <v>3</v>
      </c>
      <c r="AV104">
        <v>2</v>
      </c>
      <c r="AW104">
        <v>2</v>
      </c>
      <c r="AX104">
        <v>84186009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ROUND(Y104*Source!I165,9)</f>
        <v>0.66</v>
      </c>
      <c r="CY104">
        <f>AD104</f>
        <v>0</v>
      </c>
      <c r="CZ104">
        <f>AH104</f>
        <v>0</v>
      </c>
      <c r="DA104">
        <f>AL104</f>
        <v>1</v>
      </c>
      <c r="DB104">
        <f t="shared" si="51"/>
        <v>0</v>
      </c>
      <c r="DC104">
        <f t="shared" si="52"/>
        <v>0</v>
      </c>
      <c r="DD104" t="s">
        <v>3</v>
      </c>
      <c r="DE104" t="s">
        <v>3</v>
      </c>
      <c r="DF104">
        <f>ROUND(ROUND(AE104,2)*CX104,2)</f>
        <v>0</v>
      </c>
      <c r="DG104">
        <f t="shared" si="46"/>
        <v>0</v>
      </c>
      <c r="DH104">
        <f t="shared" si="47"/>
        <v>0</v>
      </c>
      <c r="DI104">
        <f t="shared" si="49"/>
        <v>0</v>
      </c>
      <c r="DJ104">
        <f>DI104</f>
        <v>0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ROW(Source!A165)</f>
        <v>165</v>
      </c>
      <c r="B105">
        <v>84185495</v>
      </c>
      <c r="C105">
        <v>84185992</v>
      </c>
      <c r="D105">
        <v>37802443</v>
      </c>
      <c r="E105">
        <v>1</v>
      </c>
      <c r="F105">
        <v>1</v>
      </c>
      <c r="G105">
        <v>1</v>
      </c>
      <c r="H105">
        <v>2</v>
      </c>
      <c r="I105" t="s">
        <v>454</v>
      </c>
      <c r="J105" t="s">
        <v>455</v>
      </c>
      <c r="K105" t="s">
        <v>456</v>
      </c>
      <c r="L105">
        <v>1368</v>
      </c>
      <c r="N105">
        <v>1011</v>
      </c>
      <c r="O105" t="s">
        <v>436</v>
      </c>
      <c r="P105" t="s">
        <v>436</v>
      </c>
      <c r="Q105">
        <v>1</v>
      </c>
      <c r="W105">
        <v>0</v>
      </c>
      <c r="X105">
        <v>1447433125</v>
      </c>
      <c r="Y105">
        <f t="shared" si="50"/>
        <v>0.66</v>
      </c>
      <c r="AA105">
        <v>0</v>
      </c>
      <c r="AB105">
        <v>1453.68</v>
      </c>
      <c r="AC105">
        <v>426.77</v>
      </c>
      <c r="AD105">
        <v>0</v>
      </c>
      <c r="AE105">
        <v>0</v>
      </c>
      <c r="AF105">
        <v>124.14</v>
      </c>
      <c r="AG105">
        <v>12.1</v>
      </c>
      <c r="AH105">
        <v>0</v>
      </c>
      <c r="AI105">
        <v>1</v>
      </c>
      <c r="AJ105">
        <v>11.71</v>
      </c>
      <c r="AK105">
        <v>35.270000000000003</v>
      </c>
      <c r="AL105">
        <v>1</v>
      </c>
      <c r="AM105">
        <v>2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0.66</v>
      </c>
      <c r="AU105" t="s">
        <v>3</v>
      </c>
      <c r="AV105">
        <v>0</v>
      </c>
      <c r="AW105">
        <v>2</v>
      </c>
      <c r="AX105">
        <v>84186010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f>ROUND(Y105*Source!I165*DO105,9)</f>
        <v>0</v>
      </c>
      <c r="CX105">
        <f>ROUND(Y105*Source!I165,9)</f>
        <v>0.66</v>
      </c>
      <c r="CY105">
        <f>AB105</f>
        <v>1453.68</v>
      </c>
      <c r="CZ105">
        <f>AF105</f>
        <v>124.14</v>
      </c>
      <c r="DA105">
        <f>AJ105</f>
        <v>11.71</v>
      </c>
      <c r="DB105">
        <f t="shared" si="51"/>
        <v>81.93</v>
      </c>
      <c r="DC105">
        <f t="shared" si="52"/>
        <v>7.99</v>
      </c>
      <c r="DD105" t="s">
        <v>3</v>
      </c>
      <c r="DE105" t="s">
        <v>3</v>
      </c>
      <c r="DF105">
        <f>ROUND(ROUND(AE105,2)*CX105,2)</f>
        <v>0</v>
      </c>
      <c r="DG105">
        <f>ROUND(ROUND(AF105*AJ105,2)*CX105,2)</f>
        <v>959.43</v>
      </c>
      <c r="DH105">
        <f>ROUND(ROUND(AG105*AK105,2)*CX105,2)</f>
        <v>281.67</v>
      </c>
      <c r="DI105">
        <f t="shared" si="49"/>
        <v>0</v>
      </c>
      <c r="DJ105">
        <f>DG105</f>
        <v>959.43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ROW(Source!A165)</f>
        <v>165</v>
      </c>
      <c r="B106">
        <v>84185495</v>
      </c>
      <c r="C106">
        <v>84185992</v>
      </c>
      <c r="D106">
        <v>37804456</v>
      </c>
      <c r="E106">
        <v>1</v>
      </c>
      <c r="F106">
        <v>1</v>
      </c>
      <c r="G106">
        <v>1</v>
      </c>
      <c r="H106">
        <v>2</v>
      </c>
      <c r="I106" t="s">
        <v>437</v>
      </c>
      <c r="J106" t="s">
        <v>438</v>
      </c>
      <c r="K106" t="s">
        <v>439</v>
      </c>
      <c r="L106">
        <v>1368</v>
      </c>
      <c r="N106">
        <v>1011</v>
      </c>
      <c r="O106" t="s">
        <v>436</v>
      </c>
      <c r="P106" t="s">
        <v>436</v>
      </c>
      <c r="Q106">
        <v>1</v>
      </c>
      <c r="W106">
        <v>0</v>
      </c>
      <c r="X106">
        <v>-671646184</v>
      </c>
      <c r="Y106">
        <f t="shared" si="50"/>
        <v>0.41</v>
      </c>
      <c r="AA106">
        <v>0</v>
      </c>
      <c r="AB106">
        <v>1305.74</v>
      </c>
      <c r="AC106">
        <v>365.04</v>
      </c>
      <c r="AD106">
        <v>0</v>
      </c>
      <c r="AE106">
        <v>0</v>
      </c>
      <c r="AF106">
        <v>91.76</v>
      </c>
      <c r="AG106">
        <v>10.35</v>
      </c>
      <c r="AH106">
        <v>0</v>
      </c>
      <c r="AI106">
        <v>1</v>
      </c>
      <c r="AJ106">
        <v>14.23</v>
      </c>
      <c r="AK106">
        <v>35.270000000000003</v>
      </c>
      <c r="AL106">
        <v>1</v>
      </c>
      <c r="AM106">
        <v>2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0.41</v>
      </c>
      <c r="AU106" t="s">
        <v>3</v>
      </c>
      <c r="AV106">
        <v>0</v>
      </c>
      <c r="AW106">
        <v>2</v>
      </c>
      <c r="AX106">
        <v>84186011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f>ROUND(Y106*Source!I165*DO106,9)</f>
        <v>0</v>
      </c>
      <c r="CX106">
        <f>ROUND(Y106*Source!I165,9)</f>
        <v>0.41</v>
      </c>
      <c r="CY106">
        <f>AB106</f>
        <v>1305.74</v>
      </c>
      <c r="CZ106">
        <f>AF106</f>
        <v>91.76</v>
      </c>
      <c r="DA106">
        <f>AJ106</f>
        <v>14.23</v>
      </c>
      <c r="DB106">
        <f t="shared" si="51"/>
        <v>37.619999999999997</v>
      </c>
      <c r="DC106">
        <f t="shared" si="52"/>
        <v>4.24</v>
      </c>
      <c r="DD106" t="s">
        <v>3</v>
      </c>
      <c r="DE106" t="s">
        <v>3</v>
      </c>
      <c r="DF106">
        <f>ROUND(ROUND(AE106,2)*CX106,2)</f>
        <v>0</v>
      </c>
      <c r="DG106">
        <f>ROUND(ROUND(AF106*AJ106,2)*CX106,2)</f>
        <v>535.35</v>
      </c>
      <c r="DH106">
        <f>ROUND(ROUND(AG106*AK106,2)*CX106,2)</f>
        <v>149.66999999999999</v>
      </c>
      <c r="DI106">
        <f t="shared" si="49"/>
        <v>0</v>
      </c>
      <c r="DJ106">
        <f>DG106</f>
        <v>535.35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ROW(Source!A165)</f>
        <v>165</v>
      </c>
      <c r="B107">
        <v>84185495</v>
      </c>
      <c r="C107">
        <v>84185992</v>
      </c>
      <c r="D107">
        <v>37729879</v>
      </c>
      <c r="E107">
        <v>1</v>
      </c>
      <c r="F107">
        <v>1</v>
      </c>
      <c r="G107">
        <v>1</v>
      </c>
      <c r="H107">
        <v>3</v>
      </c>
      <c r="I107" t="s">
        <v>489</v>
      </c>
      <c r="J107" t="s">
        <v>490</v>
      </c>
      <c r="K107" t="s">
        <v>491</v>
      </c>
      <c r="L107">
        <v>1348</v>
      </c>
      <c r="N107">
        <v>1009</v>
      </c>
      <c r="O107" t="s">
        <v>126</v>
      </c>
      <c r="P107" t="s">
        <v>126</v>
      </c>
      <c r="Q107">
        <v>1000</v>
      </c>
      <c r="W107">
        <v>0</v>
      </c>
      <c r="X107">
        <v>-1121770783</v>
      </c>
      <c r="Y107">
        <f t="shared" si="50"/>
        <v>3.0000000000000001E-5</v>
      </c>
      <c r="AA107">
        <v>163867.51999999999</v>
      </c>
      <c r="AB107">
        <v>0</v>
      </c>
      <c r="AC107">
        <v>0</v>
      </c>
      <c r="AD107">
        <v>0</v>
      </c>
      <c r="AE107">
        <v>9662</v>
      </c>
      <c r="AF107">
        <v>0</v>
      </c>
      <c r="AG107">
        <v>0</v>
      </c>
      <c r="AH107">
        <v>0</v>
      </c>
      <c r="AI107">
        <v>16.96</v>
      </c>
      <c r="AJ107">
        <v>1</v>
      </c>
      <c r="AK107">
        <v>1</v>
      </c>
      <c r="AL107">
        <v>1</v>
      </c>
      <c r="AM107">
        <v>2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3.0000000000000001E-5</v>
      </c>
      <c r="AU107" t="s">
        <v>3</v>
      </c>
      <c r="AV107">
        <v>0</v>
      </c>
      <c r="AW107">
        <v>2</v>
      </c>
      <c r="AX107">
        <v>84186012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ROUND(Y107*Source!I165,9)</f>
        <v>3.0000000000000001E-5</v>
      </c>
      <c r="CY107">
        <f t="shared" ref="CY107:CY117" si="53">AA107</f>
        <v>163867.51999999999</v>
      </c>
      <c r="CZ107">
        <f t="shared" ref="CZ107:CZ117" si="54">AE107</f>
        <v>9662</v>
      </c>
      <c r="DA107">
        <f t="shared" ref="DA107:DA117" si="55">AI107</f>
        <v>16.96</v>
      </c>
      <c r="DB107">
        <f t="shared" si="51"/>
        <v>0.28999999999999998</v>
      </c>
      <c r="DC107">
        <f t="shared" si="52"/>
        <v>0</v>
      </c>
      <c r="DD107" t="s">
        <v>3</v>
      </c>
      <c r="DE107" t="s">
        <v>3</v>
      </c>
      <c r="DF107">
        <f>ROUND(ROUND(AE107*AI107,2)*CX107,2)</f>
        <v>4.92</v>
      </c>
      <c r="DG107">
        <f t="shared" ref="DG107:DG119" si="56">ROUND(ROUND(AF107,2)*CX107,2)</f>
        <v>0</v>
      </c>
      <c r="DH107">
        <f t="shared" ref="DH107:DH119" si="57">ROUND(ROUND(AG107,2)*CX107,2)</f>
        <v>0</v>
      </c>
      <c r="DI107">
        <f t="shared" si="49"/>
        <v>0</v>
      </c>
      <c r="DJ107">
        <f t="shared" ref="DJ107:DJ117" si="58">DF107</f>
        <v>4.92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ROW(Source!A165)</f>
        <v>165</v>
      </c>
      <c r="B108">
        <v>84185495</v>
      </c>
      <c r="C108">
        <v>84185992</v>
      </c>
      <c r="D108">
        <v>37729917</v>
      </c>
      <c r="E108">
        <v>1</v>
      </c>
      <c r="F108">
        <v>1</v>
      </c>
      <c r="G108">
        <v>1</v>
      </c>
      <c r="H108">
        <v>3</v>
      </c>
      <c r="I108" t="s">
        <v>504</v>
      </c>
      <c r="J108" t="s">
        <v>505</v>
      </c>
      <c r="K108" t="s">
        <v>506</v>
      </c>
      <c r="L108">
        <v>1348</v>
      </c>
      <c r="N108">
        <v>1009</v>
      </c>
      <c r="O108" t="s">
        <v>126</v>
      </c>
      <c r="P108" t="s">
        <v>126</v>
      </c>
      <c r="Q108">
        <v>1000</v>
      </c>
      <c r="W108">
        <v>0</v>
      </c>
      <c r="X108">
        <v>-31802417</v>
      </c>
      <c r="Y108">
        <f t="shared" si="50"/>
        <v>1.2E-4</v>
      </c>
      <c r="AA108">
        <v>74870.41</v>
      </c>
      <c r="AB108">
        <v>0</v>
      </c>
      <c r="AC108">
        <v>0</v>
      </c>
      <c r="AD108">
        <v>0</v>
      </c>
      <c r="AE108">
        <v>6667</v>
      </c>
      <c r="AF108">
        <v>0</v>
      </c>
      <c r="AG108">
        <v>0</v>
      </c>
      <c r="AH108">
        <v>0</v>
      </c>
      <c r="AI108">
        <v>11.23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1.2E-4</v>
      </c>
      <c r="AU108" t="s">
        <v>3</v>
      </c>
      <c r="AV108">
        <v>0</v>
      </c>
      <c r="AW108">
        <v>2</v>
      </c>
      <c r="AX108">
        <v>84186013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ROUND(Y108*Source!I165,9)</f>
        <v>1.2E-4</v>
      </c>
      <c r="CY108">
        <f t="shared" si="53"/>
        <v>74870.41</v>
      </c>
      <c r="CZ108">
        <f t="shared" si="54"/>
        <v>6667</v>
      </c>
      <c r="DA108">
        <f t="shared" si="55"/>
        <v>11.23</v>
      </c>
      <c r="DB108">
        <f t="shared" si="51"/>
        <v>0.8</v>
      </c>
      <c r="DC108">
        <f t="shared" si="52"/>
        <v>0</v>
      </c>
      <c r="DD108" t="s">
        <v>3</v>
      </c>
      <c r="DE108" t="s">
        <v>3</v>
      </c>
      <c r="DF108">
        <f>ROUND(ROUND(AE108*AI108,2)*CX108,2)</f>
        <v>8.98</v>
      </c>
      <c r="DG108">
        <f t="shared" si="56"/>
        <v>0</v>
      </c>
      <c r="DH108">
        <f t="shared" si="57"/>
        <v>0</v>
      </c>
      <c r="DI108">
        <f t="shared" si="49"/>
        <v>0</v>
      </c>
      <c r="DJ108">
        <f t="shared" si="58"/>
        <v>8.98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ROW(Source!A165)</f>
        <v>165</v>
      </c>
      <c r="B109">
        <v>84185495</v>
      </c>
      <c r="C109">
        <v>84185992</v>
      </c>
      <c r="D109">
        <v>37736859</v>
      </c>
      <c r="E109">
        <v>1</v>
      </c>
      <c r="F109">
        <v>1</v>
      </c>
      <c r="G109">
        <v>1</v>
      </c>
      <c r="H109">
        <v>3</v>
      </c>
      <c r="I109" t="s">
        <v>124</v>
      </c>
      <c r="J109" t="s">
        <v>127</v>
      </c>
      <c r="K109" t="s">
        <v>125</v>
      </c>
      <c r="L109">
        <v>1348</v>
      </c>
      <c r="N109">
        <v>1009</v>
      </c>
      <c r="O109" t="s">
        <v>126</v>
      </c>
      <c r="P109" t="s">
        <v>126</v>
      </c>
      <c r="Q109">
        <v>1000</v>
      </c>
      <c r="W109">
        <v>0</v>
      </c>
      <c r="X109">
        <v>-384985709</v>
      </c>
      <c r="Y109">
        <f t="shared" si="50"/>
        <v>0</v>
      </c>
      <c r="AA109">
        <v>208824.23</v>
      </c>
      <c r="AB109">
        <v>0</v>
      </c>
      <c r="AC109">
        <v>0</v>
      </c>
      <c r="AD109">
        <v>0</v>
      </c>
      <c r="AE109">
        <v>9040.01</v>
      </c>
      <c r="AF109">
        <v>0</v>
      </c>
      <c r="AG109">
        <v>0</v>
      </c>
      <c r="AH109">
        <v>0</v>
      </c>
      <c r="AI109">
        <v>23.1</v>
      </c>
      <c r="AJ109">
        <v>1</v>
      </c>
      <c r="AK109">
        <v>1</v>
      </c>
      <c r="AL109">
        <v>1</v>
      </c>
      <c r="AM109">
        <v>0</v>
      </c>
      <c r="AN109">
        <v>1</v>
      </c>
      <c r="AO109">
        <v>0</v>
      </c>
      <c r="AP109">
        <v>1</v>
      </c>
      <c r="AQ109">
        <v>0</v>
      </c>
      <c r="AR109">
        <v>0</v>
      </c>
      <c r="AS109" t="s">
        <v>3</v>
      </c>
      <c r="AT109">
        <v>0</v>
      </c>
      <c r="AU109" t="s">
        <v>3</v>
      </c>
      <c r="AV109">
        <v>0</v>
      </c>
      <c r="AW109">
        <v>2</v>
      </c>
      <c r="AX109">
        <v>84186014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ROUND(Y109*Source!I165,9)</f>
        <v>0</v>
      </c>
      <c r="CY109">
        <f t="shared" si="53"/>
        <v>208824.23</v>
      </c>
      <c r="CZ109">
        <f t="shared" si="54"/>
        <v>9040.01</v>
      </c>
      <c r="DA109">
        <f t="shared" si="55"/>
        <v>23.1</v>
      </c>
      <c r="DB109">
        <f t="shared" si="51"/>
        <v>0</v>
      </c>
      <c r="DC109">
        <f t="shared" si="52"/>
        <v>0</v>
      </c>
      <c r="DD109" t="s">
        <v>3</v>
      </c>
      <c r="DE109" t="s">
        <v>3</v>
      </c>
      <c r="DF109">
        <f>ROUND(ROUND(AE109*AI109,2)*CX109,2)</f>
        <v>0</v>
      </c>
      <c r="DG109">
        <f t="shared" si="56"/>
        <v>0</v>
      </c>
      <c r="DH109">
        <f t="shared" si="57"/>
        <v>0</v>
      </c>
      <c r="DI109">
        <f t="shared" si="49"/>
        <v>0</v>
      </c>
      <c r="DJ109">
        <f t="shared" si="58"/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ROW(Source!A165)</f>
        <v>165</v>
      </c>
      <c r="B110">
        <v>84185495</v>
      </c>
      <c r="C110">
        <v>84185992</v>
      </c>
      <c r="D110">
        <v>37729991</v>
      </c>
      <c r="E110">
        <v>1</v>
      </c>
      <c r="F110">
        <v>1</v>
      </c>
      <c r="G110">
        <v>1</v>
      </c>
      <c r="H110">
        <v>3</v>
      </c>
      <c r="I110" t="s">
        <v>492</v>
      </c>
      <c r="J110" t="s">
        <v>493</v>
      </c>
      <c r="K110" t="s">
        <v>494</v>
      </c>
      <c r="L110">
        <v>1346</v>
      </c>
      <c r="N110">
        <v>1009</v>
      </c>
      <c r="O110" t="s">
        <v>148</v>
      </c>
      <c r="P110" t="s">
        <v>148</v>
      </c>
      <c r="Q110">
        <v>1</v>
      </c>
      <c r="W110">
        <v>0</v>
      </c>
      <c r="X110">
        <v>844235703</v>
      </c>
      <c r="Y110">
        <f t="shared" si="50"/>
        <v>0.02</v>
      </c>
      <c r="AA110">
        <v>27.37</v>
      </c>
      <c r="AB110">
        <v>0</v>
      </c>
      <c r="AC110">
        <v>0</v>
      </c>
      <c r="AD110">
        <v>0</v>
      </c>
      <c r="AE110">
        <v>1.82</v>
      </c>
      <c r="AF110">
        <v>0</v>
      </c>
      <c r="AG110">
        <v>0</v>
      </c>
      <c r="AH110">
        <v>0</v>
      </c>
      <c r="AI110">
        <v>15.04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0.02</v>
      </c>
      <c r="AU110" t="s">
        <v>3</v>
      </c>
      <c r="AV110">
        <v>0</v>
      </c>
      <c r="AW110">
        <v>2</v>
      </c>
      <c r="AX110">
        <v>84186015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ROUND(Y110*Source!I165,9)</f>
        <v>0.02</v>
      </c>
      <c r="CY110">
        <f t="shared" si="53"/>
        <v>27.37</v>
      </c>
      <c r="CZ110">
        <f t="shared" si="54"/>
        <v>1.82</v>
      </c>
      <c r="DA110">
        <f t="shared" si="55"/>
        <v>15.04</v>
      </c>
      <c r="DB110">
        <f t="shared" si="51"/>
        <v>0.04</v>
      </c>
      <c r="DC110">
        <f t="shared" si="52"/>
        <v>0</v>
      </c>
      <c r="DD110" t="s">
        <v>3</v>
      </c>
      <c r="DE110" t="s">
        <v>3</v>
      </c>
      <c r="DF110">
        <f>ROUND(ROUND(AE110*AI110,2)*CX110,2)</f>
        <v>0.55000000000000004</v>
      </c>
      <c r="DG110">
        <f t="shared" si="56"/>
        <v>0</v>
      </c>
      <c r="DH110">
        <f t="shared" si="57"/>
        <v>0</v>
      </c>
      <c r="DI110">
        <f t="shared" si="49"/>
        <v>0</v>
      </c>
      <c r="DJ110">
        <f t="shared" si="58"/>
        <v>0.55000000000000004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ROW(Source!A165)</f>
        <v>165</v>
      </c>
      <c r="B111">
        <v>84185495</v>
      </c>
      <c r="C111">
        <v>84185992</v>
      </c>
      <c r="D111">
        <v>37729892</v>
      </c>
      <c r="E111">
        <v>1</v>
      </c>
      <c r="F111">
        <v>1</v>
      </c>
      <c r="G111">
        <v>1</v>
      </c>
      <c r="H111">
        <v>3</v>
      </c>
      <c r="I111" t="s">
        <v>495</v>
      </c>
      <c r="J111" t="s">
        <v>496</v>
      </c>
      <c r="K111" t="s">
        <v>497</v>
      </c>
      <c r="L111">
        <v>1346</v>
      </c>
      <c r="N111">
        <v>1009</v>
      </c>
      <c r="O111" t="s">
        <v>148</v>
      </c>
      <c r="P111" t="s">
        <v>148</v>
      </c>
      <c r="Q111">
        <v>1</v>
      </c>
      <c r="W111">
        <v>0</v>
      </c>
      <c r="X111">
        <v>-1589564529</v>
      </c>
      <c r="Y111">
        <f t="shared" si="50"/>
        <v>0.01</v>
      </c>
      <c r="AA111">
        <v>238.6</v>
      </c>
      <c r="AB111">
        <v>0</v>
      </c>
      <c r="AC111">
        <v>0</v>
      </c>
      <c r="AD111">
        <v>0</v>
      </c>
      <c r="AE111">
        <v>14.62</v>
      </c>
      <c r="AF111">
        <v>0</v>
      </c>
      <c r="AG111">
        <v>0</v>
      </c>
      <c r="AH111">
        <v>0</v>
      </c>
      <c r="AI111">
        <v>16.32</v>
      </c>
      <c r="AJ111">
        <v>1</v>
      </c>
      <c r="AK111">
        <v>1</v>
      </c>
      <c r="AL111">
        <v>1</v>
      </c>
      <c r="AM111">
        <v>2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0.01</v>
      </c>
      <c r="AU111" t="s">
        <v>3</v>
      </c>
      <c r="AV111">
        <v>0</v>
      </c>
      <c r="AW111">
        <v>2</v>
      </c>
      <c r="AX111">
        <v>84186016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ROUND(Y111*Source!I165,9)</f>
        <v>0.01</v>
      </c>
      <c r="CY111">
        <f t="shared" si="53"/>
        <v>238.6</v>
      </c>
      <c r="CZ111">
        <f t="shared" si="54"/>
        <v>14.62</v>
      </c>
      <c r="DA111">
        <f t="shared" si="55"/>
        <v>16.32</v>
      </c>
      <c r="DB111">
        <f t="shared" si="51"/>
        <v>0.15</v>
      </c>
      <c r="DC111">
        <f t="shared" si="52"/>
        <v>0</v>
      </c>
      <c r="DD111" t="s">
        <v>3</v>
      </c>
      <c r="DE111" t="s">
        <v>3</v>
      </c>
      <c r="DF111">
        <f>ROUND(ROUND(AE111*AI111,2)*CX111,2)</f>
        <v>2.39</v>
      </c>
      <c r="DG111">
        <f t="shared" si="56"/>
        <v>0</v>
      </c>
      <c r="DH111">
        <f t="shared" si="57"/>
        <v>0</v>
      </c>
      <c r="DI111">
        <f t="shared" si="49"/>
        <v>0</v>
      </c>
      <c r="DJ111">
        <f t="shared" si="58"/>
        <v>2.39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ROW(Source!A165)</f>
        <v>165</v>
      </c>
      <c r="B112">
        <v>84185495</v>
      </c>
      <c r="C112">
        <v>84185992</v>
      </c>
      <c r="D112">
        <v>37735757</v>
      </c>
      <c r="E112">
        <v>1</v>
      </c>
      <c r="F112">
        <v>1</v>
      </c>
      <c r="G112">
        <v>1</v>
      </c>
      <c r="H112">
        <v>3</v>
      </c>
      <c r="I112" t="s">
        <v>129</v>
      </c>
      <c r="J112" t="s">
        <v>131</v>
      </c>
      <c r="K112" t="s">
        <v>130</v>
      </c>
      <c r="L112">
        <v>1348</v>
      </c>
      <c r="N112">
        <v>1009</v>
      </c>
      <c r="O112" t="s">
        <v>126</v>
      </c>
      <c r="P112" t="s">
        <v>126</v>
      </c>
      <c r="Q112">
        <v>1000</v>
      </c>
      <c r="W112">
        <v>0</v>
      </c>
      <c r="X112">
        <v>361960925</v>
      </c>
      <c r="Y112">
        <f t="shared" si="50"/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0</v>
      </c>
      <c r="AN112">
        <v>1</v>
      </c>
      <c r="AO112">
        <v>0</v>
      </c>
      <c r="AP112">
        <v>1</v>
      </c>
      <c r="AQ112">
        <v>0</v>
      </c>
      <c r="AR112">
        <v>0</v>
      </c>
      <c r="AS112" t="s">
        <v>3</v>
      </c>
      <c r="AT112">
        <v>0</v>
      </c>
      <c r="AU112" t="s">
        <v>3</v>
      </c>
      <c r="AV112">
        <v>0</v>
      </c>
      <c r="AW112">
        <v>2</v>
      </c>
      <c r="AX112">
        <v>84186017</v>
      </c>
      <c r="AY112">
        <v>1</v>
      </c>
      <c r="AZ112">
        <v>0</v>
      </c>
      <c r="BA112">
        <v>112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ROUND(Y112*Source!I165,9)</f>
        <v>0</v>
      </c>
      <c r="CY112">
        <f t="shared" si="53"/>
        <v>0</v>
      </c>
      <c r="CZ112">
        <f t="shared" si="54"/>
        <v>0</v>
      </c>
      <c r="DA112">
        <f t="shared" si="55"/>
        <v>1</v>
      </c>
      <c r="DB112">
        <f t="shared" si="51"/>
        <v>0</v>
      </c>
      <c r="DC112">
        <f t="shared" si="52"/>
        <v>0</v>
      </c>
      <c r="DD112" t="s">
        <v>3</v>
      </c>
      <c r="DE112" t="s">
        <v>3</v>
      </c>
      <c r="DF112">
        <f>ROUND(ROUND(AE112,2)*CX112,2)</f>
        <v>0</v>
      </c>
      <c r="DG112">
        <f t="shared" si="56"/>
        <v>0</v>
      </c>
      <c r="DH112">
        <f t="shared" si="57"/>
        <v>0</v>
      </c>
      <c r="DI112">
        <f t="shared" si="49"/>
        <v>0</v>
      </c>
      <c r="DJ112">
        <f t="shared" si="58"/>
        <v>0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ROW(Source!A165)</f>
        <v>165</v>
      </c>
      <c r="B113">
        <v>84185495</v>
      </c>
      <c r="C113">
        <v>84185992</v>
      </c>
      <c r="D113">
        <v>37744299</v>
      </c>
      <c r="E113">
        <v>1</v>
      </c>
      <c r="F113">
        <v>1</v>
      </c>
      <c r="G113">
        <v>1</v>
      </c>
      <c r="H113">
        <v>3</v>
      </c>
      <c r="I113" t="s">
        <v>133</v>
      </c>
      <c r="J113" t="s">
        <v>136</v>
      </c>
      <c r="K113" t="s">
        <v>134</v>
      </c>
      <c r="L113">
        <v>1354</v>
      </c>
      <c r="N113">
        <v>1010</v>
      </c>
      <c r="O113" t="s">
        <v>135</v>
      </c>
      <c r="P113" t="s">
        <v>135</v>
      </c>
      <c r="Q113">
        <v>1</v>
      </c>
      <c r="W113">
        <v>0</v>
      </c>
      <c r="X113">
        <v>789151112</v>
      </c>
      <c r="Y113">
        <f t="shared" si="50"/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0</v>
      </c>
      <c r="AN113">
        <v>1</v>
      </c>
      <c r="AO113">
        <v>0</v>
      </c>
      <c r="AP113">
        <v>1</v>
      </c>
      <c r="AQ113">
        <v>0</v>
      </c>
      <c r="AR113">
        <v>0</v>
      </c>
      <c r="AS113" t="s">
        <v>3</v>
      </c>
      <c r="AT113">
        <v>0</v>
      </c>
      <c r="AU113" t="s">
        <v>3</v>
      </c>
      <c r="AV113">
        <v>0</v>
      </c>
      <c r="AW113">
        <v>2</v>
      </c>
      <c r="AX113">
        <v>84186018</v>
      </c>
      <c r="AY113">
        <v>1</v>
      </c>
      <c r="AZ113">
        <v>0</v>
      </c>
      <c r="BA113">
        <v>113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ROUND(Y113*Source!I165,9)</f>
        <v>0</v>
      </c>
      <c r="CY113">
        <f t="shared" si="53"/>
        <v>0</v>
      </c>
      <c r="CZ113">
        <f t="shared" si="54"/>
        <v>0</v>
      </c>
      <c r="DA113">
        <f t="shared" si="55"/>
        <v>1</v>
      </c>
      <c r="DB113">
        <f t="shared" si="51"/>
        <v>0</v>
      </c>
      <c r="DC113">
        <f t="shared" si="52"/>
        <v>0</v>
      </c>
      <c r="DD113" t="s">
        <v>3</v>
      </c>
      <c r="DE113" t="s">
        <v>3</v>
      </c>
      <c r="DF113">
        <f>ROUND(ROUND(AE113,2)*CX113,2)</f>
        <v>0</v>
      </c>
      <c r="DG113">
        <f t="shared" si="56"/>
        <v>0</v>
      </c>
      <c r="DH113">
        <f t="shared" si="57"/>
        <v>0</v>
      </c>
      <c r="DI113">
        <f t="shared" si="49"/>
        <v>0</v>
      </c>
      <c r="DJ113">
        <f t="shared" si="58"/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ROW(Source!A165)</f>
        <v>165</v>
      </c>
      <c r="B114">
        <v>84185495</v>
      </c>
      <c r="C114">
        <v>84185992</v>
      </c>
      <c r="D114">
        <v>37745010</v>
      </c>
      <c r="E114">
        <v>1</v>
      </c>
      <c r="F114">
        <v>1</v>
      </c>
      <c r="G114">
        <v>1</v>
      </c>
      <c r="H114">
        <v>3</v>
      </c>
      <c r="I114" t="s">
        <v>498</v>
      </c>
      <c r="J114" t="s">
        <v>499</v>
      </c>
      <c r="K114" t="s">
        <v>500</v>
      </c>
      <c r="L114">
        <v>1348</v>
      </c>
      <c r="N114">
        <v>1009</v>
      </c>
      <c r="O114" t="s">
        <v>126</v>
      </c>
      <c r="P114" t="s">
        <v>126</v>
      </c>
      <c r="Q114">
        <v>1000</v>
      </c>
      <c r="W114">
        <v>0</v>
      </c>
      <c r="X114">
        <v>911236404</v>
      </c>
      <c r="Y114">
        <f t="shared" si="50"/>
        <v>1E-4</v>
      </c>
      <c r="AA114">
        <v>85854.59</v>
      </c>
      <c r="AB114">
        <v>0</v>
      </c>
      <c r="AC114">
        <v>0</v>
      </c>
      <c r="AD114">
        <v>0</v>
      </c>
      <c r="AE114">
        <v>9550.01</v>
      </c>
      <c r="AF114">
        <v>0</v>
      </c>
      <c r="AG114">
        <v>0</v>
      </c>
      <c r="AH114">
        <v>0</v>
      </c>
      <c r="AI114">
        <v>8.99</v>
      </c>
      <c r="AJ114">
        <v>1</v>
      </c>
      <c r="AK114">
        <v>1</v>
      </c>
      <c r="AL114">
        <v>1</v>
      </c>
      <c r="AM114">
        <v>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1E-4</v>
      </c>
      <c r="AU114" t="s">
        <v>3</v>
      </c>
      <c r="AV114">
        <v>0</v>
      </c>
      <c r="AW114">
        <v>2</v>
      </c>
      <c r="AX114">
        <v>84186019</v>
      </c>
      <c r="AY114">
        <v>1</v>
      </c>
      <c r="AZ114">
        <v>0</v>
      </c>
      <c r="BA114">
        <v>114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ROUND(Y114*Source!I165,9)</f>
        <v>1E-4</v>
      </c>
      <c r="CY114">
        <f t="shared" si="53"/>
        <v>85854.59</v>
      </c>
      <c r="CZ114">
        <f t="shared" si="54"/>
        <v>9550.01</v>
      </c>
      <c r="DA114">
        <f t="shared" si="55"/>
        <v>8.99</v>
      </c>
      <c r="DB114">
        <f t="shared" si="51"/>
        <v>0.96</v>
      </c>
      <c r="DC114">
        <f t="shared" si="52"/>
        <v>0</v>
      </c>
      <c r="DD114" t="s">
        <v>3</v>
      </c>
      <c r="DE114" t="s">
        <v>3</v>
      </c>
      <c r="DF114">
        <f>ROUND(ROUND(AE114*AI114,2)*CX114,2)</f>
        <v>8.59</v>
      </c>
      <c r="DG114">
        <f t="shared" si="56"/>
        <v>0</v>
      </c>
      <c r="DH114">
        <f t="shared" si="57"/>
        <v>0</v>
      </c>
      <c r="DI114">
        <f t="shared" si="49"/>
        <v>0</v>
      </c>
      <c r="DJ114">
        <f t="shared" si="58"/>
        <v>8.59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ROW(Source!A165)</f>
        <v>165</v>
      </c>
      <c r="B115">
        <v>84185495</v>
      </c>
      <c r="C115">
        <v>84185992</v>
      </c>
      <c r="D115">
        <v>37750429</v>
      </c>
      <c r="E115">
        <v>1</v>
      </c>
      <c r="F115">
        <v>1</v>
      </c>
      <c r="G115">
        <v>1</v>
      </c>
      <c r="H115">
        <v>3</v>
      </c>
      <c r="I115" t="s">
        <v>146</v>
      </c>
      <c r="J115" t="s">
        <v>149</v>
      </c>
      <c r="K115" t="s">
        <v>147</v>
      </c>
      <c r="L115">
        <v>1346</v>
      </c>
      <c r="N115">
        <v>1009</v>
      </c>
      <c r="O115" t="s">
        <v>148</v>
      </c>
      <c r="P115" t="s">
        <v>148</v>
      </c>
      <c r="Q115">
        <v>1</v>
      </c>
      <c r="W115">
        <v>0</v>
      </c>
      <c r="X115">
        <v>-1695541033</v>
      </c>
      <c r="Y115">
        <f t="shared" si="50"/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0</v>
      </c>
      <c r="AN115">
        <v>1</v>
      </c>
      <c r="AO115">
        <v>0</v>
      </c>
      <c r="AP115">
        <v>1</v>
      </c>
      <c r="AQ115">
        <v>0</v>
      </c>
      <c r="AR115">
        <v>0</v>
      </c>
      <c r="AS115" t="s">
        <v>3</v>
      </c>
      <c r="AT115">
        <v>0</v>
      </c>
      <c r="AU115" t="s">
        <v>3</v>
      </c>
      <c r="AV115">
        <v>0</v>
      </c>
      <c r="AW115">
        <v>2</v>
      </c>
      <c r="AX115">
        <v>84186020</v>
      </c>
      <c r="AY115">
        <v>1</v>
      </c>
      <c r="AZ115">
        <v>0</v>
      </c>
      <c r="BA115">
        <v>115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ROUND(Y115*Source!I165,9)</f>
        <v>0</v>
      </c>
      <c r="CY115">
        <f t="shared" si="53"/>
        <v>0</v>
      </c>
      <c r="CZ115">
        <f t="shared" si="54"/>
        <v>0</v>
      </c>
      <c r="DA115">
        <f t="shared" si="55"/>
        <v>1</v>
      </c>
      <c r="DB115">
        <f t="shared" si="51"/>
        <v>0</v>
      </c>
      <c r="DC115">
        <f t="shared" si="52"/>
        <v>0</v>
      </c>
      <c r="DD115" t="s">
        <v>3</v>
      </c>
      <c r="DE115" t="s">
        <v>3</v>
      </c>
      <c r="DF115">
        <f t="shared" ref="DF115:DF122" si="59">ROUND(ROUND(AE115,2)*CX115,2)</f>
        <v>0</v>
      </c>
      <c r="DG115">
        <f t="shared" si="56"/>
        <v>0</v>
      </c>
      <c r="DH115">
        <f t="shared" si="57"/>
        <v>0</v>
      </c>
      <c r="DI115">
        <f t="shared" si="49"/>
        <v>0</v>
      </c>
      <c r="DJ115">
        <f t="shared" si="58"/>
        <v>0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ROW(Source!A165)</f>
        <v>165</v>
      </c>
      <c r="B116">
        <v>84185495</v>
      </c>
      <c r="C116">
        <v>84185992</v>
      </c>
      <c r="D116">
        <v>37751168</v>
      </c>
      <c r="E116">
        <v>1</v>
      </c>
      <c r="F116">
        <v>1</v>
      </c>
      <c r="G116">
        <v>1</v>
      </c>
      <c r="H116">
        <v>3</v>
      </c>
      <c r="I116" t="s">
        <v>151</v>
      </c>
      <c r="J116" t="s">
        <v>153</v>
      </c>
      <c r="K116" t="s">
        <v>152</v>
      </c>
      <c r="L116">
        <v>1346</v>
      </c>
      <c r="N116">
        <v>1009</v>
      </c>
      <c r="O116" t="s">
        <v>148</v>
      </c>
      <c r="P116" t="s">
        <v>148</v>
      </c>
      <c r="Q116">
        <v>1</v>
      </c>
      <c r="W116">
        <v>0</v>
      </c>
      <c r="X116">
        <v>-2040775826</v>
      </c>
      <c r="Y116">
        <f t="shared" si="50"/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0</v>
      </c>
      <c r="AN116">
        <v>1</v>
      </c>
      <c r="AO116">
        <v>0</v>
      </c>
      <c r="AP116">
        <v>1</v>
      </c>
      <c r="AQ116">
        <v>0</v>
      </c>
      <c r="AR116">
        <v>0</v>
      </c>
      <c r="AS116" t="s">
        <v>3</v>
      </c>
      <c r="AT116">
        <v>0</v>
      </c>
      <c r="AU116" t="s">
        <v>3</v>
      </c>
      <c r="AV116">
        <v>0</v>
      </c>
      <c r="AW116">
        <v>2</v>
      </c>
      <c r="AX116">
        <v>84186021</v>
      </c>
      <c r="AY116">
        <v>1</v>
      </c>
      <c r="AZ116">
        <v>0</v>
      </c>
      <c r="BA116">
        <v>116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ROUND(Y116*Source!I165,9)</f>
        <v>0</v>
      </c>
      <c r="CY116">
        <f t="shared" si="53"/>
        <v>0</v>
      </c>
      <c r="CZ116">
        <f t="shared" si="54"/>
        <v>0</v>
      </c>
      <c r="DA116">
        <f t="shared" si="55"/>
        <v>1</v>
      </c>
      <c r="DB116">
        <f t="shared" si="51"/>
        <v>0</v>
      </c>
      <c r="DC116">
        <f t="shared" si="52"/>
        <v>0</v>
      </c>
      <c r="DD116" t="s">
        <v>3</v>
      </c>
      <c r="DE116" t="s">
        <v>3</v>
      </c>
      <c r="DF116">
        <f t="shared" si="59"/>
        <v>0</v>
      </c>
      <c r="DG116">
        <f t="shared" si="56"/>
        <v>0</v>
      </c>
      <c r="DH116">
        <f t="shared" si="57"/>
        <v>0</v>
      </c>
      <c r="DI116">
        <f t="shared" si="49"/>
        <v>0</v>
      </c>
      <c r="DJ116">
        <f t="shared" si="58"/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ROW(Source!A165)</f>
        <v>165</v>
      </c>
      <c r="B117">
        <v>84185495</v>
      </c>
      <c r="C117">
        <v>84185992</v>
      </c>
      <c r="D117">
        <v>37783476</v>
      </c>
      <c r="E117">
        <v>1</v>
      </c>
      <c r="F117">
        <v>1</v>
      </c>
      <c r="G117">
        <v>1</v>
      </c>
      <c r="H117">
        <v>3</v>
      </c>
      <c r="I117" t="s">
        <v>306</v>
      </c>
      <c r="J117" t="s">
        <v>308</v>
      </c>
      <c r="K117" t="s">
        <v>307</v>
      </c>
      <c r="L117">
        <v>1348</v>
      </c>
      <c r="N117">
        <v>1009</v>
      </c>
      <c r="O117" t="s">
        <v>126</v>
      </c>
      <c r="P117" t="s">
        <v>126</v>
      </c>
      <c r="Q117">
        <v>1000</v>
      </c>
      <c r="W117">
        <v>0</v>
      </c>
      <c r="X117">
        <v>533926792</v>
      </c>
      <c r="Y117">
        <f t="shared" si="50"/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0</v>
      </c>
      <c r="AN117">
        <v>1</v>
      </c>
      <c r="AO117">
        <v>0</v>
      </c>
      <c r="AP117">
        <v>1</v>
      </c>
      <c r="AQ117">
        <v>0</v>
      </c>
      <c r="AR117">
        <v>0</v>
      </c>
      <c r="AS117" t="s">
        <v>3</v>
      </c>
      <c r="AT117">
        <v>0</v>
      </c>
      <c r="AU117" t="s">
        <v>3</v>
      </c>
      <c r="AV117">
        <v>0</v>
      </c>
      <c r="AW117">
        <v>2</v>
      </c>
      <c r="AX117">
        <v>84186022</v>
      </c>
      <c r="AY117">
        <v>1</v>
      </c>
      <c r="AZ117">
        <v>0</v>
      </c>
      <c r="BA117">
        <v>117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ROUND(Y117*Source!I165,9)</f>
        <v>0</v>
      </c>
      <c r="CY117">
        <f t="shared" si="53"/>
        <v>0</v>
      </c>
      <c r="CZ117">
        <f t="shared" si="54"/>
        <v>0</v>
      </c>
      <c r="DA117">
        <f t="shared" si="55"/>
        <v>1</v>
      </c>
      <c r="DB117">
        <f t="shared" si="51"/>
        <v>0</v>
      </c>
      <c r="DC117">
        <f t="shared" si="52"/>
        <v>0</v>
      </c>
      <c r="DD117" t="s">
        <v>3</v>
      </c>
      <c r="DE117" t="s">
        <v>3</v>
      </c>
      <c r="DF117">
        <f t="shared" si="59"/>
        <v>0</v>
      </c>
      <c r="DG117">
        <f t="shared" si="56"/>
        <v>0</v>
      </c>
      <c r="DH117">
        <f t="shared" si="57"/>
        <v>0</v>
      </c>
      <c r="DI117">
        <f t="shared" si="49"/>
        <v>0</v>
      </c>
      <c r="DJ117">
        <f t="shared" si="58"/>
        <v>0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ROW(Source!A181)</f>
        <v>181</v>
      </c>
      <c r="B118">
        <v>84185495</v>
      </c>
      <c r="C118">
        <v>84186038</v>
      </c>
      <c r="D118">
        <v>23135014</v>
      </c>
      <c r="E118">
        <v>1</v>
      </c>
      <c r="F118">
        <v>1</v>
      </c>
      <c r="G118">
        <v>1</v>
      </c>
      <c r="H118">
        <v>1</v>
      </c>
      <c r="I118" t="s">
        <v>507</v>
      </c>
      <c r="J118" t="s">
        <v>3</v>
      </c>
      <c r="K118" t="s">
        <v>508</v>
      </c>
      <c r="L118">
        <v>1369</v>
      </c>
      <c r="N118">
        <v>1013</v>
      </c>
      <c r="O118" t="s">
        <v>430</v>
      </c>
      <c r="P118" t="s">
        <v>430</v>
      </c>
      <c r="Q118">
        <v>1</v>
      </c>
      <c r="W118">
        <v>0</v>
      </c>
      <c r="X118">
        <v>-883932286</v>
      </c>
      <c r="Y118">
        <f t="shared" si="50"/>
        <v>0.81</v>
      </c>
      <c r="AA118">
        <v>0</v>
      </c>
      <c r="AB118">
        <v>0</v>
      </c>
      <c r="AC118">
        <v>0</v>
      </c>
      <c r="AD118">
        <v>7.9</v>
      </c>
      <c r="AE118">
        <v>0</v>
      </c>
      <c r="AF118">
        <v>0</v>
      </c>
      <c r="AG118">
        <v>0</v>
      </c>
      <c r="AH118">
        <v>7.9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0.81</v>
      </c>
      <c r="AU118" t="s">
        <v>3</v>
      </c>
      <c r="AV118">
        <v>1</v>
      </c>
      <c r="AW118">
        <v>2</v>
      </c>
      <c r="AX118">
        <v>84186046</v>
      </c>
      <c r="AY118">
        <v>1</v>
      </c>
      <c r="AZ118">
        <v>0</v>
      </c>
      <c r="BA118">
        <v>118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U118">
        <f>ROUND(AT118*Source!I181*AH118*AL118,2)</f>
        <v>12.8</v>
      </c>
      <c r="CV118">
        <f>ROUND(Y118*Source!I181,9)</f>
        <v>1.62</v>
      </c>
      <c r="CW118">
        <v>0</v>
      </c>
      <c r="CX118">
        <f>ROUND(Y118*Source!I181,9)</f>
        <v>1.62</v>
      </c>
      <c r="CY118">
        <f>AD118</f>
        <v>7.9</v>
      </c>
      <c r="CZ118">
        <f>AH118</f>
        <v>7.9</v>
      </c>
      <c r="DA118">
        <f>AL118</f>
        <v>1</v>
      </c>
      <c r="DB118">
        <f t="shared" si="51"/>
        <v>6.4</v>
      </c>
      <c r="DC118">
        <f t="shared" si="52"/>
        <v>0</v>
      </c>
      <c r="DD118" t="s">
        <v>3</v>
      </c>
      <c r="DE118" t="s">
        <v>3</v>
      </c>
      <c r="DF118">
        <f t="shared" si="59"/>
        <v>0</v>
      </c>
      <c r="DG118">
        <f t="shared" si="56"/>
        <v>0</v>
      </c>
      <c r="DH118">
        <f t="shared" si="57"/>
        <v>0</v>
      </c>
      <c r="DI118">
        <f t="shared" si="49"/>
        <v>12.8</v>
      </c>
      <c r="DJ118">
        <f>DI118</f>
        <v>12.8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ROW(Source!A181)</f>
        <v>181</v>
      </c>
      <c r="B119">
        <v>84185495</v>
      </c>
      <c r="C119">
        <v>84186038</v>
      </c>
      <c r="D119">
        <v>121548</v>
      </c>
      <c r="E119">
        <v>1</v>
      </c>
      <c r="F119">
        <v>1</v>
      </c>
      <c r="G119">
        <v>1</v>
      </c>
      <c r="H119">
        <v>1</v>
      </c>
      <c r="I119" t="s">
        <v>24</v>
      </c>
      <c r="J119" t="s">
        <v>3</v>
      </c>
      <c r="K119" t="s">
        <v>431</v>
      </c>
      <c r="L119">
        <v>608254</v>
      </c>
      <c r="N119">
        <v>1013</v>
      </c>
      <c r="O119" t="s">
        <v>432</v>
      </c>
      <c r="P119" t="s">
        <v>432</v>
      </c>
      <c r="Q119">
        <v>1</v>
      </c>
      <c r="W119">
        <v>0</v>
      </c>
      <c r="X119">
        <v>-185737400</v>
      </c>
      <c r="Y119">
        <f t="shared" si="50"/>
        <v>0.61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0.61</v>
      </c>
      <c r="AU119" t="s">
        <v>3</v>
      </c>
      <c r="AV119">
        <v>2</v>
      </c>
      <c r="AW119">
        <v>2</v>
      </c>
      <c r="AX119">
        <v>84186047</v>
      </c>
      <c r="AY119">
        <v>1</v>
      </c>
      <c r="AZ119">
        <v>0</v>
      </c>
      <c r="BA119">
        <v>119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ROUND(Y119*Source!I181,9)</f>
        <v>1.22</v>
      </c>
      <c r="CY119">
        <f>AD119</f>
        <v>0</v>
      </c>
      <c r="CZ119">
        <f>AH119</f>
        <v>0</v>
      </c>
      <c r="DA119">
        <f>AL119</f>
        <v>1</v>
      </c>
      <c r="DB119">
        <f t="shared" si="51"/>
        <v>0</v>
      </c>
      <c r="DC119">
        <f t="shared" si="52"/>
        <v>0</v>
      </c>
      <c r="DD119" t="s">
        <v>3</v>
      </c>
      <c r="DE119" t="s">
        <v>3</v>
      </c>
      <c r="DF119">
        <f t="shared" si="59"/>
        <v>0</v>
      </c>
      <c r="DG119">
        <f t="shared" si="56"/>
        <v>0</v>
      </c>
      <c r="DH119">
        <f t="shared" si="57"/>
        <v>0</v>
      </c>
      <c r="DI119">
        <f t="shared" si="49"/>
        <v>0</v>
      </c>
      <c r="DJ119">
        <f>DI119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ROW(Source!A181)</f>
        <v>181</v>
      </c>
      <c r="B120">
        <v>84185495</v>
      </c>
      <c r="C120">
        <v>84186038</v>
      </c>
      <c r="D120">
        <v>37802644</v>
      </c>
      <c r="E120">
        <v>1</v>
      </c>
      <c r="F120">
        <v>1</v>
      </c>
      <c r="G120">
        <v>1</v>
      </c>
      <c r="H120">
        <v>2</v>
      </c>
      <c r="I120" t="s">
        <v>509</v>
      </c>
      <c r="J120" t="s">
        <v>510</v>
      </c>
      <c r="K120" t="s">
        <v>511</v>
      </c>
      <c r="L120">
        <v>1368</v>
      </c>
      <c r="N120">
        <v>1011</v>
      </c>
      <c r="O120" t="s">
        <v>436</v>
      </c>
      <c r="P120" t="s">
        <v>436</v>
      </c>
      <c r="Q120">
        <v>1</v>
      </c>
      <c r="W120">
        <v>0</v>
      </c>
      <c r="X120">
        <v>1153725797</v>
      </c>
      <c r="Y120">
        <f t="shared" si="50"/>
        <v>0.19</v>
      </c>
      <c r="AA120">
        <v>0</v>
      </c>
      <c r="AB120">
        <v>458.56</v>
      </c>
      <c r="AC120">
        <v>0</v>
      </c>
      <c r="AD120">
        <v>0</v>
      </c>
      <c r="AE120">
        <v>0</v>
      </c>
      <c r="AF120">
        <v>14.14</v>
      </c>
      <c r="AG120">
        <v>0</v>
      </c>
      <c r="AH120">
        <v>0</v>
      </c>
      <c r="AI120">
        <v>1</v>
      </c>
      <c r="AJ120">
        <v>32.43</v>
      </c>
      <c r="AK120">
        <v>35.270000000000003</v>
      </c>
      <c r="AL120">
        <v>1</v>
      </c>
      <c r="AM120">
        <v>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0.19</v>
      </c>
      <c r="AU120" t="s">
        <v>3</v>
      </c>
      <c r="AV120">
        <v>0</v>
      </c>
      <c r="AW120">
        <v>2</v>
      </c>
      <c r="AX120">
        <v>84186048</v>
      </c>
      <c r="AY120">
        <v>1</v>
      </c>
      <c r="AZ120">
        <v>0</v>
      </c>
      <c r="BA120">
        <v>120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f>ROUND(Y120*Source!I181*DO120,9)</f>
        <v>0</v>
      </c>
      <c r="CX120">
        <f>ROUND(Y120*Source!I181,9)</f>
        <v>0.38</v>
      </c>
      <c r="CY120">
        <f>AB120</f>
        <v>458.56</v>
      </c>
      <c r="CZ120">
        <f>AF120</f>
        <v>14.14</v>
      </c>
      <c r="DA120">
        <f>AJ120</f>
        <v>32.43</v>
      </c>
      <c r="DB120">
        <f t="shared" si="51"/>
        <v>2.69</v>
      </c>
      <c r="DC120">
        <f t="shared" si="52"/>
        <v>0</v>
      </c>
      <c r="DD120" t="s">
        <v>3</v>
      </c>
      <c r="DE120" t="s">
        <v>3</v>
      </c>
      <c r="DF120">
        <f t="shared" si="59"/>
        <v>0</v>
      </c>
      <c r="DG120">
        <f>ROUND(ROUND(AF120*AJ120,2)*CX120,2)</f>
        <v>174.25</v>
      </c>
      <c r="DH120">
        <f>ROUND(ROUND(AG120*AK120,2)*CX120,2)</f>
        <v>0</v>
      </c>
      <c r="DI120">
        <f t="shared" si="49"/>
        <v>0</v>
      </c>
      <c r="DJ120">
        <f>DG120</f>
        <v>174.25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ROW(Source!A181)</f>
        <v>181</v>
      </c>
      <c r="B121">
        <v>84185495</v>
      </c>
      <c r="C121">
        <v>84186038</v>
      </c>
      <c r="D121">
        <v>37802699</v>
      </c>
      <c r="E121">
        <v>1</v>
      </c>
      <c r="F121">
        <v>1</v>
      </c>
      <c r="G121">
        <v>1</v>
      </c>
      <c r="H121">
        <v>2</v>
      </c>
      <c r="I121" t="s">
        <v>512</v>
      </c>
      <c r="J121" t="s">
        <v>513</v>
      </c>
      <c r="K121" t="s">
        <v>514</v>
      </c>
      <c r="L121">
        <v>1368</v>
      </c>
      <c r="N121">
        <v>1011</v>
      </c>
      <c r="O121" t="s">
        <v>436</v>
      </c>
      <c r="P121" t="s">
        <v>436</v>
      </c>
      <c r="Q121">
        <v>1</v>
      </c>
      <c r="W121">
        <v>0</v>
      </c>
      <c r="X121">
        <v>2133576372</v>
      </c>
      <c r="Y121">
        <f t="shared" si="50"/>
        <v>0.61</v>
      </c>
      <c r="AA121">
        <v>0</v>
      </c>
      <c r="AB121">
        <v>893.67</v>
      </c>
      <c r="AC121">
        <v>317.43</v>
      </c>
      <c r="AD121">
        <v>0</v>
      </c>
      <c r="AE121">
        <v>0</v>
      </c>
      <c r="AF121">
        <v>59.38</v>
      </c>
      <c r="AG121">
        <v>9</v>
      </c>
      <c r="AH121">
        <v>0</v>
      </c>
      <c r="AI121">
        <v>1</v>
      </c>
      <c r="AJ121">
        <v>15.05</v>
      </c>
      <c r="AK121">
        <v>35.270000000000003</v>
      </c>
      <c r="AL121">
        <v>1</v>
      </c>
      <c r="AM121">
        <v>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0.61</v>
      </c>
      <c r="AU121" t="s">
        <v>3</v>
      </c>
      <c r="AV121">
        <v>0</v>
      </c>
      <c r="AW121">
        <v>2</v>
      </c>
      <c r="AX121">
        <v>84186049</v>
      </c>
      <c r="AY121">
        <v>1</v>
      </c>
      <c r="AZ121">
        <v>0</v>
      </c>
      <c r="BA121">
        <v>121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f>ROUND(Y121*Source!I181*DO121,9)</f>
        <v>0</v>
      </c>
      <c r="CX121">
        <f>ROUND(Y121*Source!I181,9)</f>
        <v>1.22</v>
      </c>
      <c r="CY121">
        <f>AB121</f>
        <v>893.67</v>
      </c>
      <c r="CZ121">
        <f>AF121</f>
        <v>59.38</v>
      </c>
      <c r="DA121">
        <f>AJ121</f>
        <v>15.05</v>
      </c>
      <c r="DB121">
        <f t="shared" si="51"/>
        <v>36.22</v>
      </c>
      <c r="DC121">
        <f t="shared" si="52"/>
        <v>5.49</v>
      </c>
      <c r="DD121" t="s">
        <v>3</v>
      </c>
      <c r="DE121" t="s">
        <v>3</v>
      </c>
      <c r="DF121">
        <f t="shared" si="59"/>
        <v>0</v>
      </c>
      <c r="DG121">
        <f>ROUND(ROUND(AF121*AJ121,2)*CX121,2)</f>
        <v>1090.28</v>
      </c>
      <c r="DH121">
        <f>ROUND(ROUND(AG121*AK121,2)*CX121,2)</f>
        <v>387.26</v>
      </c>
      <c r="DI121">
        <f t="shared" si="49"/>
        <v>0</v>
      </c>
      <c r="DJ121">
        <f>DG121</f>
        <v>1090.28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ROW(Source!A181)</f>
        <v>181</v>
      </c>
      <c r="B122">
        <v>84185495</v>
      </c>
      <c r="C122">
        <v>84186038</v>
      </c>
      <c r="D122">
        <v>37804144</v>
      </c>
      <c r="E122">
        <v>1</v>
      </c>
      <c r="F122">
        <v>1</v>
      </c>
      <c r="G122">
        <v>1</v>
      </c>
      <c r="H122">
        <v>2</v>
      </c>
      <c r="I122" t="s">
        <v>515</v>
      </c>
      <c r="J122" t="s">
        <v>516</v>
      </c>
      <c r="K122" t="s">
        <v>517</v>
      </c>
      <c r="L122">
        <v>1368</v>
      </c>
      <c r="N122">
        <v>1011</v>
      </c>
      <c r="O122" t="s">
        <v>436</v>
      </c>
      <c r="P122" t="s">
        <v>436</v>
      </c>
      <c r="Q122">
        <v>1</v>
      </c>
      <c r="W122">
        <v>0</v>
      </c>
      <c r="X122">
        <v>754598957</v>
      </c>
      <c r="Y122">
        <f t="shared" si="50"/>
        <v>0.61</v>
      </c>
      <c r="AA122">
        <v>0</v>
      </c>
      <c r="AB122">
        <v>468.67</v>
      </c>
      <c r="AC122">
        <v>0</v>
      </c>
      <c r="AD122">
        <v>0</v>
      </c>
      <c r="AE122">
        <v>0</v>
      </c>
      <c r="AF122">
        <v>100.79</v>
      </c>
      <c r="AG122">
        <v>0</v>
      </c>
      <c r="AH122">
        <v>0</v>
      </c>
      <c r="AI122">
        <v>1</v>
      </c>
      <c r="AJ122">
        <v>4.6500000000000004</v>
      </c>
      <c r="AK122">
        <v>35.270000000000003</v>
      </c>
      <c r="AL122">
        <v>1</v>
      </c>
      <c r="AM122">
        <v>2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0.61</v>
      </c>
      <c r="AU122" t="s">
        <v>3</v>
      </c>
      <c r="AV122">
        <v>0</v>
      </c>
      <c r="AW122">
        <v>2</v>
      </c>
      <c r="AX122">
        <v>84186050</v>
      </c>
      <c r="AY122">
        <v>1</v>
      </c>
      <c r="AZ122">
        <v>0</v>
      </c>
      <c r="BA122">
        <v>122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f>ROUND(Y122*Source!I181*DO122,9)</f>
        <v>0</v>
      </c>
      <c r="CX122">
        <f>ROUND(Y122*Source!I181,9)</f>
        <v>1.22</v>
      </c>
      <c r="CY122">
        <f>AB122</f>
        <v>468.67</v>
      </c>
      <c r="CZ122">
        <f>AF122</f>
        <v>100.79</v>
      </c>
      <c r="DA122">
        <f>AJ122</f>
        <v>4.6500000000000004</v>
      </c>
      <c r="DB122">
        <f t="shared" si="51"/>
        <v>61.48</v>
      </c>
      <c r="DC122">
        <f t="shared" si="52"/>
        <v>0</v>
      </c>
      <c r="DD122" t="s">
        <v>3</v>
      </c>
      <c r="DE122" t="s">
        <v>3</v>
      </c>
      <c r="DF122">
        <f t="shared" si="59"/>
        <v>0</v>
      </c>
      <c r="DG122">
        <f>ROUND(ROUND(AF122*AJ122,2)*CX122,2)</f>
        <v>571.78</v>
      </c>
      <c r="DH122">
        <f>ROUND(ROUND(AG122*AK122,2)*CX122,2)</f>
        <v>0</v>
      </c>
      <c r="DI122">
        <f t="shared" si="49"/>
        <v>0</v>
      </c>
      <c r="DJ122">
        <f>DG122</f>
        <v>571.78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ROW(Source!A181)</f>
        <v>181</v>
      </c>
      <c r="B123">
        <v>84185495</v>
      </c>
      <c r="C123">
        <v>84186038</v>
      </c>
      <c r="D123">
        <v>37736609</v>
      </c>
      <c r="E123">
        <v>1</v>
      </c>
      <c r="F123">
        <v>1</v>
      </c>
      <c r="G123">
        <v>1</v>
      </c>
      <c r="H123">
        <v>3</v>
      </c>
      <c r="I123" t="s">
        <v>518</v>
      </c>
      <c r="J123" t="s">
        <v>519</v>
      </c>
      <c r="K123" t="s">
        <v>520</v>
      </c>
      <c r="L123">
        <v>1348</v>
      </c>
      <c r="N123">
        <v>1009</v>
      </c>
      <c r="O123" t="s">
        <v>126</v>
      </c>
      <c r="P123" t="s">
        <v>126</v>
      </c>
      <c r="Q123">
        <v>1000</v>
      </c>
      <c r="W123">
        <v>0</v>
      </c>
      <c r="X123">
        <v>1483167196</v>
      </c>
      <c r="Y123">
        <f t="shared" si="50"/>
        <v>3.0000000000000001E-5</v>
      </c>
      <c r="AA123">
        <v>119730</v>
      </c>
      <c r="AB123">
        <v>0</v>
      </c>
      <c r="AC123">
        <v>0</v>
      </c>
      <c r="AD123">
        <v>0</v>
      </c>
      <c r="AE123">
        <v>9750</v>
      </c>
      <c r="AF123">
        <v>0</v>
      </c>
      <c r="AG123">
        <v>0</v>
      </c>
      <c r="AH123">
        <v>0</v>
      </c>
      <c r="AI123">
        <v>12.28</v>
      </c>
      <c r="AJ123">
        <v>1</v>
      </c>
      <c r="AK123">
        <v>1</v>
      </c>
      <c r="AL123">
        <v>1</v>
      </c>
      <c r="AM123">
        <v>2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3</v>
      </c>
      <c r="AT123">
        <v>3.0000000000000001E-5</v>
      </c>
      <c r="AU123" t="s">
        <v>3</v>
      </c>
      <c r="AV123">
        <v>0</v>
      </c>
      <c r="AW123">
        <v>2</v>
      </c>
      <c r="AX123">
        <v>84186051</v>
      </c>
      <c r="AY123">
        <v>1</v>
      </c>
      <c r="AZ123">
        <v>0</v>
      </c>
      <c r="BA123">
        <v>123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ROUND(Y123*Source!I181,9)</f>
        <v>6.0000000000000002E-5</v>
      </c>
      <c r="CY123">
        <f>AA123</f>
        <v>119730</v>
      </c>
      <c r="CZ123">
        <f>AE123</f>
        <v>9750</v>
      </c>
      <c r="DA123">
        <f>AI123</f>
        <v>12.28</v>
      </c>
      <c r="DB123">
        <f t="shared" si="51"/>
        <v>0.28999999999999998</v>
      </c>
      <c r="DC123">
        <f t="shared" si="52"/>
        <v>0</v>
      </c>
      <c r="DD123" t="s">
        <v>3</v>
      </c>
      <c r="DE123" t="s">
        <v>3</v>
      </c>
      <c r="DF123">
        <f>ROUND(ROUND(AE123*AI123,2)*CX123,2)</f>
        <v>7.18</v>
      </c>
      <c r="DG123">
        <f t="shared" ref="DG123:DG128" si="60">ROUND(ROUND(AF123,2)*CX123,2)</f>
        <v>0</v>
      </c>
      <c r="DH123">
        <f t="shared" ref="DH123:DH128" si="61">ROUND(ROUND(AG123,2)*CX123,2)</f>
        <v>0</v>
      </c>
      <c r="DI123">
        <f t="shared" si="49"/>
        <v>0</v>
      </c>
      <c r="DJ123">
        <f>DF123</f>
        <v>7.18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ROW(Source!A181)</f>
        <v>181</v>
      </c>
      <c r="B124">
        <v>84185495</v>
      </c>
      <c r="C124">
        <v>84186038</v>
      </c>
      <c r="D124">
        <v>37753212</v>
      </c>
      <c r="E124">
        <v>1</v>
      </c>
      <c r="F124">
        <v>1</v>
      </c>
      <c r="G124">
        <v>1</v>
      </c>
      <c r="H124">
        <v>3</v>
      </c>
      <c r="I124" t="s">
        <v>232</v>
      </c>
      <c r="J124" t="s">
        <v>234</v>
      </c>
      <c r="K124" t="s">
        <v>233</v>
      </c>
      <c r="L124">
        <v>1348</v>
      </c>
      <c r="N124">
        <v>1009</v>
      </c>
      <c r="O124" t="s">
        <v>126</v>
      </c>
      <c r="P124" t="s">
        <v>126</v>
      </c>
      <c r="Q124">
        <v>1000</v>
      </c>
      <c r="W124">
        <v>1</v>
      </c>
      <c r="X124">
        <v>1308337192</v>
      </c>
      <c r="Y124">
        <f t="shared" si="50"/>
        <v>-5.0000000000000001E-3</v>
      </c>
      <c r="AA124">
        <v>69434.820000000007</v>
      </c>
      <c r="AB124">
        <v>0</v>
      </c>
      <c r="AC124">
        <v>0</v>
      </c>
      <c r="AD124">
        <v>0</v>
      </c>
      <c r="AE124">
        <v>6594</v>
      </c>
      <c r="AF124">
        <v>0</v>
      </c>
      <c r="AG124">
        <v>0</v>
      </c>
      <c r="AH124">
        <v>0</v>
      </c>
      <c r="AI124">
        <v>10.53</v>
      </c>
      <c r="AJ124">
        <v>1</v>
      </c>
      <c r="AK124">
        <v>1</v>
      </c>
      <c r="AL124">
        <v>1</v>
      </c>
      <c r="AM124">
        <v>2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-5.0000000000000001E-3</v>
      </c>
      <c r="AU124" t="s">
        <v>3</v>
      </c>
      <c r="AV124">
        <v>0</v>
      </c>
      <c r="AW124">
        <v>2</v>
      </c>
      <c r="AX124">
        <v>84186052</v>
      </c>
      <c r="AY124">
        <v>1</v>
      </c>
      <c r="AZ124">
        <v>6144</v>
      </c>
      <c r="BA124">
        <v>124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ROUND(Y124*Source!I181,9)</f>
        <v>-0.01</v>
      </c>
      <c r="CY124">
        <f>AA124</f>
        <v>69434.820000000007</v>
      </c>
      <c r="CZ124">
        <f>AE124</f>
        <v>6594</v>
      </c>
      <c r="DA124">
        <f>AI124</f>
        <v>10.53</v>
      </c>
      <c r="DB124">
        <f t="shared" si="51"/>
        <v>-32.97</v>
      </c>
      <c r="DC124">
        <f t="shared" si="52"/>
        <v>0</v>
      </c>
      <c r="DD124" t="s">
        <v>3</v>
      </c>
      <c r="DE124" t="s">
        <v>3</v>
      </c>
      <c r="DF124">
        <f>ROUND(ROUND(AE124*AI124,2)*CX124,2)</f>
        <v>-694.35</v>
      </c>
      <c r="DG124">
        <f t="shared" si="60"/>
        <v>0</v>
      </c>
      <c r="DH124">
        <f t="shared" si="61"/>
        <v>0</v>
      </c>
      <c r="DI124">
        <f t="shared" si="49"/>
        <v>0</v>
      </c>
      <c r="DJ124">
        <f>DF124</f>
        <v>-694.35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ROW(Source!A184)</f>
        <v>184</v>
      </c>
      <c r="B125">
        <v>84185495</v>
      </c>
      <c r="C125">
        <v>84186055</v>
      </c>
      <c r="D125">
        <v>23351395</v>
      </c>
      <c r="E125">
        <v>1</v>
      </c>
      <c r="F125">
        <v>1</v>
      </c>
      <c r="G125">
        <v>1</v>
      </c>
      <c r="H125">
        <v>1</v>
      </c>
      <c r="I125" t="s">
        <v>440</v>
      </c>
      <c r="J125" t="s">
        <v>3</v>
      </c>
      <c r="K125" t="s">
        <v>441</v>
      </c>
      <c r="L125">
        <v>1369</v>
      </c>
      <c r="N125">
        <v>1013</v>
      </c>
      <c r="O125" t="s">
        <v>430</v>
      </c>
      <c r="P125" t="s">
        <v>430</v>
      </c>
      <c r="Q125">
        <v>1</v>
      </c>
      <c r="W125">
        <v>0</v>
      </c>
      <c r="X125">
        <v>1072260845</v>
      </c>
      <c r="Y125">
        <f t="shared" si="50"/>
        <v>15.12</v>
      </c>
      <c r="AA125">
        <v>0</v>
      </c>
      <c r="AB125">
        <v>0</v>
      </c>
      <c r="AC125">
        <v>0</v>
      </c>
      <c r="AD125">
        <v>8.99</v>
      </c>
      <c r="AE125">
        <v>0</v>
      </c>
      <c r="AF125">
        <v>0</v>
      </c>
      <c r="AG125">
        <v>0</v>
      </c>
      <c r="AH125">
        <v>8.99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15.12</v>
      </c>
      <c r="AU125" t="s">
        <v>3</v>
      </c>
      <c r="AV125">
        <v>1</v>
      </c>
      <c r="AW125">
        <v>2</v>
      </c>
      <c r="AX125">
        <v>84186058</v>
      </c>
      <c r="AY125">
        <v>1</v>
      </c>
      <c r="AZ125">
        <v>0</v>
      </c>
      <c r="BA125">
        <v>125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U125">
        <f>ROUND(AT125*Source!I184*AH125*AL125,2)</f>
        <v>4.08</v>
      </c>
      <c r="CV125">
        <f>ROUND(Y125*Source!I184,9)</f>
        <v>0.4536</v>
      </c>
      <c r="CW125">
        <v>0</v>
      </c>
      <c r="CX125">
        <f>ROUND(Y125*Source!I184,9)</f>
        <v>0.4536</v>
      </c>
      <c r="CY125">
        <f>AD125</f>
        <v>8.99</v>
      </c>
      <c r="CZ125">
        <f>AH125</f>
        <v>8.99</v>
      </c>
      <c r="DA125">
        <f>AL125</f>
        <v>1</v>
      </c>
      <c r="DB125">
        <f t="shared" si="51"/>
        <v>135.93</v>
      </c>
      <c r="DC125">
        <f t="shared" si="52"/>
        <v>0</v>
      </c>
      <c r="DD125" t="s">
        <v>3</v>
      </c>
      <c r="DE125" t="s">
        <v>3</v>
      </c>
      <c r="DF125">
        <f t="shared" ref="DF125:DF131" si="62">ROUND(ROUND(AE125,2)*CX125,2)</f>
        <v>0</v>
      </c>
      <c r="DG125">
        <f t="shared" si="60"/>
        <v>0</v>
      </c>
      <c r="DH125">
        <f t="shared" si="61"/>
        <v>0</v>
      </c>
      <c r="DI125">
        <f t="shared" si="49"/>
        <v>4.08</v>
      </c>
      <c r="DJ125">
        <f>DI125</f>
        <v>4.08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ROW(Source!A184)</f>
        <v>184</v>
      </c>
      <c r="B126">
        <v>84185495</v>
      </c>
      <c r="C126">
        <v>84186055</v>
      </c>
      <c r="D126">
        <v>37801918</v>
      </c>
      <c r="E126">
        <v>1</v>
      </c>
      <c r="F126">
        <v>1</v>
      </c>
      <c r="G126">
        <v>1</v>
      </c>
      <c r="H126">
        <v>3</v>
      </c>
      <c r="I126" t="s">
        <v>442</v>
      </c>
      <c r="J126" t="s">
        <v>443</v>
      </c>
      <c r="K126" t="s">
        <v>444</v>
      </c>
      <c r="L126">
        <v>1374</v>
      </c>
      <c r="N126">
        <v>1013</v>
      </c>
      <c r="O126" t="s">
        <v>445</v>
      </c>
      <c r="P126" t="s">
        <v>445</v>
      </c>
      <c r="Q126">
        <v>1</v>
      </c>
      <c r="W126">
        <v>0</v>
      </c>
      <c r="X126">
        <v>2131831278</v>
      </c>
      <c r="Y126">
        <f t="shared" si="50"/>
        <v>2.72</v>
      </c>
      <c r="AA126">
        <v>1</v>
      </c>
      <c r="AB126">
        <v>0</v>
      </c>
      <c r="AC126">
        <v>0</v>
      </c>
      <c r="AD126">
        <v>0</v>
      </c>
      <c r="AE126">
        <v>1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2.72</v>
      </c>
      <c r="AU126" t="s">
        <v>3</v>
      </c>
      <c r="AV126">
        <v>0</v>
      </c>
      <c r="AW126">
        <v>2</v>
      </c>
      <c r="AX126">
        <v>84186059</v>
      </c>
      <c r="AY126">
        <v>1</v>
      </c>
      <c r="AZ126">
        <v>0</v>
      </c>
      <c r="BA126">
        <v>126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ROUND(Y126*Source!I184,9)</f>
        <v>8.1600000000000006E-2</v>
      </c>
      <c r="CY126">
        <f>AA126</f>
        <v>1</v>
      </c>
      <c r="CZ126">
        <f>AE126</f>
        <v>1</v>
      </c>
      <c r="DA126">
        <f>AI126</f>
        <v>1</v>
      </c>
      <c r="DB126">
        <f t="shared" si="51"/>
        <v>2.72</v>
      </c>
      <c r="DC126">
        <f t="shared" si="52"/>
        <v>0</v>
      </c>
      <c r="DD126" t="s">
        <v>3</v>
      </c>
      <c r="DE126" t="s">
        <v>3</v>
      </c>
      <c r="DF126">
        <f t="shared" si="62"/>
        <v>0.08</v>
      </c>
      <c r="DG126">
        <f t="shared" si="60"/>
        <v>0</v>
      </c>
      <c r="DH126">
        <f t="shared" si="61"/>
        <v>0</v>
      </c>
      <c r="DI126">
        <f t="shared" si="49"/>
        <v>0</v>
      </c>
      <c r="DJ126">
        <f>DF126</f>
        <v>0.08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ROW(Source!A229)</f>
        <v>229</v>
      </c>
      <c r="B127">
        <v>84185495</v>
      </c>
      <c r="C127">
        <v>84186060</v>
      </c>
      <c r="D127">
        <v>23134628</v>
      </c>
      <c r="E127">
        <v>1</v>
      </c>
      <c r="F127">
        <v>1</v>
      </c>
      <c r="G127">
        <v>1</v>
      </c>
      <c r="H127">
        <v>1</v>
      </c>
      <c r="I127" t="s">
        <v>538</v>
      </c>
      <c r="J127" t="s">
        <v>3</v>
      </c>
      <c r="K127" t="s">
        <v>539</v>
      </c>
      <c r="L127">
        <v>1369</v>
      </c>
      <c r="N127">
        <v>1013</v>
      </c>
      <c r="O127" t="s">
        <v>430</v>
      </c>
      <c r="P127" t="s">
        <v>430</v>
      </c>
      <c r="Q127">
        <v>1</v>
      </c>
      <c r="W127">
        <v>0</v>
      </c>
      <c r="X127">
        <v>-300987236</v>
      </c>
      <c r="Y127">
        <f t="shared" si="50"/>
        <v>48.94</v>
      </c>
      <c r="AA127">
        <v>0</v>
      </c>
      <c r="AB127">
        <v>0</v>
      </c>
      <c r="AC127">
        <v>0</v>
      </c>
      <c r="AD127">
        <v>8.68</v>
      </c>
      <c r="AE127">
        <v>0</v>
      </c>
      <c r="AF127">
        <v>0</v>
      </c>
      <c r="AG127">
        <v>0</v>
      </c>
      <c r="AH127">
        <v>8.68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48.94</v>
      </c>
      <c r="AU127" t="s">
        <v>3</v>
      </c>
      <c r="AV127">
        <v>1</v>
      </c>
      <c r="AW127">
        <v>2</v>
      </c>
      <c r="AX127">
        <v>84186075</v>
      </c>
      <c r="AY127">
        <v>1</v>
      </c>
      <c r="AZ127">
        <v>0</v>
      </c>
      <c r="BA127">
        <v>127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U127">
        <f>ROUND(AT127*Source!I229*AH127*AL127,2)</f>
        <v>18.27</v>
      </c>
      <c r="CV127">
        <f>ROUND(Y127*Source!I229,9)</f>
        <v>2.1044200000000002</v>
      </c>
      <c r="CW127">
        <v>0</v>
      </c>
      <c r="CX127">
        <f>ROUND(Y127*Source!I229,9)</f>
        <v>2.1044200000000002</v>
      </c>
      <c r="CY127">
        <f>AD127</f>
        <v>8.68</v>
      </c>
      <c r="CZ127">
        <f>AH127</f>
        <v>8.68</v>
      </c>
      <c r="DA127">
        <f>AL127</f>
        <v>1</v>
      </c>
      <c r="DB127">
        <f t="shared" si="51"/>
        <v>424.8</v>
      </c>
      <c r="DC127">
        <f t="shared" si="52"/>
        <v>0</v>
      </c>
      <c r="DD127" t="s">
        <v>3</v>
      </c>
      <c r="DE127" t="s">
        <v>3</v>
      </c>
      <c r="DF127">
        <f t="shared" si="62"/>
        <v>0</v>
      </c>
      <c r="DG127">
        <f t="shared" si="60"/>
        <v>0</v>
      </c>
      <c r="DH127">
        <f t="shared" si="61"/>
        <v>0</v>
      </c>
      <c r="DI127">
        <f t="shared" si="49"/>
        <v>18.27</v>
      </c>
      <c r="DJ127">
        <f>DI127</f>
        <v>18.27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ROW(Source!A229)</f>
        <v>229</v>
      </c>
      <c r="B128">
        <v>84185495</v>
      </c>
      <c r="C128">
        <v>84186060</v>
      </c>
      <c r="D128">
        <v>121548</v>
      </c>
      <c r="E128">
        <v>1</v>
      </c>
      <c r="F128">
        <v>1</v>
      </c>
      <c r="G128">
        <v>1</v>
      </c>
      <c r="H128">
        <v>1</v>
      </c>
      <c r="I128" t="s">
        <v>24</v>
      </c>
      <c r="J128" t="s">
        <v>3</v>
      </c>
      <c r="K128" t="s">
        <v>431</v>
      </c>
      <c r="L128">
        <v>608254</v>
      </c>
      <c r="N128">
        <v>1013</v>
      </c>
      <c r="O128" t="s">
        <v>432</v>
      </c>
      <c r="P128" t="s">
        <v>432</v>
      </c>
      <c r="Q128">
        <v>1</v>
      </c>
      <c r="W128">
        <v>0</v>
      </c>
      <c r="X128">
        <v>-185737400</v>
      </c>
      <c r="Y128">
        <f t="shared" si="50"/>
        <v>14.19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14.19</v>
      </c>
      <c r="AU128" t="s">
        <v>3</v>
      </c>
      <c r="AV128">
        <v>2</v>
      </c>
      <c r="AW128">
        <v>2</v>
      </c>
      <c r="AX128">
        <v>84186076</v>
      </c>
      <c r="AY128">
        <v>1</v>
      </c>
      <c r="AZ128">
        <v>0</v>
      </c>
      <c r="BA128">
        <v>128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v>0</v>
      </c>
      <c r="CX128">
        <f>ROUND(Y128*Source!I229,9)</f>
        <v>0.61016999999999999</v>
      </c>
      <c r="CY128">
        <f>AD128</f>
        <v>0</v>
      </c>
      <c r="CZ128">
        <f>AH128</f>
        <v>0</v>
      </c>
      <c r="DA128">
        <f>AL128</f>
        <v>1</v>
      </c>
      <c r="DB128">
        <f t="shared" si="51"/>
        <v>0</v>
      </c>
      <c r="DC128">
        <f t="shared" si="52"/>
        <v>0</v>
      </c>
      <c r="DD128" t="s">
        <v>3</v>
      </c>
      <c r="DE128" t="s">
        <v>3</v>
      </c>
      <c r="DF128">
        <f t="shared" si="62"/>
        <v>0</v>
      </c>
      <c r="DG128">
        <f t="shared" si="60"/>
        <v>0</v>
      </c>
      <c r="DH128">
        <f t="shared" si="61"/>
        <v>0</v>
      </c>
      <c r="DI128">
        <f t="shared" si="49"/>
        <v>0</v>
      </c>
      <c r="DJ128">
        <f>DI128</f>
        <v>0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ROW(Source!A229)</f>
        <v>229</v>
      </c>
      <c r="B129">
        <v>84185495</v>
      </c>
      <c r="C129">
        <v>84186060</v>
      </c>
      <c r="D129">
        <v>37802345</v>
      </c>
      <c r="E129">
        <v>1</v>
      </c>
      <c r="F129">
        <v>1</v>
      </c>
      <c r="G129">
        <v>1</v>
      </c>
      <c r="H129">
        <v>2</v>
      </c>
      <c r="I129" t="s">
        <v>451</v>
      </c>
      <c r="J129" t="s">
        <v>452</v>
      </c>
      <c r="K129" t="s">
        <v>453</v>
      </c>
      <c r="L129">
        <v>1368</v>
      </c>
      <c r="N129">
        <v>1011</v>
      </c>
      <c r="O129" t="s">
        <v>436</v>
      </c>
      <c r="P129" t="s">
        <v>436</v>
      </c>
      <c r="Q129">
        <v>1</v>
      </c>
      <c r="W129">
        <v>0</v>
      </c>
      <c r="X129">
        <v>-1096394961</v>
      </c>
      <c r="Y129">
        <f t="shared" si="50"/>
        <v>7.56</v>
      </c>
      <c r="AA129">
        <v>0</v>
      </c>
      <c r="AB129">
        <v>1014.97</v>
      </c>
      <c r="AC129">
        <v>426.77</v>
      </c>
      <c r="AD129">
        <v>0</v>
      </c>
      <c r="AE129">
        <v>0</v>
      </c>
      <c r="AF129">
        <v>72.239999999999995</v>
      </c>
      <c r="AG129">
        <v>12.1</v>
      </c>
      <c r="AH129">
        <v>0</v>
      </c>
      <c r="AI129">
        <v>1</v>
      </c>
      <c r="AJ129">
        <v>14.05</v>
      </c>
      <c r="AK129">
        <v>35.270000000000003</v>
      </c>
      <c r="AL129">
        <v>1</v>
      </c>
      <c r="AM129">
        <v>2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7.56</v>
      </c>
      <c r="AU129" t="s">
        <v>3</v>
      </c>
      <c r="AV129">
        <v>0</v>
      </c>
      <c r="AW129">
        <v>2</v>
      </c>
      <c r="AX129">
        <v>84186077</v>
      </c>
      <c r="AY129">
        <v>1</v>
      </c>
      <c r="AZ129">
        <v>0</v>
      </c>
      <c r="BA129">
        <v>129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f>ROUND(Y129*Source!I229*DO129,9)</f>
        <v>0</v>
      </c>
      <c r="CX129">
        <f>ROUND(Y129*Source!I229,9)</f>
        <v>0.32507999999999998</v>
      </c>
      <c r="CY129">
        <f>AB129</f>
        <v>1014.97</v>
      </c>
      <c r="CZ129">
        <f>AF129</f>
        <v>72.239999999999995</v>
      </c>
      <c r="DA129">
        <f>AJ129</f>
        <v>14.05</v>
      </c>
      <c r="DB129">
        <f t="shared" si="51"/>
        <v>546.13</v>
      </c>
      <c r="DC129">
        <f t="shared" si="52"/>
        <v>91.48</v>
      </c>
      <c r="DD129" t="s">
        <v>3</v>
      </c>
      <c r="DE129" t="s">
        <v>3</v>
      </c>
      <c r="DF129">
        <f t="shared" si="62"/>
        <v>0</v>
      </c>
      <c r="DG129">
        <f>ROUND(ROUND(AF129*AJ129,2)*CX129,2)</f>
        <v>329.95</v>
      </c>
      <c r="DH129">
        <f>ROUND(ROUND(AG129*AK129,2)*CX129,2)</f>
        <v>138.72999999999999</v>
      </c>
      <c r="DI129">
        <f t="shared" ref="DI129:DI140" si="63">ROUND(ROUND(AH129,2)*CX129,2)</f>
        <v>0</v>
      </c>
      <c r="DJ129">
        <f>DG129</f>
        <v>329.95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ROW(Source!A229)</f>
        <v>229</v>
      </c>
      <c r="B130">
        <v>84185495</v>
      </c>
      <c r="C130">
        <v>84186060</v>
      </c>
      <c r="D130">
        <v>37802579</v>
      </c>
      <c r="E130">
        <v>1</v>
      </c>
      <c r="F130">
        <v>1</v>
      </c>
      <c r="G130">
        <v>1</v>
      </c>
      <c r="H130">
        <v>2</v>
      </c>
      <c r="I130" t="s">
        <v>433</v>
      </c>
      <c r="J130" t="s">
        <v>434</v>
      </c>
      <c r="K130" t="s">
        <v>435</v>
      </c>
      <c r="L130">
        <v>1368</v>
      </c>
      <c r="N130">
        <v>1011</v>
      </c>
      <c r="O130" t="s">
        <v>436</v>
      </c>
      <c r="P130" t="s">
        <v>436</v>
      </c>
      <c r="Q130">
        <v>1</v>
      </c>
      <c r="W130">
        <v>0</v>
      </c>
      <c r="X130">
        <v>1698075389</v>
      </c>
      <c r="Y130">
        <f t="shared" si="50"/>
        <v>6.63</v>
      </c>
      <c r="AA130">
        <v>0</v>
      </c>
      <c r="AB130">
        <v>898.36</v>
      </c>
      <c r="AC130">
        <v>317.43</v>
      </c>
      <c r="AD130">
        <v>0</v>
      </c>
      <c r="AE130">
        <v>0</v>
      </c>
      <c r="AF130">
        <v>85.64</v>
      </c>
      <c r="AG130">
        <v>9</v>
      </c>
      <c r="AH130">
        <v>0</v>
      </c>
      <c r="AI130">
        <v>1</v>
      </c>
      <c r="AJ130">
        <v>10.49</v>
      </c>
      <c r="AK130">
        <v>35.270000000000003</v>
      </c>
      <c r="AL130">
        <v>1</v>
      </c>
      <c r="AM130">
        <v>2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6.63</v>
      </c>
      <c r="AU130" t="s">
        <v>3</v>
      </c>
      <c r="AV130">
        <v>0</v>
      </c>
      <c r="AW130">
        <v>2</v>
      </c>
      <c r="AX130">
        <v>84186078</v>
      </c>
      <c r="AY130">
        <v>1</v>
      </c>
      <c r="AZ130">
        <v>0</v>
      </c>
      <c r="BA130">
        <v>130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f>ROUND(Y130*Source!I229*DO130,9)</f>
        <v>0</v>
      </c>
      <c r="CX130">
        <f>ROUND(Y130*Source!I229,9)</f>
        <v>0.28509000000000001</v>
      </c>
      <c r="CY130">
        <f>AB130</f>
        <v>898.36</v>
      </c>
      <c r="CZ130">
        <f>AF130</f>
        <v>85.64</v>
      </c>
      <c r="DA130">
        <f>AJ130</f>
        <v>10.49</v>
      </c>
      <c r="DB130">
        <f t="shared" si="51"/>
        <v>567.79</v>
      </c>
      <c r="DC130">
        <f t="shared" si="52"/>
        <v>59.67</v>
      </c>
      <c r="DD130" t="s">
        <v>3</v>
      </c>
      <c r="DE130" t="s">
        <v>3</v>
      </c>
      <c r="DF130">
        <f t="shared" si="62"/>
        <v>0</v>
      </c>
      <c r="DG130">
        <f>ROUND(ROUND(AF130*AJ130,2)*CX130,2)</f>
        <v>256.11</v>
      </c>
      <c r="DH130">
        <f>ROUND(ROUND(AG130*AK130,2)*CX130,2)</f>
        <v>90.5</v>
      </c>
      <c r="DI130">
        <f t="shared" si="63"/>
        <v>0</v>
      </c>
      <c r="DJ130">
        <f>DG130</f>
        <v>256.11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ROW(Source!A229)</f>
        <v>229</v>
      </c>
      <c r="B131">
        <v>84185495</v>
      </c>
      <c r="C131">
        <v>84186060</v>
      </c>
      <c r="D131">
        <v>37804456</v>
      </c>
      <c r="E131">
        <v>1</v>
      </c>
      <c r="F131">
        <v>1</v>
      </c>
      <c r="G131">
        <v>1</v>
      </c>
      <c r="H131">
        <v>2</v>
      </c>
      <c r="I131" t="s">
        <v>437</v>
      </c>
      <c r="J131" t="s">
        <v>438</v>
      </c>
      <c r="K131" t="s">
        <v>439</v>
      </c>
      <c r="L131">
        <v>1368</v>
      </c>
      <c r="N131">
        <v>1011</v>
      </c>
      <c r="O131" t="s">
        <v>436</v>
      </c>
      <c r="P131" t="s">
        <v>436</v>
      </c>
      <c r="Q131">
        <v>1</v>
      </c>
      <c r="W131">
        <v>0</v>
      </c>
      <c r="X131">
        <v>-671646184</v>
      </c>
      <c r="Y131">
        <f t="shared" si="50"/>
        <v>2.4500000000000002</v>
      </c>
      <c r="AA131">
        <v>0</v>
      </c>
      <c r="AB131">
        <v>1305.74</v>
      </c>
      <c r="AC131">
        <v>365.04</v>
      </c>
      <c r="AD131">
        <v>0</v>
      </c>
      <c r="AE131">
        <v>0</v>
      </c>
      <c r="AF131">
        <v>91.76</v>
      </c>
      <c r="AG131">
        <v>10.35</v>
      </c>
      <c r="AH131">
        <v>0</v>
      </c>
      <c r="AI131">
        <v>1</v>
      </c>
      <c r="AJ131">
        <v>14.23</v>
      </c>
      <c r="AK131">
        <v>35.270000000000003</v>
      </c>
      <c r="AL131">
        <v>1</v>
      </c>
      <c r="AM131">
        <v>2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2.4500000000000002</v>
      </c>
      <c r="AU131" t="s">
        <v>3</v>
      </c>
      <c r="AV131">
        <v>0</v>
      </c>
      <c r="AW131">
        <v>2</v>
      </c>
      <c r="AX131">
        <v>84186079</v>
      </c>
      <c r="AY131">
        <v>1</v>
      </c>
      <c r="AZ131">
        <v>0</v>
      </c>
      <c r="BA131">
        <v>131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f>ROUND(Y131*Source!I229*DO131,9)</f>
        <v>0</v>
      </c>
      <c r="CX131">
        <f>ROUND(Y131*Source!I229,9)</f>
        <v>0.10535</v>
      </c>
      <c r="CY131">
        <f>AB131</f>
        <v>1305.74</v>
      </c>
      <c r="CZ131">
        <f>AF131</f>
        <v>91.76</v>
      </c>
      <c r="DA131">
        <f>AJ131</f>
        <v>14.23</v>
      </c>
      <c r="DB131">
        <f t="shared" si="51"/>
        <v>224.81</v>
      </c>
      <c r="DC131">
        <f t="shared" si="52"/>
        <v>25.36</v>
      </c>
      <c r="DD131" t="s">
        <v>3</v>
      </c>
      <c r="DE131" t="s">
        <v>3</v>
      </c>
      <c r="DF131">
        <f t="shared" si="62"/>
        <v>0</v>
      </c>
      <c r="DG131">
        <f>ROUND(ROUND(AF131*AJ131,2)*CX131,2)</f>
        <v>137.56</v>
      </c>
      <c r="DH131">
        <f>ROUND(ROUND(AG131*AK131,2)*CX131,2)</f>
        <v>38.46</v>
      </c>
      <c r="DI131">
        <f t="shared" si="63"/>
        <v>0</v>
      </c>
      <c r="DJ131">
        <f>DG131</f>
        <v>137.56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ROW(Source!A229)</f>
        <v>229</v>
      </c>
      <c r="B132">
        <v>84185495</v>
      </c>
      <c r="C132">
        <v>84186060</v>
      </c>
      <c r="D132">
        <v>37729917</v>
      </c>
      <c r="E132">
        <v>1</v>
      </c>
      <c r="F132">
        <v>1</v>
      </c>
      <c r="G132">
        <v>1</v>
      </c>
      <c r="H132">
        <v>3</v>
      </c>
      <c r="I132" t="s">
        <v>504</v>
      </c>
      <c r="J132" t="s">
        <v>505</v>
      </c>
      <c r="K132" t="s">
        <v>506</v>
      </c>
      <c r="L132">
        <v>1348</v>
      </c>
      <c r="N132">
        <v>1009</v>
      </c>
      <c r="O132" t="s">
        <v>126</v>
      </c>
      <c r="P132" t="s">
        <v>126</v>
      </c>
      <c r="Q132">
        <v>1000</v>
      </c>
      <c r="W132">
        <v>0</v>
      </c>
      <c r="X132">
        <v>-31802417</v>
      </c>
      <c r="Y132">
        <f t="shared" si="50"/>
        <v>2.2000000000000001E-4</v>
      </c>
      <c r="AA132">
        <v>74870.41</v>
      </c>
      <c r="AB132">
        <v>0</v>
      </c>
      <c r="AC132">
        <v>0</v>
      </c>
      <c r="AD132">
        <v>0</v>
      </c>
      <c r="AE132">
        <v>6667</v>
      </c>
      <c r="AF132">
        <v>0</v>
      </c>
      <c r="AG132">
        <v>0</v>
      </c>
      <c r="AH132">
        <v>0</v>
      </c>
      <c r="AI132">
        <v>11.23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2.2000000000000001E-4</v>
      </c>
      <c r="AU132" t="s">
        <v>3</v>
      </c>
      <c r="AV132">
        <v>0</v>
      </c>
      <c r="AW132">
        <v>2</v>
      </c>
      <c r="AX132">
        <v>84186080</v>
      </c>
      <c r="AY132">
        <v>1</v>
      </c>
      <c r="AZ132">
        <v>0</v>
      </c>
      <c r="BA132">
        <v>132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ROUND(Y132*Source!I229,9)</f>
        <v>9.4599999999999992E-6</v>
      </c>
      <c r="CY132">
        <f t="shared" ref="CY132:CY140" si="64">AA132</f>
        <v>74870.41</v>
      </c>
      <c r="CZ132">
        <f t="shared" ref="CZ132:CZ140" si="65">AE132</f>
        <v>6667</v>
      </c>
      <c r="DA132">
        <f t="shared" ref="DA132:DA140" si="66">AI132</f>
        <v>11.23</v>
      </c>
      <c r="DB132">
        <f t="shared" si="51"/>
        <v>1.47</v>
      </c>
      <c r="DC132">
        <f t="shared" si="52"/>
        <v>0</v>
      </c>
      <c r="DD132" t="s">
        <v>3</v>
      </c>
      <c r="DE132" t="s">
        <v>3</v>
      </c>
      <c r="DF132">
        <f>ROUND(ROUND(AE132*AI132,2)*CX132,2)</f>
        <v>0.71</v>
      </c>
      <c r="DG132">
        <f t="shared" ref="DG132:DG140" si="67">ROUND(ROUND(AF132,2)*CX132,2)</f>
        <v>0</v>
      </c>
      <c r="DH132">
        <f t="shared" ref="DH132:DH140" si="68">ROUND(ROUND(AG132,2)*CX132,2)</f>
        <v>0</v>
      </c>
      <c r="DI132">
        <f t="shared" si="63"/>
        <v>0</v>
      </c>
      <c r="DJ132">
        <f t="shared" ref="DJ132:DJ140" si="69">DF132</f>
        <v>0.71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ROW(Source!A229)</f>
        <v>229</v>
      </c>
      <c r="B133">
        <v>84185495</v>
      </c>
      <c r="C133">
        <v>84186060</v>
      </c>
      <c r="D133">
        <v>37729633</v>
      </c>
      <c r="E133">
        <v>1</v>
      </c>
      <c r="F133">
        <v>1</v>
      </c>
      <c r="G133">
        <v>1</v>
      </c>
      <c r="H133">
        <v>3</v>
      </c>
      <c r="I133" t="s">
        <v>540</v>
      </c>
      <c r="J133" t="s">
        <v>541</v>
      </c>
      <c r="K133" t="s">
        <v>542</v>
      </c>
      <c r="L133">
        <v>1348</v>
      </c>
      <c r="N133">
        <v>1009</v>
      </c>
      <c r="O133" t="s">
        <v>126</v>
      </c>
      <c r="P133" t="s">
        <v>126</v>
      </c>
      <c r="Q133">
        <v>1000</v>
      </c>
      <c r="W133">
        <v>0</v>
      </c>
      <c r="X133">
        <v>-447054030</v>
      </c>
      <c r="Y133">
        <f t="shared" si="50"/>
        <v>6.0000000000000002E-5</v>
      </c>
      <c r="AA133">
        <v>98918.399999999994</v>
      </c>
      <c r="AB133">
        <v>0</v>
      </c>
      <c r="AC133">
        <v>0</v>
      </c>
      <c r="AD133">
        <v>0</v>
      </c>
      <c r="AE133">
        <v>6144</v>
      </c>
      <c r="AF133">
        <v>0</v>
      </c>
      <c r="AG133">
        <v>0</v>
      </c>
      <c r="AH133">
        <v>0</v>
      </c>
      <c r="AI133">
        <v>16.100000000000001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6.0000000000000002E-5</v>
      </c>
      <c r="AU133" t="s">
        <v>3</v>
      </c>
      <c r="AV133">
        <v>0</v>
      </c>
      <c r="AW133">
        <v>2</v>
      </c>
      <c r="AX133">
        <v>84186081</v>
      </c>
      <c r="AY133">
        <v>1</v>
      </c>
      <c r="AZ133">
        <v>0</v>
      </c>
      <c r="BA133">
        <v>133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ROUND(Y133*Source!I229,9)</f>
        <v>2.5799999999999999E-6</v>
      </c>
      <c r="CY133">
        <f t="shared" si="64"/>
        <v>98918.399999999994</v>
      </c>
      <c r="CZ133">
        <f t="shared" si="65"/>
        <v>6144</v>
      </c>
      <c r="DA133">
        <f t="shared" si="66"/>
        <v>16.100000000000001</v>
      </c>
      <c r="DB133">
        <f t="shared" si="51"/>
        <v>0.37</v>
      </c>
      <c r="DC133">
        <f t="shared" si="52"/>
        <v>0</v>
      </c>
      <c r="DD133" t="s">
        <v>3</v>
      </c>
      <c r="DE133" t="s">
        <v>3</v>
      </c>
      <c r="DF133">
        <f>ROUND(ROUND(AE133*AI133,2)*CX133,2)</f>
        <v>0.26</v>
      </c>
      <c r="DG133">
        <f t="shared" si="67"/>
        <v>0</v>
      </c>
      <c r="DH133">
        <f t="shared" si="68"/>
        <v>0</v>
      </c>
      <c r="DI133">
        <f t="shared" si="63"/>
        <v>0</v>
      </c>
      <c r="DJ133">
        <f t="shared" si="69"/>
        <v>0.26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ROW(Source!A229)</f>
        <v>229</v>
      </c>
      <c r="B134">
        <v>84185495</v>
      </c>
      <c r="C134">
        <v>84186060</v>
      </c>
      <c r="D134">
        <v>37729991</v>
      </c>
      <c r="E134">
        <v>1</v>
      </c>
      <c r="F134">
        <v>1</v>
      </c>
      <c r="G134">
        <v>1</v>
      </c>
      <c r="H134">
        <v>3</v>
      </c>
      <c r="I134" t="s">
        <v>492</v>
      </c>
      <c r="J134" t="s">
        <v>493</v>
      </c>
      <c r="K134" t="s">
        <v>494</v>
      </c>
      <c r="L134">
        <v>1346</v>
      </c>
      <c r="N134">
        <v>1009</v>
      </c>
      <c r="O134" t="s">
        <v>148</v>
      </c>
      <c r="P134" t="s">
        <v>148</v>
      </c>
      <c r="Q134">
        <v>1</v>
      </c>
      <c r="W134">
        <v>0</v>
      </c>
      <c r="X134">
        <v>844235703</v>
      </c>
      <c r="Y134">
        <f t="shared" si="50"/>
        <v>0.05</v>
      </c>
      <c r="AA134">
        <v>27.37</v>
      </c>
      <c r="AB134">
        <v>0</v>
      </c>
      <c r="AC134">
        <v>0</v>
      </c>
      <c r="AD134">
        <v>0</v>
      </c>
      <c r="AE134">
        <v>1.82</v>
      </c>
      <c r="AF134">
        <v>0</v>
      </c>
      <c r="AG134">
        <v>0</v>
      </c>
      <c r="AH134">
        <v>0</v>
      </c>
      <c r="AI134">
        <v>15.04</v>
      </c>
      <c r="AJ134">
        <v>1</v>
      </c>
      <c r="AK134">
        <v>1</v>
      </c>
      <c r="AL134">
        <v>1</v>
      </c>
      <c r="AM134">
        <v>2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0.05</v>
      </c>
      <c r="AU134" t="s">
        <v>3</v>
      </c>
      <c r="AV134">
        <v>0</v>
      </c>
      <c r="AW134">
        <v>2</v>
      </c>
      <c r="AX134">
        <v>84186082</v>
      </c>
      <c r="AY134">
        <v>1</v>
      </c>
      <c r="AZ134">
        <v>0</v>
      </c>
      <c r="BA134">
        <v>134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ROUND(Y134*Source!I229,9)</f>
        <v>2.15E-3</v>
      </c>
      <c r="CY134">
        <f t="shared" si="64"/>
        <v>27.37</v>
      </c>
      <c r="CZ134">
        <f t="shared" si="65"/>
        <v>1.82</v>
      </c>
      <c r="DA134">
        <f t="shared" si="66"/>
        <v>15.04</v>
      </c>
      <c r="DB134">
        <f t="shared" si="51"/>
        <v>0.09</v>
      </c>
      <c r="DC134">
        <f t="shared" si="52"/>
        <v>0</v>
      </c>
      <c r="DD134" t="s">
        <v>3</v>
      </c>
      <c r="DE134" t="s">
        <v>3</v>
      </c>
      <c r="DF134">
        <f>ROUND(ROUND(AE134*AI134,2)*CX134,2)</f>
        <v>0.06</v>
      </c>
      <c r="DG134">
        <f t="shared" si="67"/>
        <v>0</v>
      </c>
      <c r="DH134">
        <f t="shared" si="68"/>
        <v>0</v>
      </c>
      <c r="DI134">
        <f t="shared" si="63"/>
        <v>0</v>
      </c>
      <c r="DJ134">
        <f t="shared" si="69"/>
        <v>0.06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ROW(Source!A229)</f>
        <v>229</v>
      </c>
      <c r="B135">
        <v>84185495</v>
      </c>
      <c r="C135">
        <v>84186060</v>
      </c>
      <c r="D135">
        <v>37729892</v>
      </c>
      <c r="E135">
        <v>1</v>
      </c>
      <c r="F135">
        <v>1</v>
      </c>
      <c r="G135">
        <v>1</v>
      </c>
      <c r="H135">
        <v>3</v>
      </c>
      <c r="I135" t="s">
        <v>495</v>
      </c>
      <c r="J135" t="s">
        <v>496</v>
      </c>
      <c r="K135" t="s">
        <v>497</v>
      </c>
      <c r="L135">
        <v>1346</v>
      </c>
      <c r="N135">
        <v>1009</v>
      </c>
      <c r="O135" t="s">
        <v>148</v>
      </c>
      <c r="P135" t="s">
        <v>148</v>
      </c>
      <c r="Q135">
        <v>1</v>
      </c>
      <c r="W135">
        <v>0</v>
      </c>
      <c r="X135">
        <v>-1589564529</v>
      </c>
      <c r="Y135">
        <f t="shared" ref="Y135:Y140" si="70">AT135</f>
        <v>0.1</v>
      </c>
      <c r="AA135">
        <v>238.6</v>
      </c>
      <c r="AB135">
        <v>0</v>
      </c>
      <c r="AC135">
        <v>0</v>
      </c>
      <c r="AD135">
        <v>0</v>
      </c>
      <c r="AE135">
        <v>14.62</v>
      </c>
      <c r="AF135">
        <v>0</v>
      </c>
      <c r="AG135">
        <v>0</v>
      </c>
      <c r="AH135">
        <v>0</v>
      </c>
      <c r="AI135">
        <v>16.32</v>
      </c>
      <c r="AJ135">
        <v>1</v>
      </c>
      <c r="AK135">
        <v>1</v>
      </c>
      <c r="AL135">
        <v>1</v>
      </c>
      <c r="AM135">
        <v>2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3</v>
      </c>
      <c r="AT135">
        <v>0.1</v>
      </c>
      <c r="AU135" t="s">
        <v>3</v>
      </c>
      <c r="AV135">
        <v>0</v>
      </c>
      <c r="AW135">
        <v>2</v>
      </c>
      <c r="AX135">
        <v>84186083</v>
      </c>
      <c r="AY135">
        <v>1</v>
      </c>
      <c r="AZ135">
        <v>0</v>
      </c>
      <c r="BA135">
        <v>135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ROUND(Y135*Source!I229,9)</f>
        <v>4.3E-3</v>
      </c>
      <c r="CY135">
        <f t="shared" si="64"/>
        <v>238.6</v>
      </c>
      <c r="CZ135">
        <f t="shared" si="65"/>
        <v>14.62</v>
      </c>
      <c r="DA135">
        <f t="shared" si="66"/>
        <v>16.32</v>
      </c>
      <c r="DB135">
        <f t="shared" ref="DB135:DB140" si="71">ROUND(ROUND(AT135*CZ135,2),2)</f>
        <v>1.46</v>
      </c>
      <c r="DC135">
        <f t="shared" ref="DC135:DC140" si="72">ROUND(ROUND(AT135*AG135,2),2)</f>
        <v>0</v>
      </c>
      <c r="DD135" t="s">
        <v>3</v>
      </c>
      <c r="DE135" t="s">
        <v>3</v>
      </c>
      <c r="DF135">
        <f>ROUND(ROUND(AE135*AI135,2)*CX135,2)</f>
        <v>1.03</v>
      </c>
      <c r="DG135">
        <f t="shared" si="67"/>
        <v>0</v>
      </c>
      <c r="DH135">
        <f t="shared" si="68"/>
        <v>0</v>
      </c>
      <c r="DI135">
        <f t="shared" si="63"/>
        <v>0</v>
      </c>
      <c r="DJ135">
        <f t="shared" si="69"/>
        <v>1.03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ROW(Source!A229)</f>
        <v>229</v>
      </c>
      <c r="B136">
        <v>84185495</v>
      </c>
      <c r="C136">
        <v>84186060</v>
      </c>
      <c r="D136">
        <v>37744087</v>
      </c>
      <c r="E136">
        <v>1</v>
      </c>
      <c r="F136">
        <v>1</v>
      </c>
      <c r="G136">
        <v>1</v>
      </c>
      <c r="H136">
        <v>3</v>
      </c>
      <c r="I136" t="s">
        <v>347</v>
      </c>
      <c r="J136" t="s">
        <v>349</v>
      </c>
      <c r="K136" t="s">
        <v>348</v>
      </c>
      <c r="L136">
        <v>1348</v>
      </c>
      <c r="N136">
        <v>1009</v>
      </c>
      <c r="O136" t="s">
        <v>126</v>
      </c>
      <c r="P136" t="s">
        <v>126</v>
      </c>
      <c r="Q136">
        <v>1000</v>
      </c>
      <c r="W136">
        <v>0</v>
      </c>
      <c r="X136">
        <v>-1855669986</v>
      </c>
      <c r="Y136">
        <f t="shared" si="70"/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0</v>
      </c>
      <c r="AN136">
        <v>1</v>
      </c>
      <c r="AO136">
        <v>0</v>
      </c>
      <c r="AP136">
        <v>1</v>
      </c>
      <c r="AQ136">
        <v>0</v>
      </c>
      <c r="AR136">
        <v>0</v>
      </c>
      <c r="AS136" t="s">
        <v>3</v>
      </c>
      <c r="AT136">
        <v>0</v>
      </c>
      <c r="AU136" t="s">
        <v>3</v>
      </c>
      <c r="AV136">
        <v>0</v>
      </c>
      <c r="AW136">
        <v>2</v>
      </c>
      <c r="AX136">
        <v>84186084</v>
      </c>
      <c r="AY136">
        <v>1</v>
      </c>
      <c r="AZ136">
        <v>0</v>
      </c>
      <c r="BA136">
        <v>136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ROUND(Y136*Source!I229,9)</f>
        <v>0</v>
      </c>
      <c r="CY136">
        <f t="shared" si="64"/>
        <v>0</v>
      </c>
      <c r="CZ136">
        <f t="shared" si="65"/>
        <v>0</v>
      </c>
      <c r="DA136">
        <f t="shared" si="66"/>
        <v>1</v>
      </c>
      <c r="DB136">
        <f t="shared" si="71"/>
        <v>0</v>
      </c>
      <c r="DC136">
        <f t="shared" si="72"/>
        <v>0</v>
      </c>
      <c r="DD136" t="s">
        <v>3</v>
      </c>
      <c r="DE136" t="s">
        <v>3</v>
      </c>
      <c r="DF136">
        <f>ROUND(ROUND(AE136,2)*CX136,2)</f>
        <v>0</v>
      </c>
      <c r="DG136">
        <f t="shared" si="67"/>
        <v>0</v>
      </c>
      <c r="DH136">
        <f t="shared" si="68"/>
        <v>0</v>
      </c>
      <c r="DI136">
        <f t="shared" si="63"/>
        <v>0</v>
      </c>
      <c r="DJ136">
        <f t="shared" si="69"/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ROW(Source!A229)</f>
        <v>229</v>
      </c>
      <c r="B137">
        <v>84185495</v>
      </c>
      <c r="C137">
        <v>84186060</v>
      </c>
      <c r="D137">
        <v>37744375</v>
      </c>
      <c r="E137">
        <v>1</v>
      </c>
      <c r="F137">
        <v>1</v>
      </c>
      <c r="G137">
        <v>1</v>
      </c>
      <c r="H137">
        <v>3</v>
      </c>
      <c r="I137" t="s">
        <v>351</v>
      </c>
      <c r="J137" t="s">
        <v>353</v>
      </c>
      <c r="K137" t="s">
        <v>352</v>
      </c>
      <c r="L137">
        <v>1348</v>
      </c>
      <c r="N137">
        <v>1009</v>
      </c>
      <c r="O137" t="s">
        <v>126</v>
      </c>
      <c r="P137" t="s">
        <v>126</v>
      </c>
      <c r="Q137">
        <v>1000</v>
      </c>
      <c r="W137">
        <v>0</v>
      </c>
      <c r="X137">
        <v>-1609352925</v>
      </c>
      <c r="Y137">
        <f t="shared" si="70"/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0</v>
      </c>
      <c r="AN137">
        <v>1</v>
      </c>
      <c r="AO137">
        <v>0</v>
      </c>
      <c r="AP137">
        <v>1</v>
      </c>
      <c r="AQ137">
        <v>0</v>
      </c>
      <c r="AR137">
        <v>0</v>
      </c>
      <c r="AS137" t="s">
        <v>3</v>
      </c>
      <c r="AT137">
        <v>0</v>
      </c>
      <c r="AU137" t="s">
        <v>3</v>
      </c>
      <c r="AV137">
        <v>0</v>
      </c>
      <c r="AW137">
        <v>2</v>
      </c>
      <c r="AX137">
        <v>84186085</v>
      </c>
      <c r="AY137">
        <v>1</v>
      </c>
      <c r="AZ137">
        <v>0</v>
      </c>
      <c r="BA137">
        <v>137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ROUND(Y137*Source!I229,9)</f>
        <v>0</v>
      </c>
      <c r="CY137">
        <f t="shared" si="64"/>
        <v>0</v>
      </c>
      <c r="CZ137">
        <f t="shared" si="65"/>
        <v>0</v>
      </c>
      <c r="DA137">
        <f t="shared" si="66"/>
        <v>1</v>
      </c>
      <c r="DB137">
        <f t="shared" si="71"/>
        <v>0</v>
      </c>
      <c r="DC137">
        <f t="shared" si="72"/>
        <v>0</v>
      </c>
      <c r="DD137" t="s">
        <v>3</v>
      </c>
      <c r="DE137" t="s">
        <v>3</v>
      </c>
      <c r="DF137">
        <f>ROUND(ROUND(AE137,2)*CX137,2)</f>
        <v>0</v>
      </c>
      <c r="DG137">
        <f t="shared" si="67"/>
        <v>0</v>
      </c>
      <c r="DH137">
        <f t="shared" si="68"/>
        <v>0</v>
      </c>
      <c r="DI137">
        <f t="shared" si="63"/>
        <v>0</v>
      </c>
      <c r="DJ137">
        <f t="shared" si="69"/>
        <v>0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ROW(Source!A229)</f>
        <v>229</v>
      </c>
      <c r="B138">
        <v>84185495</v>
      </c>
      <c r="C138">
        <v>84186060</v>
      </c>
      <c r="D138">
        <v>37783476</v>
      </c>
      <c r="E138">
        <v>1</v>
      </c>
      <c r="F138">
        <v>1</v>
      </c>
      <c r="G138">
        <v>1</v>
      </c>
      <c r="H138">
        <v>3</v>
      </c>
      <c r="I138" t="s">
        <v>306</v>
      </c>
      <c r="J138" t="s">
        <v>308</v>
      </c>
      <c r="K138" t="s">
        <v>307</v>
      </c>
      <c r="L138">
        <v>1348</v>
      </c>
      <c r="N138">
        <v>1009</v>
      </c>
      <c r="O138" t="s">
        <v>126</v>
      </c>
      <c r="P138" t="s">
        <v>126</v>
      </c>
      <c r="Q138">
        <v>1000</v>
      </c>
      <c r="W138">
        <v>0</v>
      </c>
      <c r="X138">
        <v>533926792</v>
      </c>
      <c r="Y138">
        <f t="shared" si="70"/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0</v>
      </c>
      <c r="AN138">
        <v>1</v>
      </c>
      <c r="AO138">
        <v>0</v>
      </c>
      <c r="AP138">
        <v>1</v>
      </c>
      <c r="AQ138">
        <v>0</v>
      </c>
      <c r="AR138">
        <v>0</v>
      </c>
      <c r="AS138" t="s">
        <v>3</v>
      </c>
      <c r="AT138">
        <v>0</v>
      </c>
      <c r="AU138" t="s">
        <v>3</v>
      </c>
      <c r="AV138">
        <v>0</v>
      </c>
      <c r="AW138">
        <v>2</v>
      </c>
      <c r="AX138">
        <v>84186086</v>
      </c>
      <c r="AY138">
        <v>1</v>
      </c>
      <c r="AZ138">
        <v>0</v>
      </c>
      <c r="BA138">
        <v>138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V138">
        <v>0</v>
      </c>
      <c r="CW138">
        <v>0</v>
      </c>
      <c r="CX138">
        <f>ROUND(Y138*Source!I229,9)</f>
        <v>0</v>
      </c>
      <c r="CY138">
        <f t="shared" si="64"/>
        <v>0</v>
      </c>
      <c r="CZ138">
        <f t="shared" si="65"/>
        <v>0</v>
      </c>
      <c r="DA138">
        <f t="shared" si="66"/>
        <v>1</v>
      </c>
      <c r="DB138">
        <f t="shared" si="71"/>
        <v>0</v>
      </c>
      <c r="DC138">
        <f t="shared" si="72"/>
        <v>0</v>
      </c>
      <c r="DD138" t="s">
        <v>3</v>
      </c>
      <c r="DE138" t="s">
        <v>3</v>
      </c>
      <c r="DF138">
        <f>ROUND(ROUND(AE138,2)*CX138,2)</f>
        <v>0</v>
      </c>
      <c r="DG138">
        <f t="shared" si="67"/>
        <v>0</v>
      </c>
      <c r="DH138">
        <f t="shared" si="68"/>
        <v>0</v>
      </c>
      <c r="DI138">
        <f t="shared" si="63"/>
        <v>0</v>
      </c>
      <c r="DJ138">
        <f t="shared" si="69"/>
        <v>0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ROW(Source!A229)</f>
        <v>229</v>
      </c>
      <c r="B139">
        <v>84185495</v>
      </c>
      <c r="C139">
        <v>84186060</v>
      </c>
      <c r="D139">
        <v>37785254</v>
      </c>
      <c r="E139">
        <v>1</v>
      </c>
      <c r="F139">
        <v>1</v>
      </c>
      <c r="G139">
        <v>1</v>
      </c>
      <c r="H139">
        <v>3</v>
      </c>
      <c r="I139" t="s">
        <v>543</v>
      </c>
      <c r="J139" t="s">
        <v>544</v>
      </c>
      <c r="K139" t="s">
        <v>545</v>
      </c>
      <c r="L139">
        <v>1348</v>
      </c>
      <c r="N139">
        <v>1009</v>
      </c>
      <c r="O139" t="s">
        <v>126</v>
      </c>
      <c r="P139" t="s">
        <v>126</v>
      </c>
      <c r="Q139">
        <v>1000</v>
      </c>
      <c r="W139">
        <v>0</v>
      </c>
      <c r="X139">
        <v>-2114924647</v>
      </c>
      <c r="Y139">
        <f t="shared" si="70"/>
        <v>2E-3</v>
      </c>
      <c r="AA139">
        <v>536850.30000000005</v>
      </c>
      <c r="AB139">
        <v>0</v>
      </c>
      <c r="AC139">
        <v>0</v>
      </c>
      <c r="AD139">
        <v>0</v>
      </c>
      <c r="AE139">
        <v>29627.5</v>
      </c>
      <c r="AF139">
        <v>0</v>
      </c>
      <c r="AG139">
        <v>0</v>
      </c>
      <c r="AH139">
        <v>0</v>
      </c>
      <c r="AI139">
        <v>18.12</v>
      </c>
      <c r="AJ139">
        <v>1</v>
      </c>
      <c r="AK139">
        <v>1</v>
      </c>
      <c r="AL139">
        <v>1</v>
      </c>
      <c r="AM139">
        <v>2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2E-3</v>
      </c>
      <c r="AU139" t="s">
        <v>3</v>
      </c>
      <c r="AV139">
        <v>0</v>
      </c>
      <c r="AW139">
        <v>2</v>
      </c>
      <c r="AX139">
        <v>84186087</v>
      </c>
      <c r="AY139">
        <v>1</v>
      </c>
      <c r="AZ139">
        <v>0</v>
      </c>
      <c r="BA139">
        <v>139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v>0</v>
      </c>
      <c r="CX139">
        <f>ROUND(Y139*Source!I229,9)</f>
        <v>8.6000000000000003E-5</v>
      </c>
      <c r="CY139">
        <f t="shared" si="64"/>
        <v>536850.30000000005</v>
      </c>
      <c r="CZ139">
        <f t="shared" si="65"/>
        <v>29627.5</v>
      </c>
      <c r="DA139">
        <f t="shared" si="66"/>
        <v>18.12</v>
      </c>
      <c r="DB139">
        <f t="shared" si="71"/>
        <v>59.26</v>
      </c>
      <c r="DC139">
        <f t="shared" si="72"/>
        <v>0</v>
      </c>
      <c r="DD139" t="s">
        <v>3</v>
      </c>
      <c r="DE139" t="s">
        <v>3</v>
      </c>
      <c r="DF139">
        <f>ROUND(ROUND(AE139*AI139,2)*CX139,2)</f>
        <v>46.17</v>
      </c>
      <c r="DG139">
        <f t="shared" si="67"/>
        <v>0</v>
      </c>
      <c r="DH139">
        <f t="shared" si="68"/>
        <v>0</v>
      </c>
      <c r="DI139">
        <f t="shared" si="63"/>
        <v>0</v>
      </c>
      <c r="DJ139">
        <f t="shared" si="69"/>
        <v>46.17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ROW(Source!A229)</f>
        <v>229</v>
      </c>
      <c r="B140">
        <v>84185495</v>
      </c>
      <c r="C140">
        <v>84186060</v>
      </c>
      <c r="D140">
        <v>37794662</v>
      </c>
      <c r="E140">
        <v>1</v>
      </c>
      <c r="F140">
        <v>1</v>
      </c>
      <c r="G140">
        <v>1</v>
      </c>
      <c r="H140">
        <v>3</v>
      </c>
      <c r="I140" t="s">
        <v>546</v>
      </c>
      <c r="J140" t="s">
        <v>547</v>
      </c>
      <c r="K140" t="s">
        <v>548</v>
      </c>
      <c r="L140">
        <v>1354</v>
      </c>
      <c r="N140">
        <v>1010</v>
      </c>
      <c r="O140" t="s">
        <v>135</v>
      </c>
      <c r="P140" t="s">
        <v>135</v>
      </c>
      <c r="Q140">
        <v>1</v>
      </c>
      <c r="W140">
        <v>0</v>
      </c>
      <c r="X140">
        <v>-1545004678</v>
      </c>
      <c r="Y140">
        <f t="shared" si="70"/>
        <v>3.4</v>
      </c>
      <c r="AA140">
        <v>688.54</v>
      </c>
      <c r="AB140">
        <v>0</v>
      </c>
      <c r="AC140">
        <v>0</v>
      </c>
      <c r="AD140">
        <v>0</v>
      </c>
      <c r="AE140">
        <v>79.599999999999994</v>
      </c>
      <c r="AF140">
        <v>0</v>
      </c>
      <c r="AG140">
        <v>0</v>
      </c>
      <c r="AH140">
        <v>0</v>
      </c>
      <c r="AI140">
        <v>8.65</v>
      </c>
      <c r="AJ140">
        <v>1</v>
      </c>
      <c r="AK140">
        <v>1</v>
      </c>
      <c r="AL140">
        <v>1</v>
      </c>
      <c r="AM140">
        <v>2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3.4</v>
      </c>
      <c r="AU140" t="s">
        <v>3</v>
      </c>
      <c r="AV140">
        <v>0</v>
      </c>
      <c r="AW140">
        <v>2</v>
      </c>
      <c r="AX140">
        <v>84186088</v>
      </c>
      <c r="AY140">
        <v>1</v>
      </c>
      <c r="AZ140">
        <v>0</v>
      </c>
      <c r="BA140">
        <v>140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ROUND(Y140*Source!I229,9)</f>
        <v>0.1462</v>
      </c>
      <c r="CY140">
        <f t="shared" si="64"/>
        <v>688.54</v>
      </c>
      <c r="CZ140">
        <f t="shared" si="65"/>
        <v>79.599999999999994</v>
      </c>
      <c r="DA140">
        <f t="shared" si="66"/>
        <v>8.65</v>
      </c>
      <c r="DB140">
        <f t="shared" si="71"/>
        <v>270.64</v>
      </c>
      <c r="DC140">
        <f t="shared" si="72"/>
        <v>0</v>
      </c>
      <c r="DD140" t="s">
        <v>3</v>
      </c>
      <c r="DE140" t="s">
        <v>3</v>
      </c>
      <c r="DF140">
        <f>ROUND(ROUND(AE140*AI140,2)*CX140,2)</f>
        <v>100.66</v>
      </c>
      <c r="DG140">
        <f t="shared" si="67"/>
        <v>0</v>
      </c>
      <c r="DH140">
        <f t="shared" si="68"/>
        <v>0</v>
      </c>
      <c r="DI140">
        <f t="shared" si="63"/>
        <v>0</v>
      </c>
      <c r="DJ140">
        <f t="shared" si="69"/>
        <v>100.66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352" spans="9:9" x14ac:dyDescent="0.2">
      <c r="I35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19027-5430-4425-84F8-36598EE33F95}">
  <dimension ref="A1:AR14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84185796</v>
      </c>
      <c r="C1">
        <v>84185791</v>
      </c>
      <c r="D1">
        <v>23129805</v>
      </c>
      <c r="E1">
        <v>1</v>
      </c>
      <c r="F1">
        <v>1</v>
      </c>
      <c r="G1">
        <v>1</v>
      </c>
      <c r="H1">
        <v>1</v>
      </c>
      <c r="I1" t="s">
        <v>428</v>
      </c>
      <c r="J1" t="s">
        <v>3</v>
      </c>
      <c r="K1" t="s">
        <v>429</v>
      </c>
      <c r="L1">
        <v>1369</v>
      </c>
      <c r="N1">
        <v>1013</v>
      </c>
      <c r="O1" t="s">
        <v>430</v>
      </c>
      <c r="P1" t="s">
        <v>430</v>
      </c>
      <c r="Q1">
        <v>1</v>
      </c>
      <c r="X1">
        <v>2.0299999999999998</v>
      </c>
      <c r="Y1">
        <v>0</v>
      </c>
      <c r="Z1">
        <v>0</v>
      </c>
      <c r="AA1">
        <v>0</v>
      </c>
      <c r="AB1">
        <v>7.97</v>
      </c>
      <c r="AC1">
        <v>0</v>
      </c>
      <c r="AD1">
        <v>1</v>
      </c>
      <c r="AE1">
        <v>1</v>
      </c>
      <c r="AF1" t="s">
        <v>3</v>
      </c>
      <c r="AG1">
        <v>2.0299999999999998</v>
      </c>
      <c r="AH1">
        <v>2</v>
      </c>
      <c r="AI1">
        <v>84185792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84185797</v>
      </c>
      <c r="C2">
        <v>84185791</v>
      </c>
      <c r="D2">
        <v>121548</v>
      </c>
      <c r="E2">
        <v>1</v>
      </c>
      <c r="F2">
        <v>1</v>
      </c>
      <c r="G2">
        <v>1</v>
      </c>
      <c r="H2">
        <v>1</v>
      </c>
      <c r="I2" t="s">
        <v>24</v>
      </c>
      <c r="J2" t="s">
        <v>3</v>
      </c>
      <c r="K2" t="s">
        <v>431</v>
      </c>
      <c r="L2">
        <v>608254</v>
      </c>
      <c r="N2">
        <v>1013</v>
      </c>
      <c r="O2" t="s">
        <v>432</v>
      </c>
      <c r="P2" t="s">
        <v>432</v>
      </c>
      <c r="Q2">
        <v>1</v>
      </c>
      <c r="X2">
        <v>0.45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0.45</v>
      </c>
      <c r="AH2">
        <v>2</v>
      </c>
      <c r="AI2">
        <v>84185793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84185798</v>
      </c>
      <c r="C3">
        <v>84185791</v>
      </c>
      <c r="D3">
        <v>37802579</v>
      </c>
      <c r="E3">
        <v>1</v>
      </c>
      <c r="F3">
        <v>1</v>
      </c>
      <c r="G3">
        <v>1</v>
      </c>
      <c r="H3">
        <v>2</v>
      </c>
      <c r="I3" t="s">
        <v>433</v>
      </c>
      <c r="J3" t="s">
        <v>434</v>
      </c>
      <c r="K3" t="s">
        <v>435</v>
      </c>
      <c r="L3">
        <v>1368</v>
      </c>
      <c r="N3">
        <v>1011</v>
      </c>
      <c r="O3" t="s">
        <v>436</v>
      </c>
      <c r="P3" t="s">
        <v>436</v>
      </c>
      <c r="Q3">
        <v>1</v>
      </c>
      <c r="X3">
        <v>0.45</v>
      </c>
      <c r="Y3">
        <v>0</v>
      </c>
      <c r="Z3">
        <v>85.64</v>
      </c>
      <c r="AA3">
        <v>9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0.45</v>
      </c>
      <c r="AH3">
        <v>2</v>
      </c>
      <c r="AI3">
        <v>84185794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84185799</v>
      </c>
      <c r="C4">
        <v>84185791</v>
      </c>
      <c r="D4">
        <v>37804456</v>
      </c>
      <c r="E4">
        <v>1</v>
      </c>
      <c r="F4">
        <v>1</v>
      </c>
      <c r="G4">
        <v>1</v>
      </c>
      <c r="H4">
        <v>2</v>
      </c>
      <c r="I4" t="s">
        <v>437</v>
      </c>
      <c r="J4" t="s">
        <v>438</v>
      </c>
      <c r="K4" t="s">
        <v>439</v>
      </c>
      <c r="L4">
        <v>1368</v>
      </c>
      <c r="N4">
        <v>1011</v>
      </c>
      <c r="O4" t="s">
        <v>436</v>
      </c>
      <c r="P4" t="s">
        <v>436</v>
      </c>
      <c r="Q4">
        <v>1</v>
      </c>
      <c r="X4">
        <v>0.1</v>
      </c>
      <c r="Y4">
        <v>0</v>
      </c>
      <c r="Z4">
        <v>91.76</v>
      </c>
      <c r="AA4">
        <v>10.35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0.1</v>
      </c>
      <c r="AH4">
        <v>2</v>
      </c>
      <c r="AI4">
        <v>84185795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84185803</v>
      </c>
      <c r="C5">
        <v>84185800</v>
      </c>
      <c r="D5">
        <v>23351395</v>
      </c>
      <c r="E5">
        <v>1</v>
      </c>
      <c r="F5">
        <v>1</v>
      </c>
      <c r="G5">
        <v>1</v>
      </c>
      <c r="H5">
        <v>1</v>
      </c>
      <c r="I5" t="s">
        <v>440</v>
      </c>
      <c r="J5" t="s">
        <v>3</v>
      </c>
      <c r="K5" t="s">
        <v>441</v>
      </c>
      <c r="L5">
        <v>1369</v>
      </c>
      <c r="N5">
        <v>1013</v>
      </c>
      <c r="O5" t="s">
        <v>430</v>
      </c>
      <c r="P5" t="s">
        <v>430</v>
      </c>
      <c r="Q5">
        <v>1</v>
      </c>
      <c r="X5">
        <v>15.12</v>
      </c>
      <c r="Y5">
        <v>0</v>
      </c>
      <c r="Z5">
        <v>0</v>
      </c>
      <c r="AA5">
        <v>0</v>
      </c>
      <c r="AB5">
        <v>8.99</v>
      </c>
      <c r="AC5">
        <v>0</v>
      </c>
      <c r="AD5">
        <v>1</v>
      </c>
      <c r="AE5">
        <v>1</v>
      </c>
      <c r="AF5" t="s">
        <v>31</v>
      </c>
      <c r="AG5">
        <v>9.0719999999999992</v>
      </c>
      <c r="AH5">
        <v>2</v>
      </c>
      <c r="AI5">
        <v>84185801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84185804</v>
      </c>
      <c r="C6">
        <v>84185800</v>
      </c>
      <c r="D6">
        <v>37801918</v>
      </c>
      <c r="E6">
        <v>1</v>
      </c>
      <c r="F6">
        <v>1</v>
      </c>
      <c r="G6">
        <v>1</v>
      </c>
      <c r="H6">
        <v>3</v>
      </c>
      <c r="I6" t="s">
        <v>442</v>
      </c>
      <c r="J6" t="s">
        <v>443</v>
      </c>
      <c r="K6" t="s">
        <v>444</v>
      </c>
      <c r="L6">
        <v>1374</v>
      </c>
      <c r="N6">
        <v>1013</v>
      </c>
      <c r="O6" t="s">
        <v>445</v>
      </c>
      <c r="P6" t="s">
        <v>445</v>
      </c>
      <c r="Q6">
        <v>1</v>
      </c>
      <c r="X6">
        <v>2.72</v>
      </c>
      <c r="Y6">
        <v>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30</v>
      </c>
      <c r="AG6">
        <v>0</v>
      </c>
      <c r="AH6">
        <v>2</v>
      </c>
      <c r="AI6">
        <v>84185802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ROW(Source!A74)</f>
        <v>74</v>
      </c>
      <c r="B7">
        <v>84185811</v>
      </c>
      <c r="C7">
        <v>84185805</v>
      </c>
      <c r="D7">
        <v>23131263</v>
      </c>
      <c r="E7">
        <v>1</v>
      </c>
      <c r="F7">
        <v>1</v>
      </c>
      <c r="G7">
        <v>1</v>
      </c>
      <c r="H7">
        <v>1</v>
      </c>
      <c r="I7" t="s">
        <v>446</v>
      </c>
      <c r="J7" t="s">
        <v>3</v>
      </c>
      <c r="K7" t="s">
        <v>447</v>
      </c>
      <c r="L7">
        <v>1369</v>
      </c>
      <c r="N7">
        <v>1013</v>
      </c>
      <c r="O7" t="s">
        <v>430</v>
      </c>
      <c r="P7" t="s">
        <v>430</v>
      </c>
      <c r="Q7">
        <v>1</v>
      </c>
      <c r="X7">
        <v>0.44</v>
      </c>
      <c r="Y7">
        <v>0</v>
      </c>
      <c r="Z7">
        <v>0</v>
      </c>
      <c r="AA7">
        <v>0</v>
      </c>
      <c r="AB7">
        <v>7.63</v>
      </c>
      <c r="AC7">
        <v>0</v>
      </c>
      <c r="AD7">
        <v>1</v>
      </c>
      <c r="AE7">
        <v>1</v>
      </c>
      <c r="AF7" t="s">
        <v>3</v>
      </c>
      <c r="AG7">
        <v>0.44</v>
      </c>
      <c r="AH7">
        <v>2</v>
      </c>
      <c r="AI7">
        <v>84185806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ROW(Source!A74)</f>
        <v>74</v>
      </c>
      <c r="B8">
        <v>84185812</v>
      </c>
      <c r="C8">
        <v>84185805</v>
      </c>
      <c r="D8">
        <v>121548</v>
      </c>
      <c r="E8">
        <v>1</v>
      </c>
      <c r="F8">
        <v>1</v>
      </c>
      <c r="G8">
        <v>1</v>
      </c>
      <c r="H8">
        <v>1</v>
      </c>
      <c r="I8" t="s">
        <v>24</v>
      </c>
      <c r="J8" t="s">
        <v>3</v>
      </c>
      <c r="K8" t="s">
        <v>431</v>
      </c>
      <c r="L8">
        <v>608254</v>
      </c>
      <c r="N8">
        <v>1013</v>
      </c>
      <c r="O8" t="s">
        <v>432</v>
      </c>
      <c r="P8" t="s">
        <v>432</v>
      </c>
      <c r="Q8">
        <v>1</v>
      </c>
      <c r="X8">
        <v>0.48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3</v>
      </c>
      <c r="AG8">
        <v>0.48</v>
      </c>
      <c r="AH8">
        <v>2</v>
      </c>
      <c r="AI8">
        <v>84185807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ROW(Source!A74)</f>
        <v>74</v>
      </c>
      <c r="B9">
        <v>84185813</v>
      </c>
      <c r="C9">
        <v>84185805</v>
      </c>
      <c r="D9">
        <v>37802322</v>
      </c>
      <c r="E9">
        <v>1</v>
      </c>
      <c r="F9">
        <v>1</v>
      </c>
      <c r="G9">
        <v>1</v>
      </c>
      <c r="H9">
        <v>2</v>
      </c>
      <c r="I9" t="s">
        <v>448</v>
      </c>
      <c r="J9" t="s">
        <v>449</v>
      </c>
      <c r="K9" t="s">
        <v>450</v>
      </c>
      <c r="L9">
        <v>1368</v>
      </c>
      <c r="N9">
        <v>1011</v>
      </c>
      <c r="O9" t="s">
        <v>436</v>
      </c>
      <c r="P9" t="s">
        <v>436</v>
      </c>
      <c r="Q9">
        <v>1</v>
      </c>
      <c r="X9">
        <v>0.24</v>
      </c>
      <c r="Y9">
        <v>0</v>
      </c>
      <c r="Z9">
        <v>4.3899999999999997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0.24</v>
      </c>
      <c r="AH9">
        <v>2</v>
      </c>
      <c r="AI9">
        <v>84185808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ROW(Source!A74)</f>
        <v>74</v>
      </c>
      <c r="B10">
        <v>84185814</v>
      </c>
      <c r="C10">
        <v>84185805</v>
      </c>
      <c r="D10">
        <v>37802345</v>
      </c>
      <c r="E10">
        <v>1</v>
      </c>
      <c r="F10">
        <v>1</v>
      </c>
      <c r="G10">
        <v>1</v>
      </c>
      <c r="H10">
        <v>2</v>
      </c>
      <c r="I10" t="s">
        <v>451</v>
      </c>
      <c r="J10" t="s">
        <v>452</v>
      </c>
      <c r="K10" t="s">
        <v>453</v>
      </c>
      <c r="L10">
        <v>1368</v>
      </c>
      <c r="N10">
        <v>1011</v>
      </c>
      <c r="O10" t="s">
        <v>436</v>
      </c>
      <c r="P10" t="s">
        <v>436</v>
      </c>
      <c r="Q10">
        <v>1</v>
      </c>
      <c r="X10">
        <v>0.24</v>
      </c>
      <c r="Y10">
        <v>0</v>
      </c>
      <c r="Z10">
        <v>72.239999999999995</v>
      </c>
      <c r="AA10">
        <v>12.1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0.24</v>
      </c>
      <c r="AH10">
        <v>2</v>
      </c>
      <c r="AI10">
        <v>84185809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ROW(Source!A74)</f>
        <v>74</v>
      </c>
      <c r="B11">
        <v>84185815</v>
      </c>
      <c r="C11">
        <v>84185805</v>
      </c>
      <c r="D11">
        <v>37802443</v>
      </c>
      <c r="E11">
        <v>1</v>
      </c>
      <c r="F11">
        <v>1</v>
      </c>
      <c r="G11">
        <v>1</v>
      </c>
      <c r="H11">
        <v>2</v>
      </c>
      <c r="I11" t="s">
        <v>454</v>
      </c>
      <c r="J11" t="s">
        <v>455</v>
      </c>
      <c r="K11" t="s">
        <v>456</v>
      </c>
      <c r="L11">
        <v>1368</v>
      </c>
      <c r="N11">
        <v>1011</v>
      </c>
      <c r="O11" t="s">
        <v>436</v>
      </c>
      <c r="P11" t="s">
        <v>436</v>
      </c>
      <c r="Q11">
        <v>1</v>
      </c>
      <c r="X11">
        <v>0.24</v>
      </c>
      <c r="Y11">
        <v>0</v>
      </c>
      <c r="Z11">
        <v>124.14</v>
      </c>
      <c r="AA11">
        <v>12.1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0.24</v>
      </c>
      <c r="AH11">
        <v>2</v>
      </c>
      <c r="AI11">
        <v>84185810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ROW(Source!A75)</f>
        <v>75</v>
      </c>
      <c r="B12">
        <v>84185829</v>
      </c>
      <c r="C12">
        <v>84185816</v>
      </c>
      <c r="D12">
        <v>23351395</v>
      </c>
      <c r="E12">
        <v>1</v>
      </c>
      <c r="F12">
        <v>1</v>
      </c>
      <c r="G12">
        <v>1</v>
      </c>
      <c r="H12">
        <v>1</v>
      </c>
      <c r="I12" t="s">
        <v>440</v>
      </c>
      <c r="J12" t="s">
        <v>3</v>
      </c>
      <c r="K12" t="s">
        <v>441</v>
      </c>
      <c r="L12">
        <v>1369</v>
      </c>
      <c r="N12">
        <v>1013</v>
      </c>
      <c r="O12" t="s">
        <v>430</v>
      </c>
      <c r="P12" t="s">
        <v>430</v>
      </c>
      <c r="Q12">
        <v>1</v>
      </c>
      <c r="X12">
        <v>62.2</v>
      </c>
      <c r="Y12">
        <v>0</v>
      </c>
      <c r="Z12">
        <v>0</v>
      </c>
      <c r="AA12">
        <v>0</v>
      </c>
      <c r="AB12">
        <v>8.99</v>
      </c>
      <c r="AC12">
        <v>0</v>
      </c>
      <c r="AD12">
        <v>1</v>
      </c>
      <c r="AE12">
        <v>1</v>
      </c>
      <c r="AF12" t="s">
        <v>3</v>
      </c>
      <c r="AG12">
        <v>62.2</v>
      </c>
      <c r="AH12">
        <v>2</v>
      </c>
      <c r="AI12">
        <v>84185817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ROW(Source!A75)</f>
        <v>75</v>
      </c>
      <c r="B13">
        <v>84185830</v>
      </c>
      <c r="C13">
        <v>84185816</v>
      </c>
      <c r="D13">
        <v>121548</v>
      </c>
      <c r="E13">
        <v>1</v>
      </c>
      <c r="F13">
        <v>1</v>
      </c>
      <c r="G13">
        <v>1</v>
      </c>
      <c r="H13">
        <v>1</v>
      </c>
      <c r="I13" t="s">
        <v>24</v>
      </c>
      <c r="J13" t="s">
        <v>3</v>
      </c>
      <c r="K13" t="s">
        <v>431</v>
      </c>
      <c r="L13">
        <v>608254</v>
      </c>
      <c r="N13">
        <v>1013</v>
      </c>
      <c r="O13" t="s">
        <v>432</v>
      </c>
      <c r="P13" t="s">
        <v>432</v>
      </c>
      <c r="Q13">
        <v>1</v>
      </c>
      <c r="X13">
        <v>1.74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2</v>
      </c>
      <c r="AF13" t="s">
        <v>3</v>
      </c>
      <c r="AG13">
        <v>1.74</v>
      </c>
      <c r="AH13">
        <v>2</v>
      </c>
      <c r="AI13">
        <v>84185818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ROW(Source!A75)</f>
        <v>75</v>
      </c>
      <c r="B14">
        <v>84185831</v>
      </c>
      <c r="C14">
        <v>84185816</v>
      </c>
      <c r="D14">
        <v>37802432</v>
      </c>
      <c r="E14">
        <v>1</v>
      </c>
      <c r="F14">
        <v>1</v>
      </c>
      <c r="G14">
        <v>1</v>
      </c>
      <c r="H14">
        <v>2</v>
      </c>
      <c r="I14" t="s">
        <v>457</v>
      </c>
      <c r="J14" t="s">
        <v>458</v>
      </c>
      <c r="K14" t="s">
        <v>459</v>
      </c>
      <c r="L14">
        <v>1368</v>
      </c>
      <c r="N14">
        <v>1011</v>
      </c>
      <c r="O14" t="s">
        <v>436</v>
      </c>
      <c r="P14" t="s">
        <v>436</v>
      </c>
      <c r="Q14">
        <v>1</v>
      </c>
      <c r="X14">
        <v>1.74</v>
      </c>
      <c r="Y14">
        <v>0</v>
      </c>
      <c r="Z14">
        <v>138.54</v>
      </c>
      <c r="AA14">
        <v>12.1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1.74</v>
      </c>
      <c r="AH14">
        <v>2</v>
      </c>
      <c r="AI14">
        <v>84185819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ROW(Source!A75)</f>
        <v>75</v>
      </c>
      <c r="B15">
        <v>84185832</v>
      </c>
      <c r="C15">
        <v>84185816</v>
      </c>
      <c r="D15">
        <v>37802657</v>
      </c>
      <c r="E15">
        <v>1</v>
      </c>
      <c r="F15">
        <v>1</v>
      </c>
      <c r="G15">
        <v>1</v>
      </c>
      <c r="H15">
        <v>2</v>
      </c>
      <c r="I15" t="s">
        <v>460</v>
      </c>
      <c r="J15" t="s">
        <v>461</v>
      </c>
      <c r="K15" t="s">
        <v>462</v>
      </c>
      <c r="L15">
        <v>1368</v>
      </c>
      <c r="N15">
        <v>1011</v>
      </c>
      <c r="O15" t="s">
        <v>436</v>
      </c>
      <c r="P15" t="s">
        <v>436</v>
      </c>
      <c r="Q15">
        <v>1</v>
      </c>
      <c r="X15">
        <v>15.1</v>
      </c>
      <c r="Y15">
        <v>0</v>
      </c>
      <c r="Z15">
        <v>7.55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15.1</v>
      </c>
      <c r="AH15">
        <v>2</v>
      </c>
      <c r="AI15">
        <v>84185820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ROW(Source!A75)</f>
        <v>75</v>
      </c>
      <c r="B16">
        <v>84185833</v>
      </c>
      <c r="C16">
        <v>84185816</v>
      </c>
      <c r="D16">
        <v>37804456</v>
      </c>
      <c r="E16">
        <v>1</v>
      </c>
      <c r="F16">
        <v>1</v>
      </c>
      <c r="G16">
        <v>1</v>
      </c>
      <c r="H16">
        <v>2</v>
      </c>
      <c r="I16" t="s">
        <v>437</v>
      </c>
      <c r="J16" t="s">
        <v>438</v>
      </c>
      <c r="K16" t="s">
        <v>439</v>
      </c>
      <c r="L16">
        <v>1368</v>
      </c>
      <c r="N16">
        <v>1011</v>
      </c>
      <c r="O16" t="s">
        <v>436</v>
      </c>
      <c r="P16" t="s">
        <v>436</v>
      </c>
      <c r="Q16">
        <v>1</v>
      </c>
      <c r="X16">
        <v>1.74</v>
      </c>
      <c r="Y16">
        <v>0</v>
      </c>
      <c r="Z16">
        <v>91.76</v>
      </c>
      <c r="AA16">
        <v>10.35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1.74</v>
      </c>
      <c r="AH16">
        <v>2</v>
      </c>
      <c r="AI16">
        <v>84185821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ROW(Source!A75)</f>
        <v>75</v>
      </c>
      <c r="B17">
        <v>84185834</v>
      </c>
      <c r="C17">
        <v>84185816</v>
      </c>
      <c r="D17">
        <v>37731377</v>
      </c>
      <c r="E17">
        <v>1</v>
      </c>
      <c r="F17">
        <v>1</v>
      </c>
      <c r="G17">
        <v>1</v>
      </c>
      <c r="H17">
        <v>3</v>
      </c>
      <c r="I17" t="s">
        <v>463</v>
      </c>
      <c r="J17" t="s">
        <v>464</v>
      </c>
      <c r="K17" t="s">
        <v>465</v>
      </c>
      <c r="L17">
        <v>1348</v>
      </c>
      <c r="N17">
        <v>1009</v>
      </c>
      <c r="O17" t="s">
        <v>126</v>
      </c>
      <c r="P17" t="s">
        <v>126</v>
      </c>
      <c r="Q17">
        <v>1000</v>
      </c>
      <c r="X17">
        <v>0.18</v>
      </c>
      <c r="Y17">
        <v>582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0.18</v>
      </c>
      <c r="AH17">
        <v>2</v>
      </c>
      <c r="AI17">
        <v>84185822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ROW(Source!A75)</f>
        <v>75</v>
      </c>
      <c r="B18">
        <v>84185835</v>
      </c>
      <c r="C18">
        <v>84185816</v>
      </c>
      <c r="D18">
        <v>37737041</v>
      </c>
      <c r="E18">
        <v>1</v>
      </c>
      <c r="F18">
        <v>1</v>
      </c>
      <c r="G18">
        <v>1</v>
      </c>
      <c r="H18">
        <v>3</v>
      </c>
      <c r="I18" t="s">
        <v>466</v>
      </c>
      <c r="J18" t="s">
        <v>467</v>
      </c>
      <c r="K18" t="s">
        <v>468</v>
      </c>
      <c r="L18">
        <v>1355</v>
      </c>
      <c r="N18">
        <v>1010</v>
      </c>
      <c r="O18" t="s">
        <v>27</v>
      </c>
      <c r="P18" t="s">
        <v>27</v>
      </c>
      <c r="Q18">
        <v>100</v>
      </c>
      <c r="X18">
        <v>0.8</v>
      </c>
      <c r="Y18">
        <v>111.65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0.8</v>
      </c>
      <c r="AH18">
        <v>2</v>
      </c>
      <c r="AI18">
        <v>84185823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ROW(Source!A75)</f>
        <v>75</v>
      </c>
      <c r="B19">
        <v>84185836</v>
      </c>
      <c r="C19">
        <v>84185816</v>
      </c>
      <c r="D19">
        <v>37736610</v>
      </c>
      <c r="E19">
        <v>1</v>
      </c>
      <c r="F19">
        <v>1</v>
      </c>
      <c r="G19">
        <v>1</v>
      </c>
      <c r="H19">
        <v>3</v>
      </c>
      <c r="I19" t="s">
        <v>469</v>
      </c>
      <c r="J19" t="s">
        <v>470</v>
      </c>
      <c r="K19" t="s">
        <v>471</v>
      </c>
      <c r="L19">
        <v>1346</v>
      </c>
      <c r="N19">
        <v>1009</v>
      </c>
      <c r="O19" t="s">
        <v>148</v>
      </c>
      <c r="P19" t="s">
        <v>148</v>
      </c>
      <c r="Q19">
        <v>1</v>
      </c>
      <c r="X19">
        <v>4.2</v>
      </c>
      <c r="Y19">
        <v>12.65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4.2</v>
      </c>
      <c r="AH19">
        <v>2</v>
      </c>
      <c r="AI19">
        <v>84185824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ROW(Source!A75)</f>
        <v>75</v>
      </c>
      <c r="B20">
        <v>84185837</v>
      </c>
      <c r="C20">
        <v>84185816</v>
      </c>
      <c r="D20">
        <v>37736858</v>
      </c>
      <c r="E20">
        <v>1</v>
      </c>
      <c r="F20">
        <v>1</v>
      </c>
      <c r="G20">
        <v>1</v>
      </c>
      <c r="H20">
        <v>3</v>
      </c>
      <c r="I20" t="s">
        <v>472</v>
      </c>
      <c r="J20" t="s">
        <v>473</v>
      </c>
      <c r="K20" t="s">
        <v>125</v>
      </c>
      <c r="L20">
        <v>1346</v>
      </c>
      <c r="N20">
        <v>1009</v>
      </c>
      <c r="O20" t="s">
        <v>148</v>
      </c>
      <c r="P20" t="s">
        <v>148</v>
      </c>
      <c r="Q20">
        <v>1</v>
      </c>
      <c r="X20">
        <v>27</v>
      </c>
      <c r="Y20">
        <v>9.49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27</v>
      </c>
      <c r="AH20">
        <v>2</v>
      </c>
      <c r="AI20">
        <v>84185825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ROW(Source!A75)</f>
        <v>75</v>
      </c>
      <c r="B21">
        <v>84185838</v>
      </c>
      <c r="C21">
        <v>84185816</v>
      </c>
      <c r="D21">
        <v>37751465</v>
      </c>
      <c r="E21">
        <v>1</v>
      </c>
      <c r="F21">
        <v>1</v>
      </c>
      <c r="G21">
        <v>1</v>
      </c>
      <c r="H21">
        <v>3</v>
      </c>
      <c r="I21" t="s">
        <v>474</v>
      </c>
      <c r="J21" t="s">
        <v>475</v>
      </c>
      <c r="K21" t="s">
        <v>476</v>
      </c>
      <c r="L21">
        <v>1348</v>
      </c>
      <c r="N21">
        <v>1009</v>
      </c>
      <c r="O21" t="s">
        <v>126</v>
      </c>
      <c r="P21" t="s">
        <v>126</v>
      </c>
      <c r="Q21">
        <v>1000</v>
      </c>
      <c r="X21">
        <v>1</v>
      </c>
      <c r="Y21">
        <v>11672.49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</v>
      </c>
      <c r="AH21">
        <v>2</v>
      </c>
      <c r="AI21">
        <v>84185826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ROW(Source!A75)</f>
        <v>75</v>
      </c>
      <c r="B22">
        <v>84185839</v>
      </c>
      <c r="C22">
        <v>84185816</v>
      </c>
      <c r="D22">
        <v>37777370</v>
      </c>
      <c r="E22">
        <v>1</v>
      </c>
      <c r="F22">
        <v>1</v>
      </c>
      <c r="G22">
        <v>1</v>
      </c>
      <c r="H22">
        <v>3</v>
      </c>
      <c r="I22" t="s">
        <v>477</v>
      </c>
      <c r="J22" t="s">
        <v>478</v>
      </c>
      <c r="K22" t="s">
        <v>479</v>
      </c>
      <c r="L22">
        <v>1339</v>
      </c>
      <c r="N22">
        <v>1007</v>
      </c>
      <c r="O22" t="s">
        <v>480</v>
      </c>
      <c r="P22" t="s">
        <v>480</v>
      </c>
      <c r="Q22">
        <v>1</v>
      </c>
      <c r="X22">
        <v>0.15</v>
      </c>
      <c r="Y22">
        <v>64.959999999999994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0.15</v>
      </c>
      <c r="AH22">
        <v>2</v>
      </c>
      <c r="AI22">
        <v>84185827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ROW(Source!A75)</f>
        <v>75</v>
      </c>
      <c r="B23">
        <v>84185840</v>
      </c>
      <c r="C23">
        <v>84185816</v>
      </c>
      <c r="D23">
        <v>37801918</v>
      </c>
      <c r="E23">
        <v>1</v>
      </c>
      <c r="F23">
        <v>1</v>
      </c>
      <c r="G23">
        <v>1</v>
      </c>
      <c r="H23">
        <v>3</v>
      </c>
      <c r="I23" t="s">
        <v>442</v>
      </c>
      <c r="J23" t="s">
        <v>443</v>
      </c>
      <c r="K23" t="s">
        <v>444</v>
      </c>
      <c r="L23">
        <v>1374</v>
      </c>
      <c r="N23">
        <v>1013</v>
      </c>
      <c r="O23" t="s">
        <v>445</v>
      </c>
      <c r="P23" t="s">
        <v>445</v>
      </c>
      <c r="Q23">
        <v>1</v>
      </c>
      <c r="X23">
        <v>11.18</v>
      </c>
      <c r="Y23">
        <v>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11.18</v>
      </c>
      <c r="AH23">
        <v>2</v>
      </c>
      <c r="AI23">
        <v>84185828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ROW(Source!A76)</f>
        <v>76</v>
      </c>
      <c r="B24">
        <v>84185861</v>
      </c>
      <c r="C24">
        <v>84185841</v>
      </c>
      <c r="D24">
        <v>23129536</v>
      </c>
      <c r="E24">
        <v>1</v>
      </c>
      <c r="F24">
        <v>1</v>
      </c>
      <c r="G24">
        <v>1</v>
      </c>
      <c r="H24">
        <v>1</v>
      </c>
      <c r="I24" t="s">
        <v>481</v>
      </c>
      <c r="J24" t="s">
        <v>3</v>
      </c>
      <c r="K24" t="s">
        <v>482</v>
      </c>
      <c r="L24">
        <v>1369</v>
      </c>
      <c r="N24">
        <v>1013</v>
      </c>
      <c r="O24" t="s">
        <v>430</v>
      </c>
      <c r="P24" t="s">
        <v>430</v>
      </c>
      <c r="Q24">
        <v>1</v>
      </c>
      <c r="X24">
        <v>7.9</v>
      </c>
      <c r="Y24">
        <v>0</v>
      </c>
      <c r="Z24">
        <v>0</v>
      </c>
      <c r="AA24">
        <v>0</v>
      </c>
      <c r="AB24">
        <v>8.2799999999999994</v>
      </c>
      <c r="AC24">
        <v>0</v>
      </c>
      <c r="AD24">
        <v>1</v>
      </c>
      <c r="AE24">
        <v>1</v>
      </c>
      <c r="AF24" t="s">
        <v>3</v>
      </c>
      <c r="AG24">
        <v>7.9</v>
      </c>
      <c r="AH24">
        <v>2</v>
      </c>
      <c r="AI24">
        <v>84185842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ROW(Source!A76)</f>
        <v>76</v>
      </c>
      <c r="B25">
        <v>84185862</v>
      </c>
      <c r="C25">
        <v>84185841</v>
      </c>
      <c r="D25">
        <v>121548</v>
      </c>
      <c r="E25">
        <v>1</v>
      </c>
      <c r="F25">
        <v>1</v>
      </c>
      <c r="G25">
        <v>1</v>
      </c>
      <c r="H25">
        <v>1</v>
      </c>
      <c r="I25" t="s">
        <v>24</v>
      </c>
      <c r="J25" t="s">
        <v>3</v>
      </c>
      <c r="K25" t="s">
        <v>431</v>
      </c>
      <c r="L25">
        <v>608254</v>
      </c>
      <c r="N25">
        <v>1013</v>
      </c>
      <c r="O25" t="s">
        <v>432</v>
      </c>
      <c r="P25" t="s">
        <v>432</v>
      </c>
      <c r="Q25">
        <v>1</v>
      </c>
      <c r="X25">
        <v>1.86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3</v>
      </c>
      <c r="AG25">
        <v>1.86</v>
      </c>
      <c r="AH25">
        <v>2</v>
      </c>
      <c r="AI25">
        <v>84185843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ROW(Source!A76)</f>
        <v>76</v>
      </c>
      <c r="B26">
        <v>84185863</v>
      </c>
      <c r="C26">
        <v>84185841</v>
      </c>
      <c r="D26">
        <v>37803498</v>
      </c>
      <c r="E26">
        <v>1</v>
      </c>
      <c r="F26">
        <v>1</v>
      </c>
      <c r="G26">
        <v>1</v>
      </c>
      <c r="H26">
        <v>2</v>
      </c>
      <c r="I26" t="s">
        <v>483</v>
      </c>
      <c r="J26" t="s">
        <v>484</v>
      </c>
      <c r="K26" t="s">
        <v>485</v>
      </c>
      <c r="L26">
        <v>1368</v>
      </c>
      <c r="N26">
        <v>1011</v>
      </c>
      <c r="O26" t="s">
        <v>436</v>
      </c>
      <c r="P26" t="s">
        <v>436</v>
      </c>
      <c r="Q26">
        <v>1</v>
      </c>
      <c r="X26">
        <v>1.86</v>
      </c>
      <c r="Y26">
        <v>0</v>
      </c>
      <c r="Z26">
        <v>123.86</v>
      </c>
      <c r="AA26">
        <v>10.35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1.86</v>
      </c>
      <c r="AH26">
        <v>2</v>
      </c>
      <c r="AI26">
        <v>84185844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ROW(Source!A76)</f>
        <v>76</v>
      </c>
      <c r="B27">
        <v>84185864</v>
      </c>
      <c r="C27">
        <v>84185841</v>
      </c>
      <c r="D27">
        <v>37804456</v>
      </c>
      <c r="E27">
        <v>1</v>
      </c>
      <c r="F27">
        <v>1</v>
      </c>
      <c r="G27">
        <v>1</v>
      </c>
      <c r="H27">
        <v>2</v>
      </c>
      <c r="I27" t="s">
        <v>437</v>
      </c>
      <c r="J27" t="s">
        <v>438</v>
      </c>
      <c r="K27" t="s">
        <v>439</v>
      </c>
      <c r="L27">
        <v>1368</v>
      </c>
      <c r="N27">
        <v>1011</v>
      </c>
      <c r="O27" t="s">
        <v>436</v>
      </c>
      <c r="P27" t="s">
        <v>436</v>
      </c>
      <c r="Q27">
        <v>1</v>
      </c>
      <c r="X27">
        <v>0.4</v>
      </c>
      <c r="Y27">
        <v>0</v>
      </c>
      <c r="Z27">
        <v>91.76</v>
      </c>
      <c r="AA27">
        <v>10.35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0.4</v>
      </c>
      <c r="AH27">
        <v>2</v>
      </c>
      <c r="AI27">
        <v>84185845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ROW(Source!A76)</f>
        <v>76</v>
      </c>
      <c r="B28">
        <v>84185865</v>
      </c>
      <c r="C28">
        <v>84185841</v>
      </c>
      <c r="D28">
        <v>37732468</v>
      </c>
      <c r="E28">
        <v>1</v>
      </c>
      <c r="F28">
        <v>1</v>
      </c>
      <c r="G28">
        <v>1</v>
      </c>
      <c r="H28">
        <v>3</v>
      </c>
      <c r="I28" t="s">
        <v>486</v>
      </c>
      <c r="J28" t="s">
        <v>487</v>
      </c>
      <c r="K28" t="s">
        <v>488</v>
      </c>
      <c r="L28">
        <v>1348</v>
      </c>
      <c r="N28">
        <v>1009</v>
      </c>
      <c r="O28" t="s">
        <v>126</v>
      </c>
      <c r="P28" t="s">
        <v>126</v>
      </c>
      <c r="Q28">
        <v>1000</v>
      </c>
      <c r="X28">
        <v>4.0000000000000002E-4</v>
      </c>
      <c r="Y28">
        <v>15954.5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4.0000000000000002E-4</v>
      </c>
      <c r="AH28">
        <v>2</v>
      </c>
      <c r="AI28">
        <v>84185846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ROW(Source!A76)</f>
        <v>76</v>
      </c>
      <c r="B29">
        <v>84185866</v>
      </c>
      <c r="C29">
        <v>84185841</v>
      </c>
      <c r="D29">
        <v>37729879</v>
      </c>
      <c r="E29">
        <v>1</v>
      </c>
      <c r="F29">
        <v>1</v>
      </c>
      <c r="G29">
        <v>1</v>
      </c>
      <c r="H29">
        <v>3</v>
      </c>
      <c r="I29" t="s">
        <v>489</v>
      </c>
      <c r="J29" t="s">
        <v>490</v>
      </c>
      <c r="K29" t="s">
        <v>491</v>
      </c>
      <c r="L29">
        <v>1348</v>
      </c>
      <c r="N29">
        <v>1009</v>
      </c>
      <c r="O29" t="s">
        <v>126</v>
      </c>
      <c r="P29" t="s">
        <v>126</v>
      </c>
      <c r="Q29">
        <v>1000</v>
      </c>
      <c r="X29">
        <v>3.0000000000000001E-5</v>
      </c>
      <c r="Y29">
        <v>9662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3.0000000000000001E-5</v>
      </c>
      <c r="AH29">
        <v>2</v>
      </c>
      <c r="AI29">
        <v>84185847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ROW(Source!A76)</f>
        <v>76</v>
      </c>
      <c r="B30">
        <v>84185867</v>
      </c>
      <c r="C30">
        <v>84185841</v>
      </c>
      <c r="D30">
        <v>37736859</v>
      </c>
      <c r="E30">
        <v>1</v>
      </c>
      <c r="F30">
        <v>1</v>
      </c>
      <c r="G30">
        <v>1</v>
      </c>
      <c r="H30">
        <v>3</v>
      </c>
      <c r="I30" t="s">
        <v>124</v>
      </c>
      <c r="J30" t="s">
        <v>127</v>
      </c>
      <c r="K30" t="s">
        <v>125</v>
      </c>
      <c r="L30">
        <v>1348</v>
      </c>
      <c r="N30">
        <v>1009</v>
      </c>
      <c r="O30" t="s">
        <v>126</v>
      </c>
      <c r="P30" t="s">
        <v>126</v>
      </c>
      <c r="Q30">
        <v>1000</v>
      </c>
      <c r="X30">
        <v>0</v>
      </c>
      <c r="Y30">
        <v>9040.01</v>
      </c>
      <c r="Z30">
        <v>0</v>
      </c>
      <c r="AA30">
        <v>0</v>
      </c>
      <c r="AB30">
        <v>0</v>
      </c>
      <c r="AC30">
        <v>1</v>
      </c>
      <c r="AD30">
        <v>0</v>
      </c>
      <c r="AE30">
        <v>0</v>
      </c>
      <c r="AF30" t="s">
        <v>3</v>
      </c>
      <c r="AG30">
        <v>0</v>
      </c>
      <c r="AH30">
        <v>2</v>
      </c>
      <c r="AI30">
        <v>84185848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ROW(Source!A76)</f>
        <v>76</v>
      </c>
      <c r="B31">
        <v>84185868</v>
      </c>
      <c r="C31">
        <v>84185841</v>
      </c>
      <c r="D31">
        <v>37729991</v>
      </c>
      <c r="E31">
        <v>1</v>
      </c>
      <c r="F31">
        <v>1</v>
      </c>
      <c r="G31">
        <v>1</v>
      </c>
      <c r="H31">
        <v>3</v>
      </c>
      <c r="I31" t="s">
        <v>492</v>
      </c>
      <c r="J31" t="s">
        <v>493</v>
      </c>
      <c r="K31" t="s">
        <v>494</v>
      </c>
      <c r="L31">
        <v>1346</v>
      </c>
      <c r="N31">
        <v>1009</v>
      </c>
      <c r="O31" t="s">
        <v>148</v>
      </c>
      <c r="P31" t="s">
        <v>148</v>
      </c>
      <c r="Q31">
        <v>1</v>
      </c>
      <c r="X31">
        <v>0.02</v>
      </c>
      <c r="Y31">
        <v>1.82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0.02</v>
      </c>
      <c r="AH31">
        <v>2</v>
      </c>
      <c r="AI31">
        <v>84185849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ROW(Source!A76)</f>
        <v>76</v>
      </c>
      <c r="B32">
        <v>84185869</v>
      </c>
      <c r="C32">
        <v>84185841</v>
      </c>
      <c r="D32">
        <v>37729892</v>
      </c>
      <c r="E32">
        <v>1</v>
      </c>
      <c r="F32">
        <v>1</v>
      </c>
      <c r="G32">
        <v>1</v>
      </c>
      <c r="H32">
        <v>3</v>
      </c>
      <c r="I32" t="s">
        <v>495</v>
      </c>
      <c r="J32" t="s">
        <v>496</v>
      </c>
      <c r="K32" t="s">
        <v>497</v>
      </c>
      <c r="L32">
        <v>1346</v>
      </c>
      <c r="N32">
        <v>1009</v>
      </c>
      <c r="O32" t="s">
        <v>148</v>
      </c>
      <c r="P32" t="s">
        <v>148</v>
      </c>
      <c r="Q32">
        <v>1</v>
      </c>
      <c r="X32">
        <v>0.1</v>
      </c>
      <c r="Y32">
        <v>14.62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0.1</v>
      </c>
      <c r="AH32">
        <v>2</v>
      </c>
      <c r="AI32">
        <v>84185850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ROW(Source!A76)</f>
        <v>76</v>
      </c>
      <c r="B33">
        <v>84185870</v>
      </c>
      <c r="C33">
        <v>84185841</v>
      </c>
      <c r="D33">
        <v>37735757</v>
      </c>
      <c r="E33">
        <v>1</v>
      </c>
      <c r="F33">
        <v>1</v>
      </c>
      <c r="G33">
        <v>1</v>
      </c>
      <c r="H33">
        <v>3</v>
      </c>
      <c r="I33" t="s">
        <v>129</v>
      </c>
      <c r="J33" t="s">
        <v>131</v>
      </c>
      <c r="K33" t="s">
        <v>130</v>
      </c>
      <c r="L33">
        <v>1348</v>
      </c>
      <c r="N33">
        <v>1009</v>
      </c>
      <c r="O33" t="s">
        <v>126</v>
      </c>
      <c r="P33" t="s">
        <v>126</v>
      </c>
      <c r="Q33">
        <v>1000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0</v>
      </c>
      <c r="AF33" t="s">
        <v>3</v>
      </c>
      <c r="AG33">
        <v>0</v>
      </c>
      <c r="AH33">
        <v>2</v>
      </c>
      <c r="AI33">
        <v>84185851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ROW(Source!A76)</f>
        <v>76</v>
      </c>
      <c r="B34">
        <v>84185871</v>
      </c>
      <c r="C34">
        <v>84185841</v>
      </c>
      <c r="D34">
        <v>37744299</v>
      </c>
      <c r="E34">
        <v>1</v>
      </c>
      <c r="F34">
        <v>1</v>
      </c>
      <c r="G34">
        <v>1</v>
      </c>
      <c r="H34">
        <v>3</v>
      </c>
      <c r="I34" t="s">
        <v>133</v>
      </c>
      <c r="J34" t="s">
        <v>136</v>
      </c>
      <c r="K34" t="s">
        <v>134</v>
      </c>
      <c r="L34">
        <v>1354</v>
      </c>
      <c r="N34">
        <v>1010</v>
      </c>
      <c r="O34" t="s">
        <v>135</v>
      </c>
      <c r="P34" t="s">
        <v>135</v>
      </c>
      <c r="Q34">
        <v>1</v>
      </c>
      <c r="X34">
        <v>0</v>
      </c>
      <c r="Y34">
        <v>0</v>
      </c>
      <c r="Z34">
        <v>0</v>
      </c>
      <c r="AA34">
        <v>0</v>
      </c>
      <c r="AB34">
        <v>0</v>
      </c>
      <c r="AC34">
        <v>1</v>
      </c>
      <c r="AD34">
        <v>0</v>
      </c>
      <c r="AE34">
        <v>0</v>
      </c>
      <c r="AF34" t="s">
        <v>3</v>
      </c>
      <c r="AG34">
        <v>0</v>
      </c>
      <c r="AH34">
        <v>2</v>
      </c>
      <c r="AI34">
        <v>84185852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ROW(Source!A76)</f>
        <v>76</v>
      </c>
      <c r="B35">
        <v>84185872</v>
      </c>
      <c r="C35">
        <v>84185841</v>
      </c>
      <c r="D35">
        <v>37744290</v>
      </c>
      <c r="E35">
        <v>1</v>
      </c>
      <c r="F35">
        <v>1</v>
      </c>
      <c r="G35">
        <v>1</v>
      </c>
      <c r="H35">
        <v>3</v>
      </c>
      <c r="I35" t="s">
        <v>138</v>
      </c>
      <c r="J35" t="s">
        <v>140</v>
      </c>
      <c r="K35" t="s">
        <v>139</v>
      </c>
      <c r="L35">
        <v>1354</v>
      </c>
      <c r="N35">
        <v>1010</v>
      </c>
      <c r="O35" t="s">
        <v>135</v>
      </c>
      <c r="P35" t="s">
        <v>135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0</v>
      </c>
      <c r="AE35">
        <v>0</v>
      </c>
      <c r="AF35" t="s">
        <v>3</v>
      </c>
      <c r="AG35">
        <v>0</v>
      </c>
      <c r="AH35">
        <v>2</v>
      </c>
      <c r="AI35">
        <v>84185853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ROW(Source!A76)</f>
        <v>76</v>
      </c>
      <c r="B36">
        <v>84185873</v>
      </c>
      <c r="C36">
        <v>84185841</v>
      </c>
      <c r="D36">
        <v>37744198</v>
      </c>
      <c r="E36">
        <v>1</v>
      </c>
      <c r="F36">
        <v>1</v>
      </c>
      <c r="G36">
        <v>1</v>
      </c>
      <c r="H36">
        <v>3</v>
      </c>
      <c r="I36" t="s">
        <v>142</v>
      </c>
      <c r="J36" t="s">
        <v>144</v>
      </c>
      <c r="K36" t="s">
        <v>143</v>
      </c>
      <c r="L36">
        <v>1354</v>
      </c>
      <c r="N36">
        <v>1010</v>
      </c>
      <c r="O36" t="s">
        <v>135</v>
      </c>
      <c r="P36" t="s">
        <v>135</v>
      </c>
      <c r="Q36">
        <v>1</v>
      </c>
      <c r="X36">
        <v>0.1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 t="s">
        <v>3</v>
      </c>
      <c r="AG36">
        <v>0.1</v>
      </c>
      <c r="AH36">
        <v>2</v>
      </c>
      <c r="AI36">
        <v>84185854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ROW(Source!A76)</f>
        <v>76</v>
      </c>
      <c r="B37">
        <v>84185874</v>
      </c>
      <c r="C37">
        <v>84185841</v>
      </c>
      <c r="D37">
        <v>37745010</v>
      </c>
      <c r="E37">
        <v>1</v>
      </c>
      <c r="F37">
        <v>1</v>
      </c>
      <c r="G37">
        <v>1</v>
      </c>
      <c r="H37">
        <v>3</v>
      </c>
      <c r="I37" t="s">
        <v>498</v>
      </c>
      <c r="J37" t="s">
        <v>499</v>
      </c>
      <c r="K37" t="s">
        <v>500</v>
      </c>
      <c r="L37">
        <v>1348</v>
      </c>
      <c r="N37">
        <v>1009</v>
      </c>
      <c r="O37" t="s">
        <v>126</v>
      </c>
      <c r="P37" t="s">
        <v>126</v>
      </c>
      <c r="Q37">
        <v>1000</v>
      </c>
      <c r="X37">
        <v>1E-4</v>
      </c>
      <c r="Y37">
        <v>9550.01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1E-4</v>
      </c>
      <c r="AH37">
        <v>2</v>
      </c>
      <c r="AI37">
        <v>84185855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ROW(Source!A76)</f>
        <v>76</v>
      </c>
      <c r="B38">
        <v>84185875</v>
      </c>
      <c r="C38">
        <v>84185841</v>
      </c>
      <c r="D38">
        <v>37750429</v>
      </c>
      <c r="E38">
        <v>1</v>
      </c>
      <c r="F38">
        <v>1</v>
      </c>
      <c r="G38">
        <v>1</v>
      </c>
      <c r="H38">
        <v>3</v>
      </c>
      <c r="I38" t="s">
        <v>146</v>
      </c>
      <c r="J38" t="s">
        <v>149</v>
      </c>
      <c r="K38" t="s">
        <v>147</v>
      </c>
      <c r="L38">
        <v>1346</v>
      </c>
      <c r="N38">
        <v>1009</v>
      </c>
      <c r="O38" t="s">
        <v>148</v>
      </c>
      <c r="P38" t="s">
        <v>148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1</v>
      </c>
      <c r="AD38">
        <v>0</v>
      </c>
      <c r="AE38">
        <v>0</v>
      </c>
      <c r="AF38" t="s">
        <v>3</v>
      </c>
      <c r="AG38">
        <v>0</v>
      </c>
      <c r="AH38">
        <v>2</v>
      </c>
      <c r="AI38">
        <v>84185856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ROW(Source!A76)</f>
        <v>76</v>
      </c>
      <c r="B39">
        <v>84185876</v>
      </c>
      <c r="C39">
        <v>84185841</v>
      </c>
      <c r="D39">
        <v>37751168</v>
      </c>
      <c r="E39">
        <v>1</v>
      </c>
      <c r="F39">
        <v>1</v>
      </c>
      <c r="G39">
        <v>1</v>
      </c>
      <c r="H39">
        <v>3</v>
      </c>
      <c r="I39" t="s">
        <v>151</v>
      </c>
      <c r="J39" t="s">
        <v>153</v>
      </c>
      <c r="K39" t="s">
        <v>152</v>
      </c>
      <c r="L39">
        <v>1346</v>
      </c>
      <c r="N39">
        <v>1009</v>
      </c>
      <c r="O39" t="s">
        <v>148</v>
      </c>
      <c r="P39" t="s">
        <v>148</v>
      </c>
      <c r="Q39">
        <v>1</v>
      </c>
      <c r="X39">
        <v>0</v>
      </c>
      <c r="Y39">
        <v>0</v>
      </c>
      <c r="Z39">
        <v>0</v>
      </c>
      <c r="AA39">
        <v>0</v>
      </c>
      <c r="AB39">
        <v>0</v>
      </c>
      <c r="AC39">
        <v>1</v>
      </c>
      <c r="AD39">
        <v>0</v>
      </c>
      <c r="AE39">
        <v>0</v>
      </c>
      <c r="AF39" t="s">
        <v>3</v>
      </c>
      <c r="AG39">
        <v>0</v>
      </c>
      <c r="AH39">
        <v>2</v>
      </c>
      <c r="AI39">
        <v>84185857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ROW(Source!A76)</f>
        <v>76</v>
      </c>
      <c r="B40">
        <v>84185877</v>
      </c>
      <c r="C40">
        <v>84185841</v>
      </c>
      <c r="D40">
        <v>37750801</v>
      </c>
      <c r="E40">
        <v>1</v>
      </c>
      <c r="F40">
        <v>1</v>
      </c>
      <c r="G40">
        <v>1</v>
      </c>
      <c r="H40">
        <v>3</v>
      </c>
      <c r="I40" t="s">
        <v>155</v>
      </c>
      <c r="J40" t="s">
        <v>157</v>
      </c>
      <c r="K40" t="s">
        <v>156</v>
      </c>
      <c r="L40">
        <v>1348</v>
      </c>
      <c r="N40">
        <v>1009</v>
      </c>
      <c r="O40" t="s">
        <v>126</v>
      </c>
      <c r="P40" t="s">
        <v>126</v>
      </c>
      <c r="Q40">
        <v>1000</v>
      </c>
      <c r="X40">
        <v>0</v>
      </c>
      <c r="Y40">
        <v>0</v>
      </c>
      <c r="Z40">
        <v>0</v>
      </c>
      <c r="AA40">
        <v>0</v>
      </c>
      <c r="AB40">
        <v>0</v>
      </c>
      <c r="AC40">
        <v>1</v>
      </c>
      <c r="AD40">
        <v>0</v>
      </c>
      <c r="AE40">
        <v>0</v>
      </c>
      <c r="AF40" t="s">
        <v>3</v>
      </c>
      <c r="AG40">
        <v>0</v>
      </c>
      <c r="AH40">
        <v>2</v>
      </c>
      <c r="AI40">
        <v>84185858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ROW(Source!A76)</f>
        <v>76</v>
      </c>
      <c r="B41">
        <v>84185878</v>
      </c>
      <c r="C41">
        <v>84185841</v>
      </c>
      <c r="D41">
        <v>37775906</v>
      </c>
      <c r="E41">
        <v>1</v>
      </c>
      <c r="F41">
        <v>1</v>
      </c>
      <c r="G41">
        <v>1</v>
      </c>
      <c r="H41">
        <v>3</v>
      </c>
      <c r="I41" t="s">
        <v>159</v>
      </c>
      <c r="J41" t="s">
        <v>161</v>
      </c>
      <c r="K41" t="s">
        <v>160</v>
      </c>
      <c r="L41">
        <v>1354</v>
      </c>
      <c r="N41">
        <v>1010</v>
      </c>
      <c r="O41" t="s">
        <v>135</v>
      </c>
      <c r="P41" t="s">
        <v>135</v>
      </c>
      <c r="Q41">
        <v>1</v>
      </c>
      <c r="X41">
        <v>0</v>
      </c>
      <c r="Y41">
        <v>2074</v>
      </c>
      <c r="Z41">
        <v>0</v>
      </c>
      <c r="AA41">
        <v>0</v>
      </c>
      <c r="AB41">
        <v>0</v>
      </c>
      <c r="AC41">
        <v>1</v>
      </c>
      <c r="AD41">
        <v>0</v>
      </c>
      <c r="AE41">
        <v>0</v>
      </c>
      <c r="AF41" t="s">
        <v>3</v>
      </c>
      <c r="AG41">
        <v>0</v>
      </c>
      <c r="AH41">
        <v>2</v>
      </c>
      <c r="AI41">
        <v>84185859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ROW(Source!A76)</f>
        <v>76</v>
      </c>
      <c r="B42">
        <v>84185879</v>
      </c>
      <c r="C42">
        <v>84185841</v>
      </c>
      <c r="D42">
        <v>37792552</v>
      </c>
      <c r="E42">
        <v>1</v>
      </c>
      <c r="F42">
        <v>1</v>
      </c>
      <c r="G42">
        <v>1</v>
      </c>
      <c r="H42">
        <v>3</v>
      </c>
      <c r="I42" t="s">
        <v>501</v>
      </c>
      <c r="J42" t="s">
        <v>502</v>
      </c>
      <c r="K42" t="s">
        <v>503</v>
      </c>
      <c r="L42">
        <v>1354</v>
      </c>
      <c r="N42">
        <v>1010</v>
      </c>
      <c r="O42" t="s">
        <v>135</v>
      </c>
      <c r="P42" t="s">
        <v>135</v>
      </c>
      <c r="Q42">
        <v>1</v>
      </c>
      <c r="X42">
        <v>6</v>
      </c>
      <c r="Y42">
        <v>6.2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6</v>
      </c>
      <c r="AH42">
        <v>2</v>
      </c>
      <c r="AI42">
        <v>84185860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ROW(Source!A97)</f>
        <v>97</v>
      </c>
      <c r="B43">
        <v>84185915</v>
      </c>
      <c r="C43">
        <v>84185900</v>
      </c>
      <c r="D43">
        <v>23129536</v>
      </c>
      <c r="E43">
        <v>1</v>
      </c>
      <c r="F43">
        <v>1</v>
      </c>
      <c r="G43">
        <v>1</v>
      </c>
      <c r="H43">
        <v>1</v>
      </c>
      <c r="I43" t="s">
        <v>481</v>
      </c>
      <c r="J43" t="s">
        <v>3</v>
      </c>
      <c r="K43" t="s">
        <v>482</v>
      </c>
      <c r="L43">
        <v>1369</v>
      </c>
      <c r="N43">
        <v>1013</v>
      </c>
      <c r="O43" t="s">
        <v>430</v>
      </c>
      <c r="P43" t="s">
        <v>430</v>
      </c>
      <c r="Q43">
        <v>1</v>
      </c>
      <c r="X43">
        <v>4.29</v>
      </c>
      <c r="Y43">
        <v>0</v>
      </c>
      <c r="Z43">
        <v>0</v>
      </c>
      <c r="AA43">
        <v>0</v>
      </c>
      <c r="AB43">
        <v>8.2799999999999994</v>
      </c>
      <c r="AC43">
        <v>0</v>
      </c>
      <c r="AD43">
        <v>1</v>
      </c>
      <c r="AE43">
        <v>1</v>
      </c>
      <c r="AF43" t="s">
        <v>3</v>
      </c>
      <c r="AG43">
        <v>4.29</v>
      </c>
      <c r="AH43">
        <v>2</v>
      </c>
      <c r="AI43">
        <v>84185901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ROW(Source!A97)</f>
        <v>97</v>
      </c>
      <c r="B44">
        <v>84185916</v>
      </c>
      <c r="C44">
        <v>84185900</v>
      </c>
      <c r="D44">
        <v>121548</v>
      </c>
      <c r="E44">
        <v>1</v>
      </c>
      <c r="F44">
        <v>1</v>
      </c>
      <c r="G44">
        <v>1</v>
      </c>
      <c r="H44">
        <v>1</v>
      </c>
      <c r="I44" t="s">
        <v>24</v>
      </c>
      <c r="J44" t="s">
        <v>3</v>
      </c>
      <c r="K44" t="s">
        <v>431</v>
      </c>
      <c r="L44">
        <v>608254</v>
      </c>
      <c r="N44">
        <v>1013</v>
      </c>
      <c r="O44" t="s">
        <v>432</v>
      </c>
      <c r="P44" t="s">
        <v>432</v>
      </c>
      <c r="Q44">
        <v>1</v>
      </c>
      <c r="X44">
        <v>0.97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2</v>
      </c>
      <c r="AF44" t="s">
        <v>3</v>
      </c>
      <c r="AG44">
        <v>0.97</v>
      </c>
      <c r="AH44">
        <v>2</v>
      </c>
      <c r="AI44">
        <v>84185902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ROW(Source!A97)</f>
        <v>97</v>
      </c>
      <c r="B45">
        <v>84185917</v>
      </c>
      <c r="C45">
        <v>84185900</v>
      </c>
      <c r="D45">
        <v>37802579</v>
      </c>
      <c r="E45">
        <v>1</v>
      </c>
      <c r="F45">
        <v>1</v>
      </c>
      <c r="G45">
        <v>1</v>
      </c>
      <c r="H45">
        <v>2</v>
      </c>
      <c r="I45" t="s">
        <v>433</v>
      </c>
      <c r="J45" t="s">
        <v>434</v>
      </c>
      <c r="K45" t="s">
        <v>435</v>
      </c>
      <c r="L45">
        <v>1368</v>
      </c>
      <c r="N45">
        <v>1011</v>
      </c>
      <c r="O45" t="s">
        <v>436</v>
      </c>
      <c r="P45" t="s">
        <v>436</v>
      </c>
      <c r="Q45">
        <v>1</v>
      </c>
      <c r="X45">
        <v>0.97</v>
      </c>
      <c r="Y45">
        <v>0</v>
      </c>
      <c r="Z45">
        <v>85.64</v>
      </c>
      <c r="AA45">
        <v>9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0.97</v>
      </c>
      <c r="AH45">
        <v>2</v>
      </c>
      <c r="AI45">
        <v>84185903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ROW(Source!A97)</f>
        <v>97</v>
      </c>
      <c r="B46">
        <v>84185918</v>
      </c>
      <c r="C46">
        <v>84185900</v>
      </c>
      <c r="D46">
        <v>37804456</v>
      </c>
      <c r="E46">
        <v>1</v>
      </c>
      <c r="F46">
        <v>1</v>
      </c>
      <c r="G46">
        <v>1</v>
      </c>
      <c r="H46">
        <v>2</v>
      </c>
      <c r="I46" t="s">
        <v>437</v>
      </c>
      <c r="J46" t="s">
        <v>438</v>
      </c>
      <c r="K46" t="s">
        <v>439</v>
      </c>
      <c r="L46">
        <v>1368</v>
      </c>
      <c r="N46">
        <v>1011</v>
      </c>
      <c r="O46" t="s">
        <v>436</v>
      </c>
      <c r="P46" t="s">
        <v>436</v>
      </c>
      <c r="Q46">
        <v>1</v>
      </c>
      <c r="X46">
        <v>0.22</v>
      </c>
      <c r="Y46">
        <v>0</v>
      </c>
      <c r="Z46">
        <v>91.76</v>
      </c>
      <c r="AA46">
        <v>10.35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0.22</v>
      </c>
      <c r="AH46">
        <v>2</v>
      </c>
      <c r="AI46">
        <v>84185904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ROW(Source!A97)</f>
        <v>97</v>
      </c>
      <c r="B47">
        <v>84185919</v>
      </c>
      <c r="C47">
        <v>84185900</v>
      </c>
      <c r="D47">
        <v>37729879</v>
      </c>
      <c r="E47">
        <v>1</v>
      </c>
      <c r="F47">
        <v>1</v>
      </c>
      <c r="G47">
        <v>1</v>
      </c>
      <c r="H47">
        <v>3</v>
      </c>
      <c r="I47" t="s">
        <v>489</v>
      </c>
      <c r="J47" t="s">
        <v>490</v>
      </c>
      <c r="K47" t="s">
        <v>491</v>
      </c>
      <c r="L47">
        <v>1348</v>
      </c>
      <c r="N47">
        <v>1009</v>
      </c>
      <c r="O47" t="s">
        <v>126</v>
      </c>
      <c r="P47" t="s">
        <v>126</v>
      </c>
      <c r="Q47">
        <v>1000</v>
      </c>
      <c r="X47">
        <v>3.0000000000000001E-5</v>
      </c>
      <c r="Y47">
        <v>9662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3.0000000000000001E-5</v>
      </c>
      <c r="AH47">
        <v>2</v>
      </c>
      <c r="AI47">
        <v>84185905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ROW(Source!A97)</f>
        <v>97</v>
      </c>
      <c r="B48">
        <v>84185920</v>
      </c>
      <c r="C48">
        <v>84185900</v>
      </c>
      <c r="D48">
        <v>37729917</v>
      </c>
      <c r="E48">
        <v>1</v>
      </c>
      <c r="F48">
        <v>1</v>
      </c>
      <c r="G48">
        <v>1</v>
      </c>
      <c r="H48">
        <v>3</v>
      </c>
      <c r="I48" t="s">
        <v>504</v>
      </c>
      <c r="J48" t="s">
        <v>505</v>
      </c>
      <c r="K48" t="s">
        <v>506</v>
      </c>
      <c r="L48">
        <v>1348</v>
      </c>
      <c r="N48">
        <v>1009</v>
      </c>
      <c r="O48" t="s">
        <v>126</v>
      </c>
      <c r="P48" t="s">
        <v>126</v>
      </c>
      <c r="Q48">
        <v>1000</v>
      </c>
      <c r="X48">
        <v>3.0000000000000001E-5</v>
      </c>
      <c r="Y48">
        <v>6667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3.0000000000000001E-5</v>
      </c>
      <c r="AH48">
        <v>2</v>
      </c>
      <c r="AI48">
        <v>84185906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ROW(Source!A97)</f>
        <v>97</v>
      </c>
      <c r="B49">
        <v>84185921</v>
      </c>
      <c r="C49">
        <v>84185900</v>
      </c>
      <c r="D49">
        <v>37736859</v>
      </c>
      <c r="E49">
        <v>1</v>
      </c>
      <c r="F49">
        <v>1</v>
      </c>
      <c r="G49">
        <v>1</v>
      </c>
      <c r="H49">
        <v>3</v>
      </c>
      <c r="I49" t="s">
        <v>124</v>
      </c>
      <c r="J49" t="s">
        <v>127</v>
      </c>
      <c r="K49" t="s">
        <v>125</v>
      </c>
      <c r="L49">
        <v>1348</v>
      </c>
      <c r="N49">
        <v>1009</v>
      </c>
      <c r="O49" t="s">
        <v>126</v>
      </c>
      <c r="P49" t="s">
        <v>126</v>
      </c>
      <c r="Q49">
        <v>1000</v>
      </c>
      <c r="X49">
        <v>0</v>
      </c>
      <c r="Y49">
        <v>9040.01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 t="s">
        <v>3</v>
      </c>
      <c r="AG49">
        <v>0</v>
      </c>
      <c r="AH49">
        <v>2</v>
      </c>
      <c r="AI49">
        <v>84185907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ROW(Source!A97)</f>
        <v>97</v>
      </c>
      <c r="B50">
        <v>84185922</v>
      </c>
      <c r="C50">
        <v>84185900</v>
      </c>
      <c r="D50">
        <v>37729991</v>
      </c>
      <c r="E50">
        <v>1</v>
      </c>
      <c r="F50">
        <v>1</v>
      </c>
      <c r="G50">
        <v>1</v>
      </c>
      <c r="H50">
        <v>3</v>
      </c>
      <c r="I50" t="s">
        <v>492</v>
      </c>
      <c r="J50" t="s">
        <v>493</v>
      </c>
      <c r="K50" t="s">
        <v>494</v>
      </c>
      <c r="L50">
        <v>1346</v>
      </c>
      <c r="N50">
        <v>1009</v>
      </c>
      <c r="O50" t="s">
        <v>148</v>
      </c>
      <c r="P50" t="s">
        <v>148</v>
      </c>
      <c r="Q50">
        <v>1</v>
      </c>
      <c r="X50">
        <v>0.02</v>
      </c>
      <c r="Y50">
        <v>1.82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0.02</v>
      </c>
      <c r="AH50">
        <v>2</v>
      </c>
      <c r="AI50">
        <v>84185908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ROW(Source!A97)</f>
        <v>97</v>
      </c>
      <c r="B51">
        <v>84185923</v>
      </c>
      <c r="C51">
        <v>84185900</v>
      </c>
      <c r="D51">
        <v>37729892</v>
      </c>
      <c r="E51">
        <v>1</v>
      </c>
      <c r="F51">
        <v>1</v>
      </c>
      <c r="G51">
        <v>1</v>
      </c>
      <c r="H51">
        <v>3</v>
      </c>
      <c r="I51" t="s">
        <v>495</v>
      </c>
      <c r="J51" t="s">
        <v>496</v>
      </c>
      <c r="K51" t="s">
        <v>497</v>
      </c>
      <c r="L51">
        <v>1346</v>
      </c>
      <c r="N51">
        <v>1009</v>
      </c>
      <c r="O51" t="s">
        <v>148</v>
      </c>
      <c r="P51" t="s">
        <v>148</v>
      </c>
      <c r="Q51">
        <v>1</v>
      </c>
      <c r="X51">
        <v>0.1</v>
      </c>
      <c r="Y51">
        <v>14.62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</v>
      </c>
      <c r="AH51">
        <v>2</v>
      </c>
      <c r="AI51">
        <v>84185909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ROW(Source!A97)</f>
        <v>97</v>
      </c>
      <c r="B52">
        <v>84185924</v>
      </c>
      <c r="C52">
        <v>84185900</v>
      </c>
      <c r="D52">
        <v>37735757</v>
      </c>
      <c r="E52">
        <v>1</v>
      </c>
      <c r="F52">
        <v>1</v>
      </c>
      <c r="G52">
        <v>1</v>
      </c>
      <c r="H52">
        <v>3</v>
      </c>
      <c r="I52" t="s">
        <v>129</v>
      </c>
      <c r="J52" t="s">
        <v>131</v>
      </c>
      <c r="K52" t="s">
        <v>130</v>
      </c>
      <c r="L52">
        <v>1348</v>
      </c>
      <c r="N52">
        <v>1009</v>
      </c>
      <c r="O52" t="s">
        <v>126</v>
      </c>
      <c r="P52" t="s">
        <v>126</v>
      </c>
      <c r="Q52">
        <v>1000</v>
      </c>
      <c r="X52">
        <v>0</v>
      </c>
      <c r="Y52">
        <v>0</v>
      </c>
      <c r="Z52">
        <v>0</v>
      </c>
      <c r="AA52">
        <v>0</v>
      </c>
      <c r="AB52">
        <v>0</v>
      </c>
      <c r="AC52">
        <v>1</v>
      </c>
      <c r="AD52">
        <v>0</v>
      </c>
      <c r="AE52">
        <v>0</v>
      </c>
      <c r="AF52" t="s">
        <v>3</v>
      </c>
      <c r="AG52">
        <v>0</v>
      </c>
      <c r="AH52">
        <v>2</v>
      </c>
      <c r="AI52">
        <v>84185910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ROW(Source!A97)</f>
        <v>97</v>
      </c>
      <c r="B53">
        <v>84185925</v>
      </c>
      <c r="C53">
        <v>84185900</v>
      </c>
      <c r="D53">
        <v>37744299</v>
      </c>
      <c r="E53">
        <v>1</v>
      </c>
      <c r="F53">
        <v>1</v>
      </c>
      <c r="G53">
        <v>1</v>
      </c>
      <c r="H53">
        <v>3</v>
      </c>
      <c r="I53" t="s">
        <v>133</v>
      </c>
      <c r="J53" t="s">
        <v>136</v>
      </c>
      <c r="K53" t="s">
        <v>134</v>
      </c>
      <c r="L53">
        <v>1354</v>
      </c>
      <c r="N53">
        <v>1010</v>
      </c>
      <c r="O53" t="s">
        <v>135</v>
      </c>
      <c r="P53" t="s">
        <v>135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1</v>
      </c>
      <c r="AD53">
        <v>0</v>
      </c>
      <c r="AE53">
        <v>0</v>
      </c>
      <c r="AF53" t="s">
        <v>3</v>
      </c>
      <c r="AG53">
        <v>0</v>
      </c>
      <c r="AH53">
        <v>2</v>
      </c>
      <c r="AI53">
        <v>84185911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ROW(Source!A97)</f>
        <v>97</v>
      </c>
      <c r="B54">
        <v>84185926</v>
      </c>
      <c r="C54">
        <v>84185900</v>
      </c>
      <c r="D54">
        <v>37745010</v>
      </c>
      <c r="E54">
        <v>1</v>
      </c>
      <c r="F54">
        <v>1</v>
      </c>
      <c r="G54">
        <v>1</v>
      </c>
      <c r="H54">
        <v>3</v>
      </c>
      <c r="I54" t="s">
        <v>498</v>
      </c>
      <c r="J54" t="s">
        <v>499</v>
      </c>
      <c r="K54" t="s">
        <v>500</v>
      </c>
      <c r="L54">
        <v>1348</v>
      </c>
      <c r="N54">
        <v>1009</v>
      </c>
      <c r="O54" t="s">
        <v>126</v>
      </c>
      <c r="P54" t="s">
        <v>126</v>
      </c>
      <c r="Q54">
        <v>1000</v>
      </c>
      <c r="X54">
        <v>1E-4</v>
      </c>
      <c r="Y54">
        <v>9550.01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1E-4</v>
      </c>
      <c r="AH54">
        <v>2</v>
      </c>
      <c r="AI54">
        <v>84185912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ROW(Source!A97)</f>
        <v>97</v>
      </c>
      <c r="B55">
        <v>84185927</v>
      </c>
      <c r="C55">
        <v>84185900</v>
      </c>
      <c r="D55">
        <v>37750429</v>
      </c>
      <c r="E55">
        <v>1</v>
      </c>
      <c r="F55">
        <v>1</v>
      </c>
      <c r="G55">
        <v>1</v>
      </c>
      <c r="H55">
        <v>3</v>
      </c>
      <c r="I55" t="s">
        <v>146</v>
      </c>
      <c r="J55" t="s">
        <v>149</v>
      </c>
      <c r="K55" t="s">
        <v>147</v>
      </c>
      <c r="L55">
        <v>1346</v>
      </c>
      <c r="N55">
        <v>1009</v>
      </c>
      <c r="O55" t="s">
        <v>148</v>
      </c>
      <c r="P55" t="s">
        <v>148</v>
      </c>
      <c r="Q55">
        <v>1</v>
      </c>
      <c r="X55">
        <v>0</v>
      </c>
      <c r="Y55">
        <v>0</v>
      </c>
      <c r="Z55">
        <v>0</v>
      </c>
      <c r="AA55">
        <v>0</v>
      </c>
      <c r="AB55">
        <v>0</v>
      </c>
      <c r="AC55">
        <v>1</v>
      </c>
      <c r="AD55">
        <v>0</v>
      </c>
      <c r="AE55">
        <v>0</v>
      </c>
      <c r="AF55" t="s">
        <v>3</v>
      </c>
      <c r="AG55">
        <v>0</v>
      </c>
      <c r="AH55">
        <v>2</v>
      </c>
      <c r="AI55">
        <v>84185913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ROW(Source!A97)</f>
        <v>97</v>
      </c>
      <c r="B56">
        <v>84185928</v>
      </c>
      <c r="C56">
        <v>84185900</v>
      </c>
      <c r="D56">
        <v>37751168</v>
      </c>
      <c r="E56">
        <v>1</v>
      </c>
      <c r="F56">
        <v>1</v>
      </c>
      <c r="G56">
        <v>1</v>
      </c>
      <c r="H56">
        <v>3</v>
      </c>
      <c r="I56" t="s">
        <v>151</v>
      </c>
      <c r="J56" t="s">
        <v>153</v>
      </c>
      <c r="K56" t="s">
        <v>152</v>
      </c>
      <c r="L56">
        <v>1346</v>
      </c>
      <c r="N56">
        <v>1009</v>
      </c>
      <c r="O56" t="s">
        <v>148</v>
      </c>
      <c r="P56" t="s">
        <v>148</v>
      </c>
      <c r="Q56">
        <v>1</v>
      </c>
      <c r="X56">
        <v>0</v>
      </c>
      <c r="Y56">
        <v>0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0</v>
      </c>
      <c r="AF56" t="s">
        <v>3</v>
      </c>
      <c r="AG56">
        <v>0</v>
      </c>
      <c r="AH56">
        <v>2</v>
      </c>
      <c r="AI56">
        <v>84185914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ROW(Source!A104)</f>
        <v>104</v>
      </c>
      <c r="B57">
        <v>84185943</v>
      </c>
      <c r="C57">
        <v>84185935</v>
      </c>
      <c r="D57">
        <v>23135014</v>
      </c>
      <c r="E57">
        <v>1</v>
      </c>
      <c r="F57">
        <v>1</v>
      </c>
      <c r="G57">
        <v>1</v>
      </c>
      <c r="H57">
        <v>1</v>
      </c>
      <c r="I57" t="s">
        <v>507</v>
      </c>
      <c r="J57" t="s">
        <v>3</v>
      </c>
      <c r="K57" t="s">
        <v>508</v>
      </c>
      <c r="L57">
        <v>1369</v>
      </c>
      <c r="N57">
        <v>1013</v>
      </c>
      <c r="O57" t="s">
        <v>430</v>
      </c>
      <c r="P57" t="s">
        <v>430</v>
      </c>
      <c r="Q57">
        <v>1</v>
      </c>
      <c r="X57">
        <v>0.81</v>
      </c>
      <c r="Y57">
        <v>0</v>
      </c>
      <c r="Z57">
        <v>0</v>
      </c>
      <c r="AA57">
        <v>0</v>
      </c>
      <c r="AB57">
        <v>7.9</v>
      </c>
      <c r="AC57">
        <v>0</v>
      </c>
      <c r="AD57">
        <v>1</v>
      </c>
      <c r="AE57">
        <v>1</v>
      </c>
      <c r="AF57" t="s">
        <v>3</v>
      </c>
      <c r="AG57">
        <v>0.81</v>
      </c>
      <c r="AH57">
        <v>2</v>
      </c>
      <c r="AI57">
        <v>84185936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ROW(Source!A104)</f>
        <v>104</v>
      </c>
      <c r="B58">
        <v>84185944</v>
      </c>
      <c r="C58">
        <v>84185935</v>
      </c>
      <c r="D58">
        <v>121548</v>
      </c>
      <c r="E58">
        <v>1</v>
      </c>
      <c r="F58">
        <v>1</v>
      </c>
      <c r="G58">
        <v>1</v>
      </c>
      <c r="H58">
        <v>1</v>
      </c>
      <c r="I58" t="s">
        <v>24</v>
      </c>
      <c r="J58" t="s">
        <v>3</v>
      </c>
      <c r="K58" t="s">
        <v>431</v>
      </c>
      <c r="L58">
        <v>608254</v>
      </c>
      <c r="N58">
        <v>1013</v>
      </c>
      <c r="O58" t="s">
        <v>432</v>
      </c>
      <c r="P58" t="s">
        <v>432</v>
      </c>
      <c r="Q58">
        <v>1</v>
      </c>
      <c r="X58">
        <v>0.61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2</v>
      </c>
      <c r="AF58" t="s">
        <v>3</v>
      </c>
      <c r="AG58">
        <v>0.61</v>
      </c>
      <c r="AH58">
        <v>2</v>
      </c>
      <c r="AI58">
        <v>84185937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ROW(Source!A104)</f>
        <v>104</v>
      </c>
      <c r="B59">
        <v>84185945</v>
      </c>
      <c r="C59">
        <v>84185935</v>
      </c>
      <c r="D59">
        <v>37802644</v>
      </c>
      <c r="E59">
        <v>1</v>
      </c>
      <c r="F59">
        <v>1</v>
      </c>
      <c r="G59">
        <v>1</v>
      </c>
      <c r="H59">
        <v>2</v>
      </c>
      <c r="I59" t="s">
        <v>509</v>
      </c>
      <c r="J59" t="s">
        <v>510</v>
      </c>
      <c r="K59" t="s">
        <v>511</v>
      </c>
      <c r="L59">
        <v>1368</v>
      </c>
      <c r="N59">
        <v>1011</v>
      </c>
      <c r="O59" t="s">
        <v>436</v>
      </c>
      <c r="P59" t="s">
        <v>436</v>
      </c>
      <c r="Q59">
        <v>1</v>
      </c>
      <c r="X59">
        <v>0.19</v>
      </c>
      <c r="Y59">
        <v>0</v>
      </c>
      <c r="Z59">
        <v>14.14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0.19</v>
      </c>
      <c r="AH59">
        <v>2</v>
      </c>
      <c r="AI59">
        <v>84185938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ROW(Source!A104)</f>
        <v>104</v>
      </c>
      <c r="B60">
        <v>84185946</v>
      </c>
      <c r="C60">
        <v>84185935</v>
      </c>
      <c r="D60">
        <v>37802699</v>
      </c>
      <c r="E60">
        <v>1</v>
      </c>
      <c r="F60">
        <v>1</v>
      </c>
      <c r="G60">
        <v>1</v>
      </c>
      <c r="H60">
        <v>2</v>
      </c>
      <c r="I60" t="s">
        <v>512</v>
      </c>
      <c r="J60" t="s">
        <v>513</v>
      </c>
      <c r="K60" t="s">
        <v>514</v>
      </c>
      <c r="L60">
        <v>1368</v>
      </c>
      <c r="N60">
        <v>1011</v>
      </c>
      <c r="O60" t="s">
        <v>436</v>
      </c>
      <c r="P60" t="s">
        <v>436</v>
      </c>
      <c r="Q60">
        <v>1</v>
      </c>
      <c r="X60">
        <v>0.61</v>
      </c>
      <c r="Y60">
        <v>0</v>
      </c>
      <c r="Z60">
        <v>59.38</v>
      </c>
      <c r="AA60">
        <v>9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0.61</v>
      </c>
      <c r="AH60">
        <v>2</v>
      </c>
      <c r="AI60">
        <v>84185939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ROW(Source!A104)</f>
        <v>104</v>
      </c>
      <c r="B61">
        <v>84185947</v>
      </c>
      <c r="C61">
        <v>84185935</v>
      </c>
      <c r="D61">
        <v>37804144</v>
      </c>
      <c r="E61">
        <v>1</v>
      </c>
      <c r="F61">
        <v>1</v>
      </c>
      <c r="G61">
        <v>1</v>
      </c>
      <c r="H61">
        <v>2</v>
      </c>
      <c r="I61" t="s">
        <v>515</v>
      </c>
      <c r="J61" t="s">
        <v>516</v>
      </c>
      <c r="K61" t="s">
        <v>517</v>
      </c>
      <c r="L61">
        <v>1368</v>
      </c>
      <c r="N61">
        <v>1011</v>
      </c>
      <c r="O61" t="s">
        <v>436</v>
      </c>
      <c r="P61" t="s">
        <v>436</v>
      </c>
      <c r="Q61">
        <v>1</v>
      </c>
      <c r="X61">
        <v>0.61</v>
      </c>
      <c r="Y61">
        <v>0</v>
      </c>
      <c r="Z61">
        <v>100.79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0.61</v>
      </c>
      <c r="AH61">
        <v>2</v>
      </c>
      <c r="AI61">
        <v>84185940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84185948</v>
      </c>
      <c r="C62">
        <v>84185935</v>
      </c>
      <c r="D62">
        <v>37736609</v>
      </c>
      <c r="E62">
        <v>1</v>
      </c>
      <c r="F62">
        <v>1</v>
      </c>
      <c r="G62">
        <v>1</v>
      </c>
      <c r="H62">
        <v>3</v>
      </c>
      <c r="I62" t="s">
        <v>518</v>
      </c>
      <c r="J62" t="s">
        <v>519</v>
      </c>
      <c r="K62" t="s">
        <v>520</v>
      </c>
      <c r="L62">
        <v>1348</v>
      </c>
      <c r="N62">
        <v>1009</v>
      </c>
      <c r="O62" t="s">
        <v>126</v>
      </c>
      <c r="P62" t="s">
        <v>126</v>
      </c>
      <c r="Q62">
        <v>1000</v>
      </c>
      <c r="X62">
        <v>3.0000000000000001E-5</v>
      </c>
      <c r="Y62">
        <v>9750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3.0000000000000001E-5</v>
      </c>
      <c r="AH62">
        <v>2</v>
      </c>
      <c r="AI62">
        <v>84185941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84185949</v>
      </c>
      <c r="C63">
        <v>84185935</v>
      </c>
      <c r="D63">
        <v>37753212</v>
      </c>
      <c r="E63">
        <v>1</v>
      </c>
      <c r="F63">
        <v>1</v>
      </c>
      <c r="G63">
        <v>1</v>
      </c>
      <c r="H63">
        <v>3</v>
      </c>
      <c r="I63" t="s">
        <v>232</v>
      </c>
      <c r="J63" t="s">
        <v>234</v>
      </c>
      <c r="K63" t="s">
        <v>233</v>
      </c>
      <c r="L63">
        <v>1348</v>
      </c>
      <c r="N63">
        <v>1009</v>
      </c>
      <c r="O63" t="s">
        <v>126</v>
      </c>
      <c r="P63" t="s">
        <v>126</v>
      </c>
      <c r="Q63">
        <v>1000</v>
      </c>
      <c r="X63">
        <v>5.0000000000000001E-3</v>
      </c>
      <c r="Y63">
        <v>6594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5.0000000000000001E-3</v>
      </c>
      <c r="AH63">
        <v>2</v>
      </c>
      <c r="AI63">
        <v>84185942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ROW(Source!A107)</f>
        <v>107</v>
      </c>
      <c r="B64">
        <v>84185959</v>
      </c>
      <c r="C64">
        <v>84185952</v>
      </c>
      <c r="D64">
        <v>23135499</v>
      </c>
      <c r="E64">
        <v>1</v>
      </c>
      <c r="F64">
        <v>1</v>
      </c>
      <c r="G64">
        <v>1</v>
      </c>
      <c r="H64">
        <v>1</v>
      </c>
      <c r="I64" t="s">
        <v>521</v>
      </c>
      <c r="J64" t="s">
        <v>3</v>
      </c>
      <c r="K64" t="s">
        <v>522</v>
      </c>
      <c r="L64">
        <v>1369</v>
      </c>
      <c r="N64">
        <v>1013</v>
      </c>
      <c r="O64" t="s">
        <v>430</v>
      </c>
      <c r="P64" t="s">
        <v>430</v>
      </c>
      <c r="Q64">
        <v>1</v>
      </c>
      <c r="X64">
        <v>28.59</v>
      </c>
      <c r="Y64">
        <v>0</v>
      </c>
      <c r="Z64">
        <v>0</v>
      </c>
      <c r="AA64">
        <v>0</v>
      </c>
      <c r="AB64">
        <v>8.99</v>
      </c>
      <c r="AC64">
        <v>0</v>
      </c>
      <c r="AD64">
        <v>1</v>
      </c>
      <c r="AE64">
        <v>1</v>
      </c>
      <c r="AF64" t="s">
        <v>3</v>
      </c>
      <c r="AG64">
        <v>28.59</v>
      </c>
      <c r="AH64">
        <v>2</v>
      </c>
      <c r="AI64">
        <v>84185953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ROW(Source!A107)</f>
        <v>107</v>
      </c>
      <c r="B65">
        <v>84185960</v>
      </c>
      <c r="C65">
        <v>84185952</v>
      </c>
      <c r="D65">
        <v>121548</v>
      </c>
      <c r="E65">
        <v>1</v>
      </c>
      <c r="F65">
        <v>1</v>
      </c>
      <c r="G65">
        <v>1</v>
      </c>
      <c r="H65">
        <v>1</v>
      </c>
      <c r="I65" t="s">
        <v>24</v>
      </c>
      <c r="J65" t="s">
        <v>3</v>
      </c>
      <c r="K65" t="s">
        <v>431</v>
      </c>
      <c r="L65">
        <v>608254</v>
      </c>
      <c r="N65">
        <v>1013</v>
      </c>
      <c r="O65" t="s">
        <v>432</v>
      </c>
      <c r="P65" t="s">
        <v>432</v>
      </c>
      <c r="Q65">
        <v>1</v>
      </c>
      <c r="X65">
        <v>8.4499999999999993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2</v>
      </c>
      <c r="AF65" t="s">
        <v>3</v>
      </c>
      <c r="AG65">
        <v>8.4499999999999993</v>
      </c>
      <c r="AH65">
        <v>2</v>
      </c>
      <c r="AI65">
        <v>84185954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ROW(Source!A107)</f>
        <v>107</v>
      </c>
      <c r="B66">
        <v>84185961</v>
      </c>
      <c r="C66">
        <v>84185952</v>
      </c>
      <c r="D66">
        <v>37802443</v>
      </c>
      <c r="E66">
        <v>1</v>
      </c>
      <c r="F66">
        <v>1</v>
      </c>
      <c r="G66">
        <v>1</v>
      </c>
      <c r="H66">
        <v>2</v>
      </c>
      <c r="I66" t="s">
        <v>454</v>
      </c>
      <c r="J66" t="s">
        <v>455</v>
      </c>
      <c r="K66" t="s">
        <v>456</v>
      </c>
      <c r="L66">
        <v>1368</v>
      </c>
      <c r="N66">
        <v>1011</v>
      </c>
      <c r="O66" t="s">
        <v>436</v>
      </c>
      <c r="P66" t="s">
        <v>436</v>
      </c>
      <c r="Q66">
        <v>1</v>
      </c>
      <c r="X66">
        <v>2.67</v>
      </c>
      <c r="Y66">
        <v>0</v>
      </c>
      <c r="Z66">
        <v>124.14</v>
      </c>
      <c r="AA66">
        <v>12.1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2.67</v>
      </c>
      <c r="AH66">
        <v>2</v>
      </c>
      <c r="AI66">
        <v>84185955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ROW(Source!A107)</f>
        <v>107</v>
      </c>
      <c r="B67">
        <v>84185962</v>
      </c>
      <c r="C67">
        <v>84185952</v>
      </c>
      <c r="D67">
        <v>37802579</v>
      </c>
      <c r="E67">
        <v>1</v>
      </c>
      <c r="F67">
        <v>1</v>
      </c>
      <c r="G67">
        <v>1</v>
      </c>
      <c r="H67">
        <v>2</v>
      </c>
      <c r="I67" t="s">
        <v>433</v>
      </c>
      <c r="J67" t="s">
        <v>434</v>
      </c>
      <c r="K67" t="s">
        <v>435</v>
      </c>
      <c r="L67">
        <v>1368</v>
      </c>
      <c r="N67">
        <v>1011</v>
      </c>
      <c r="O67" t="s">
        <v>436</v>
      </c>
      <c r="P67" t="s">
        <v>436</v>
      </c>
      <c r="Q67">
        <v>1</v>
      </c>
      <c r="X67">
        <v>5.78</v>
      </c>
      <c r="Y67">
        <v>0</v>
      </c>
      <c r="Z67">
        <v>85.64</v>
      </c>
      <c r="AA67">
        <v>9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5.78</v>
      </c>
      <c r="AH67">
        <v>2</v>
      </c>
      <c r="AI67">
        <v>84185956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ROW(Source!A107)</f>
        <v>107</v>
      </c>
      <c r="B68">
        <v>84185963</v>
      </c>
      <c r="C68">
        <v>84185952</v>
      </c>
      <c r="D68">
        <v>37804456</v>
      </c>
      <c r="E68">
        <v>1</v>
      </c>
      <c r="F68">
        <v>1</v>
      </c>
      <c r="G68">
        <v>1</v>
      </c>
      <c r="H68">
        <v>2</v>
      </c>
      <c r="I68" t="s">
        <v>437</v>
      </c>
      <c r="J68" t="s">
        <v>438</v>
      </c>
      <c r="K68" t="s">
        <v>439</v>
      </c>
      <c r="L68">
        <v>1368</v>
      </c>
      <c r="N68">
        <v>1011</v>
      </c>
      <c r="O68" t="s">
        <v>436</v>
      </c>
      <c r="P68" t="s">
        <v>436</v>
      </c>
      <c r="Q68">
        <v>1</v>
      </c>
      <c r="X68">
        <v>1.43</v>
      </c>
      <c r="Y68">
        <v>0</v>
      </c>
      <c r="Z68">
        <v>91.76</v>
      </c>
      <c r="AA68">
        <v>10.35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1.43</v>
      </c>
      <c r="AH68">
        <v>2</v>
      </c>
      <c r="AI68">
        <v>84185957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ROW(Source!A107)</f>
        <v>107</v>
      </c>
      <c r="B69">
        <v>84185964</v>
      </c>
      <c r="C69">
        <v>84185952</v>
      </c>
      <c r="D69">
        <v>37750429</v>
      </c>
      <c r="E69">
        <v>1</v>
      </c>
      <c r="F69">
        <v>1</v>
      </c>
      <c r="G69">
        <v>1</v>
      </c>
      <c r="H69">
        <v>3</v>
      </c>
      <c r="I69" t="s">
        <v>146</v>
      </c>
      <c r="J69" t="s">
        <v>149</v>
      </c>
      <c r="K69" t="s">
        <v>147</v>
      </c>
      <c r="L69">
        <v>1346</v>
      </c>
      <c r="N69">
        <v>1009</v>
      </c>
      <c r="O69" t="s">
        <v>148</v>
      </c>
      <c r="P69" t="s">
        <v>148</v>
      </c>
      <c r="Q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1</v>
      </c>
      <c r="AD69">
        <v>0</v>
      </c>
      <c r="AE69">
        <v>0</v>
      </c>
      <c r="AF69" t="s">
        <v>3</v>
      </c>
      <c r="AG69">
        <v>0</v>
      </c>
      <c r="AH69">
        <v>2</v>
      </c>
      <c r="AI69">
        <v>84185958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ROW(Source!A111)</f>
        <v>111</v>
      </c>
      <c r="B70">
        <v>84193096</v>
      </c>
      <c r="C70">
        <v>84193094</v>
      </c>
      <c r="D70">
        <v>23129555</v>
      </c>
      <c r="E70">
        <v>1</v>
      </c>
      <c r="F70">
        <v>1</v>
      </c>
      <c r="G70">
        <v>1</v>
      </c>
      <c r="H70">
        <v>1</v>
      </c>
      <c r="I70" t="s">
        <v>523</v>
      </c>
      <c r="J70" t="s">
        <v>3</v>
      </c>
      <c r="K70" t="s">
        <v>524</v>
      </c>
      <c r="L70">
        <v>1369</v>
      </c>
      <c r="N70">
        <v>1013</v>
      </c>
      <c r="O70" t="s">
        <v>430</v>
      </c>
      <c r="P70" t="s">
        <v>430</v>
      </c>
      <c r="Q70">
        <v>1</v>
      </c>
      <c r="X70">
        <v>154</v>
      </c>
      <c r="Y70">
        <v>0</v>
      </c>
      <c r="Z70">
        <v>0</v>
      </c>
      <c r="AA70">
        <v>0</v>
      </c>
      <c r="AB70">
        <v>7.29</v>
      </c>
      <c r="AC70">
        <v>0</v>
      </c>
      <c r="AD70">
        <v>1</v>
      </c>
      <c r="AE70">
        <v>1</v>
      </c>
      <c r="AF70" t="s">
        <v>3</v>
      </c>
      <c r="AG70">
        <v>154</v>
      </c>
      <c r="AH70">
        <v>2</v>
      </c>
      <c r="AI70">
        <v>84193095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ROW(Source!A112)</f>
        <v>112</v>
      </c>
      <c r="B71">
        <v>84205139</v>
      </c>
      <c r="C71">
        <v>84205137</v>
      </c>
      <c r="D71">
        <v>23135960</v>
      </c>
      <c r="E71">
        <v>1</v>
      </c>
      <c r="F71">
        <v>1</v>
      </c>
      <c r="G71">
        <v>1</v>
      </c>
      <c r="H71">
        <v>1</v>
      </c>
      <c r="I71" t="s">
        <v>525</v>
      </c>
      <c r="J71" t="s">
        <v>3</v>
      </c>
      <c r="K71" t="s">
        <v>526</v>
      </c>
      <c r="L71">
        <v>1369</v>
      </c>
      <c r="N71">
        <v>1013</v>
      </c>
      <c r="O71" t="s">
        <v>430</v>
      </c>
      <c r="P71" t="s">
        <v>430</v>
      </c>
      <c r="Q71">
        <v>1</v>
      </c>
      <c r="X71">
        <v>97.2</v>
      </c>
      <c r="Y71">
        <v>0</v>
      </c>
      <c r="Z71">
        <v>0</v>
      </c>
      <c r="AA71">
        <v>0</v>
      </c>
      <c r="AB71">
        <v>7.01</v>
      </c>
      <c r="AC71">
        <v>0</v>
      </c>
      <c r="AD71">
        <v>1</v>
      </c>
      <c r="AE71">
        <v>1</v>
      </c>
      <c r="AF71" t="s">
        <v>3</v>
      </c>
      <c r="AG71">
        <v>97.2</v>
      </c>
      <c r="AH71">
        <v>2</v>
      </c>
      <c r="AI71">
        <v>84205139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ROW(Source!A113)</f>
        <v>113</v>
      </c>
      <c r="B72">
        <v>84193106</v>
      </c>
      <c r="C72">
        <v>84193097</v>
      </c>
      <c r="D72">
        <v>23351341</v>
      </c>
      <c r="E72">
        <v>1</v>
      </c>
      <c r="F72">
        <v>1</v>
      </c>
      <c r="G72">
        <v>1</v>
      </c>
      <c r="H72">
        <v>1</v>
      </c>
      <c r="I72" t="s">
        <v>527</v>
      </c>
      <c r="J72" t="s">
        <v>3</v>
      </c>
      <c r="K72" t="s">
        <v>528</v>
      </c>
      <c r="L72">
        <v>1369</v>
      </c>
      <c r="N72">
        <v>1013</v>
      </c>
      <c r="O72" t="s">
        <v>430</v>
      </c>
      <c r="P72" t="s">
        <v>430</v>
      </c>
      <c r="Q72">
        <v>1</v>
      </c>
      <c r="X72">
        <v>16.600000000000001</v>
      </c>
      <c r="Y72">
        <v>0</v>
      </c>
      <c r="Z72">
        <v>0</v>
      </c>
      <c r="AA72">
        <v>0</v>
      </c>
      <c r="AB72">
        <v>8.7899999999999991</v>
      </c>
      <c r="AC72">
        <v>0</v>
      </c>
      <c r="AD72">
        <v>1</v>
      </c>
      <c r="AE72">
        <v>1</v>
      </c>
      <c r="AF72" t="s">
        <v>3</v>
      </c>
      <c r="AG72">
        <v>16.600000000000001</v>
      </c>
      <c r="AH72">
        <v>2</v>
      </c>
      <c r="AI72">
        <v>84193098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ROW(Source!A113)</f>
        <v>113</v>
      </c>
      <c r="B73">
        <v>84193107</v>
      </c>
      <c r="C73">
        <v>84193097</v>
      </c>
      <c r="D73">
        <v>121548</v>
      </c>
      <c r="E73">
        <v>1</v>
      </c>
      <c r="F73">
        <v>1</v>
      </c>
      <c r="G73">
        <v>1</v>
      </c>
      <c r="H73">
        <v>1</v>
      </c>
      <c r="I73" t="s">
        <v>24</v>
      </c>
      <c r="J73" t="s">
        <v>3</v>
      </c>
      <c r="K73" t="s">
        <v>431</v>
      </c>
      <c r="L73">
        <v>608254</v>
      </c>
      <c r="N73">
        <v>1013</v>
      </c>
      <c r="O73" t="s">
        <v>432</v>
      </c>
      <c r="P73" t="s">
        <v>432</v>
      </c>
      <c r="Q73">
        <v>1</v>
      </c>
      <c r="X73">
        <v>0.22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3</v>
      </c>
      <c r="AG73">
        <v>0.22</v>
      </c>
      <c r="AH73">
        <v>2</v>
      </c>
      <c r="AI73">
        <v>84193099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ROW(Source!A113)</f>
        <v>113</v>
      </c>
      <c r="B74">
        <v>84193108</v>
      </c>
      <c r="C74">
        <v>84193097</v>
      </c>
      <c r="D74">
        <v>37802432</v>
      </c>
      <c r="E74">
        <v>1</v>
      </c>
      <c r="F74">
        <v>1</v>
      </c>
      <c r="G74">
        <v>1</v>
      </c>
      <c r="H74">
        <v>2</v>
      </c>
      <c r="I74" t="s">
        <v>457</v>
      </c>
      <c r="J74" t="s">
        <v>458</v>
      </c>
      <c r="K74" t="s">
        <v>459</v>
      </c>
      <c r="L74">
        <v>1368</v>
      </c>
      <c r="N74">
        <v>1011</v>
      </c>
      <c r="O74" t="s">
        <v>436</v>
      </c>
      <c r="P74" t="s">
        <v>436</v>
      </c>
      <c r="Q74">
        <v>1</v>
      </c>
      <c r="X74">
        <v>0.22</v>
      </c>
      <c r="Y74">
        <v>0</v>
      </c>
      <c r="Z74">
        <v>138.54</v>
      </c>
      <c r="AA74">
        <v>12.1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0.22</v>
      </c>
      <c r="AH74">
        <v>2</v>
      </c>
      <c r="AI74">
        <v>84193100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ROW(Source!A113)</f>
        <v>113</v>
      </c>
      <c r="B75">
        <v>84193109</v>
      </c>
      <c r="C75">
        <v>84193097</v>
      </c>
      <c r="D75">
        <v>37802657</v>
      </c>
      <c r="E75">
        <v>1</v>
      </c>
      <c r="F75">
        <v>1</v>
      </c>
      <c r="G75">
        <v>1</v>
      </c>
      <c r="H75">
        <v>2</v>
      </c>
      <c r="I75" t="s">
        <v>460</v>
      </c>
      <c r="J75" t="s">
        <v>461</v>
      </c>
      <c r="K75" t="s">
        <v>462</v>
      </c>
      <c r="L75">
        <v>1368</v>
      </c>
      <c r="N75">
        <v>1011</v>
      </c>
      <c r="O75" t="s">
        <v>436</v>
      </c>
      <c r="P75" t="s">
        <v>436</v>
      </c>
      <c r="Q75">
        <v>1</v>
      </c>
      <c r="X75">
        <v>3.13</v>
      </c>
      <c r="Y75">
        <v>0</v>
      </c>
      <c r="Z75">
        <v>7.55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3.13</v>
      </c>
      <c r="AH75">
        <v>2</v>
      </c>
      <c r="AI75">
        <v>84193101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ROW(Source!A113)</f>
        <v>113</v>
      </c>
      <c r="B76">
        <v>84193110</v>
      </c>
      <c r="C76">
        <v>84193097</v>
      </c>
      <c r="D76">
        <v>37804456</v>
      </c>
      <c r="E76">
        <v>1</v>
      </c>
      <c r="F76">
        <v>1</v>
      </c>
      <c r="G76">
        <v>1</v>
      </c>
      <c r="H76">
        <v>2</v>
      </c>
      <c r="I76" t="s">
        <v>437</v>
      </c>
      <c r="J76" t="s">
        <v>438</v>
      </c>
      <c r="K76" t="s">
        <v>439</v>
      </c>
      <c r="L76">
        <v>1368</v>
      </c>
      <c r="N76">
        <v>1011</v>
      </c>
      <c r="O76" t="s">
        <v>436</v>
      </c>
      <c r="P76" t="s">
        <v>436</v>
      </c>
      <c r="Q76">
        <v>1</v>
      </c>
      <c r="X76">
        <v>0.22</v>
      </c>
      <c r="Y76">
        <v>0</v>
      </c>
      <c r="Z76">
        <v>91.76</v>
      </c>
      <c r="AA76">
        <v>10.35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0.22</v>
      </c>
      <c r="AH76">
        <v>2</v>
      </c>
      <c r="AI76">
        <v>84193102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ROW(Source!A113)</f>
        <v>113</v>
      </c>
      <c r="B77">
        <v>84193111</v>
      </c>
      <c r="C77">
        <v>84193097</v>
      </c>
      <c r="D77">
        <v>37736610</v>
      </c>
      <c r="E77">
        <v>1</v>
      </c>
      <c r="F77">
        <v>1</v>
      </c>
      <c r="G77">
        <v>1</v>
      </c>
      <c r="H77">
        <v>3</v>
      </c>
      <c r="I77" t="s">
        <v>469</v>
      </c>
      <c r="J77" t="s">
        <v>470</v>
      </c>
      <c r="K77" t="s">
        <v>471</v>
      </c>
      <c r="L77">
        <v>1346</v>
      </c>
      <c r="N77">
        <v>1009</v>
      </c>
      <c r="O77" t="s">
        <v>148</v>
      </c>
      <c r="P77" t="s">
        <v>148</v>
      </c>
      <c r="Q77">
        <v>1</v>
      </c>
      <c r="X77">
        <v>0.9</v>
      </c>
      <c r="Y77">
        <v>12.65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0.9</v>
      </c>
      <c r="AH77">
        <v>2</v>
      </c>
      <c r="AI77">
        <v>84193103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ROW(Source!A113)</f>
        <v>113</v>
      </c>
      <c r="B78">
        <v>84193112</v>
      </c>
      <c r="C78">
        <v>84193097</v>
      </c>
      <c r="D78">
        <v>37745017</v>
      </c>
      <c r="E78">
        <v>1</v>
      </c>
      <c r="F78">
        <v>1</v>
      </c>
      <c r="G78">
        <v>1</v>
      </c>
      <c r="H78">
        <v>3</v>
      </c>
      <c r="I78" t="s">
        <v>529</v>
      </c>
      <c r="J78" t="s">
        <v>530</v>
      </c>
      <c r="K78" t="s">
        <v>531</v>
      </c>
      <c r="L78">
        <v>1348</v>
      </c>
      <c r="N78">
        <v>1009</v>
      </c>
      <c r="O78" t="s">
        <v>126</v>
      </c>
      <c r="P78" t="s">
        <v>126</v>
      </c>
      <c r="Q78">
        <v>1000</v>
      </c>
      <c r="X78">
        <v>3.7000000000000002E-3</v>
      </c>
      <c r="Y78">
        <v>9528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3.7000000000000002E-3</v>
      </c>
      <c r="AH78">
        <v>2</v>
      </c>
      <c r="AI78">
        <v>84193104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ROW(Source!A113)</f>
        <v>113</v>
      </c>
      <c r="B79">
        <v>84193113</v>
      </c>
      <c r="C79">
        <v>84193097</v>
      </c>
      <c r="D79">
        <v>37801918</v>
      </c>
      <c r="E79">
        <v>1</v>
      </c>
      <c r="F79">
        <v>1</v>
      </c>
      <c r="G79">
        <v>1</v>
      </c>
      <c r="H79">
        <v>3</v>
      </c>
      <c r="I79" t="s">
        <v>442</v>
      </c>
      <c r="J79" t="s">
        <v>443</v>
      </c>
      <c r="K79" t="s">
        <v>444</v>
      </c>
      <c r="L79">
        <v>1374</v>
      </c>
      <c r="N79">
        <v>1013</v>
      </c>
      <c r="O79" t="s">
        <v>445</v>
      </c>
      <c r="P79" t="s">
        <v>445</v>
      </c>
      <c r="Q79">
        <v>1</v>
      </c>
      <c r="X79">
        <v>2.92</v>
      </c>
      <c r="Y79">
        <v>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2.92</v>
      </c>
      <c r="AH79">
        <v>2</v>
      </c>
      <c r="AI79">
        <v>84193105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ROW(Source!A115)</f>
        <v>115</v>
      </c>
      <c r="B80">
        <v>84193123</v>
      </c>
      <c r="C80">
        <v>84193115</v>
      </c>
      <c r="D80">
        <v>23135014</v>
      </c>
      <c r="E80">
        <v>1</v>
      </c>
      <c r="F80">
        <v>1</v>
      </c>
      <c r="G80">
        <v>1</v>
      </c>
      <c r="H80">
        <v>1</v>
      </c>
      <c r="I80" t="s">
        <v>507</v>
      </c>
      <c r="J80" t="s">
        <v>3</v>
      </c>
      <c r="K80" t="s">
        <v>508</v>
      </c>
      <c r="L80">
        <v>1369</v>
      </c>
      <c r="N80">
        <v>1013</v>
      </c>
      <c r="O80" t="s">
        <v>430</v>
      </c>
      <c r="P80" t="s">
        <v>430</v>
      </c>
      <c r="Q80">
        <v>1</v>
      </c>
      <c r="X80">
        <v>0.81</v>
      </c>
      <c r="Y80">
        <v>0</v>
      </c>
      <c r="Z80">
        <v>0</v>
      </c>
      <c r="AA80">
        <v>0</v>
      </c>
      <c r="AB80">
        <v>7.9</v>
      </c>
      <c r="AC80">
        <v>0</v>
      </c>
      <c r="AD80">
        <v>1</v>
      </c>
      <c r="AE80">
        <v>1</v>
      </c>
      <c r="AF80" t="s">
        <v>3</v>
      </c>
      <c r="AG80">
        <v>0.81</v>
      </c>
      <c r="AH80">
        <v>2</v>
      </c>
      <c r="AI80">
        <v>84193116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ROW(Source!A115)</f>
        <v>115</v>
      </c>
      <c r="B81">
        <v>84193124</v>
      </c>
      <c r="C81">
        <v>84193115</v>
      </c>
      <c r="D81">
        <v>121548</v>
      </c>
      <c r="E81">
        <v>1</v>
      </c>
      <c r="F81">
        <v>1</v>
      </c>
      <c r="G81">
        <v>1</v>
      </c>
      <c r="H81">
        <v>1</v>
      </c>
      <c r="I81" t="s">
        <v>24</v>
      </c>
      <c r="J81" t="s">
        <v>3</v>
      </c>
      <c r="K81" t="s">
        <v>431</v>
      </c>
      <c r="L81">
        <v>608254</v>
      </c>
      <c r="N81">
        <v>1013</v>
      </c>
      <c r="O81" t="s">
        <v>432</v>
      </c>
      <c r="P81" t="s">
        <v>432</v>
      </c>
      <c r="Q81">
        <v>1</v>
      </c>
      <c r="X81">
        <v>0.61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2</v>
      </c>
      <c r="AF81" t="s">
        <v>3</v>
      </c>
      <c r="AG81">
        <v>0.61</v>
      </c>
      <c r="AH81">
        <v>2</v>
      </c>
      <c r="AI81">
        <v>84193117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ROW(Source!A115)</f>
        <v>115</v>
      </c>
      <c r="B82">
        <v>84193125</v>
      </c>
      <c r="C82">
        <v>84193115</v>
      </c>
      <c r="D82">
        <v>37802644</v>
      </c>
      <c r="E82">
        <v>1</v>
      </c>
      <c r="F82">
        <v>1</v>
      </c>
      <c r="G82">
        <v>1</v>
      </c>
      <c r="H82">
        <v>2</v>
      </c>
      <c r="I82" t="s">
        <v>509</v>
      </c>
      <c r="J82" t="s">
        <v>510</v>
      </c>
      <c r="K82" t="s">
        <v>511</v>
      </c>
      <c r="L82">
        <v>1368</v>
      </c>
      <c r="N82">
        <v>1011</v>
      </c>
      <c r="O82" t="s">
        <v>436</v>
      </c>
      <c r="P82" t="s">
        <v>436</v>
      </c>
      <c r="Q82">
        <v>1</v>
      </c>
      <c r="X82">
        <v>0.19</v>
      </c>
      <c r="Y82">
        <v>0</v>
      </c>
      <c r="Z82">
        <v>14.14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0.19</v>
      </c>
      <c r="AH82">
        <v>2</v>
      </c>
      <c r="AI82">
        <v>84193118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ROW(Source!A115)</f>
        <v>115</v>
      </c>
      <c r="B83">
        <v>84193126</v>
      </c>
      <c r="C83">
        <v>84193115</v>
      </c>
      <c r="D83">
        <v>37802699</v>
      </c>
      <c r="E83">
        <v>1</v>
      </c>
      <c r="F83">
        <v>1</v>
      </c>
      <c r="G83">
        <v>1</v>
      </c>
      <c r="H83">
        <v>2</v>
      </c>
      <c r="I83" t="s">
        <v>512</v>
      </c>
      <c r="J83" t="s">
        <v>513</v>
      </c>
      <c r="K83" t="s">
        <v>514</v>
      </c>
      <c r="L83">
        <v>1368</v>
      </c>
      <c r="N83">
        <v>1011</v>
      </c>
      <c r="O83" t="s">
        <v>436</v>
      </c>
      <c r="P83" t="s">
        <v>436</v>
      </c>
      <c r="Q83">
        <v>1</v>
      </c>
      <c r="X83">
        <v>0.61</v>
      </c>
      <c r="Y83">
        <v>0</v>
      </c>
      <c r="Z83">
        <v>59.38</v>
      </c>
      <c r="AA83">
        <v>9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0.61</v>
      </c>
      <c r="AH83">
        <v>2</v>
      </c>
      <c r="AI83">
        <v>84193119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ROW(Source!A115)</f>
        <v>115</v>
      </c>
      <c r="B84">
        <v>84193127</v>
      </c>
      <c r="C84">
        <v>84193115</v>
      </c>
      <c r="D84">
        <v>37804144</v>
      </c>
      <c r="E84">
        <v>1</v>
      </c>
      <c r="F84">
        <v>1</v>
      </c>
      <c r="G84">
        <v>1</v>
      </c>
      <c r="H84">
        <v>2</v>
      </c>
      <c r="I84" t="s">
        <v>515</v>
      </c>
      <c r="J84" t="s">
        <v>516</v>
      </c>
      <c r="K84" t="s">
        <v>517</v>
      </c>
      <c r="L84">
        <v>1368</v>
      </c>
      <c r="N84">
        <v>1011</v>
      </c>
      <c r="O84" t="s">
        <v>436</v>
      </c>
      <c r="P84" t="s">
        <v>436</v>
      </c>
      <c r="Q84">
        <v>1</v>
      </c>
      <c r="X84">
        <v>0.61</v>
      </c>
      <c r="Y84">
        <v>0</v>
      </c>
      <c r="Z84">
        <v>100.79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0.61</v>
      </c>
      <c r="AH84">
        <v>2</v>
      </c>
      <c r="AI84">
        <v>84193120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ROW(Source!A115)</f>
        <v>115</v>
      </c>
      <c r="B85">
        <v>84193128</v>
      </c>
      <c r="C85">
        <v>84193115</v>
      </c>
      <c r="D85">
        <v>37736609</v>
      </c>
      <c r="E85">
        <v>1</v>
      </c>
      <c r="F85">
        <v>1</v>
      </c>
      <c r="G85">
        <v>1</v>
      </c>
      <c r="H85">
        <v>3</v>
      </c>
      <c r="I85" t="s">
        <v>518</v>
      </c>
      <c r="J85" t="s">
        <v>519</v>
      </c>
      <c r="K85" t="s">
        <v>520</v>
      </c>
      <c r="L85">
        <v>1348</v>
      </c>
      <c r="N85">
        <v>1009</v>
      </c>
      <c r="O85" t="s">
        <v>126</v>
      </c>
      <c r="P85" t="s">
        <v>126</v>
      </c>
      <c r="Q85">
        <v>1000</v>
      </c>
      <c r="X85">
        <v>3.0000000000000001E-5</v>
      </c>
      <c r="Y85">
        <v>9750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3.0000000000000001E-5</v>
      </c>
      <c r="AH85">
        <v>2</v>
      </c>
      <c r="AI85">
        <v>84193121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ROW(Source!A115)</f>
        <v>115</v>
      </c>
      <c r="B86">
        <v>84193129</v>
      </c>
      <c r="C86">
        <v>84193115</v>
      </c>
      <c r="D86">
        <v>37753212</v>
      </c>
      <c r="E86">
        <v>1</v>
      </c>
      <c r="F86">
        <v>1</v>
      </c>
      <c r="G86">
        <v>1</v>
      </c>
      <c r="H86">
        <v>3</v>
      </c>
      <c r="I86" t="s">
        <v>232</v>
      </c>
      <c r="J86" t="s">
        <v>234</v>
      </c>
      <c r="K86" t="s">
        <v>233</v>
      </c>
      <c r="L86">
        <v>1348</v>
      </c>
      <c r="N86">
        <v>1009</v>
      </c>
      <c r="O86" t="s">
        <v>126</v>
      </c>
      <c r="P86" t="s">
        <v>126</v>
      </c>
      <c r="Q86">
        <v>1000</v>
      </c>
      <c r="X86">
        <v>5.0000000000000001E-3</v>
      </c>
      <c r="Y86">
        <v>6594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5.0000000000000001E-3</v>
      </c>
      <c r="AH86">
        <v>2</v>
      </c>
      <c r="AI86">
        <v>84193122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ROW(Source!A118)</f>
        <v>118</v>
      </c>
      <c r="B87">
        <v>84193135</v>
      </c>
      <c r="C87">
        <v>84193132</v>
      </c>
      <c r="D87">
        <v>23567769</v>
      </c>
      <c r="E87">
        <v>1</v>
      </c>
      <c r="F87">
        <v>1</v>
      </c>
      <c r="G87">
        <v>1</v>
      </c>
      <c r="H87">
        <v>1</v>
      </c>
      <c r="I87" t="s">
        <v>532</v>
      </c>
      <c r="J87" t="s">
        <v>3</v>
      </c>
      <c r="K87" t="s">
        <v>533</v>
      </c>
      <c r="L87">
        <v>1369</v>
      </c>
      <c r="N87">
        <v>1013</v>
      </c>
      <c r="O87" t="s">
        <v>430</v>
      </c>
      <c r="P87" t="s">
        <v>430</v>
      </c>
      <c r="Q87">
        <v>1</v>
      </c>
      <c r="X87">
        <v>0.61</v>
      </c>
      <c r="Y87">
        <v>0</v>
      </c>
      <c r="Z87">
        <v>0</v>
      </c>
      <c r="AA87">
        <v>0</v>
      </c>
      <c r="AB87">
        <v>12.08</v>
      </c>
      <c r="AC87">
        <v>0</v>
      </c>
      <c r="AD87">
        <v>1</v>
      </c>
      <c r="AE87">
        <v>1</v>
      </c>
      <c r="AF87" t="s">
        <v>3</v>
      </c>
      <c r="AG87">
        <v>0.61</v>
      </c>
      <c r="AH87">
        <v>2</v>
      </c>
      <c r="AI87">
        <v>84193133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ROW(Source!A118)</f>
        <v>118</v>
      </c>
      <c r="B88">
        <v>84193136</v>
      </c>
      <c r="C88">
        <v>84193132</v>
      </c>
      <c r="D88">
        <v>23566809</v>
      </c>
      <c r="E88">
        <v>1</v>
      </c>
      <c r="F88">
        <v>1</v>
      </c>
      <c r="G88">
        <v>1</v>
      </c>
      <c r="H88">
        <v>1</v>
      </c>
      <c r="I88" t="s">
        <v>534</v>
      </c>
      <c r="J88" t="s">
        <v>3</v>
      </c>
      <c r="K88" t="s">
        <v>535</v>
      </c>
      <c r="L88">
        <v>1369</v>
      </c>
      <c r="N88">
        <v>1013</v>
      </c>
      <c r="O88" t="s">
        <v>430</v>
      </c>
      <c r="P88" t="s">
        <v>430</v>
      </c>
      <c r="Q88">
        <v>1</v>
      </c>
      <c r="X88">
        <v>0.61</v>
      </c>
      <c r="Y88">
        <v>0</v>
      </c>
      <c r="Z88">
        <v>0</v>
      </c>
      <c r="AA88">
        <v>0</v>
      </c>
      <c r="AB88">
        <v>11.86</v>
      </c>
      <c r="AC88">
        <v>0</v>
      </c>
      <c r="AD88">
        <v>1</v>
      </c>
      <c r="AE88">
        <v>1</v>
      </c>
      <c r="AF88" t="s">
        <v>3</v>
      </c>
      <c r="AG88">
        <v>0.61</v>
      </c>
      <c r="AH88">
        <v>2</v>
      </c>
      <c r="AI88">
        <v>84193134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ROW(Source!A119)</f>
        <v>119</v>
      </c>
      <c r="B89">
        <v>84193140</v>
      </c>
      <c r="C89">
        <v>84193137</v>
      </c>
      <c r="D89">
        <v>23567769</v>
      </c>
      <c r="E89">
        <v>1</v>
      </c>
      <c r="F89">
        <v>1</v>
      </c>
      <c r="G89">
        <v>1</v>
      </c>
      <c r="H89">
        <v>1</v>
      </c>
      <c r="I89" t="s">
        <v>532</v>
      </c>
      <c r="J89" t="s">
        <v>3</v>
      </c>
      <c r="K89" t="s">
        <v>533</v>
      </c>
      <c r="L89">
        <v>1369</v>
      </c>
      <c r="N89">
        <v>1013</v>
      </c>
      <c r="O89" t="s">
        <v>430</v>
      </c>
      <c r="P89" t="s">
        <v>430</v>
      </c>
      <c r="Q89">
        <v>1</v>
      </c>
      <c r="X89">
        <v>6.48</v>
      </c>
      <c r="Y89">
        <v>0</v>
      </c>
      <c r="Z89">
        <v>0</v>
      </c>
      <c r="AA89">
        <v>0</v>
      </c>
      <c r="AB89">
        <v>12.08</v>
      </c>
      <c r="AC89">
        <v>0</v>
      </c>
      <c r="AD89">
        <v>1</v>
      </c>
      <c r="AE89">
        <v>1</v>
      </c>
      <c r="AF89" t="s">
        <v>3</v>
      </c>
      <c r="AG89">
        <v>6.48</v>
      </c>
      <c r="AH89">
        <v>2</v>
      </c>
      <c r="AI89">
        <v>84193138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ROW(Source!A119)</f>
        <v>119</v>
      </c>
      <c r="B90">
        <v>84193141</v>
      </c>
      <c r="C90">
        <v>84193137</v>
      </c>
      <c r="D90">
        <v>23566809</v>
      </c>
      <c r="E90">
        <v>1</v>
      </c>
      <c r="F90">
        <v>1</v>
      </c>
      <c r="G90">
        <v>1</v>
      </c>
      <c r="H90">
        <v>1</v>
      </c>
      <c r="I90" t="s">
        <v>534</v>
      </c>
      <c r="J90" t="s">
        <v>3</v>
      </c>
      <c r="K90" t="s">
        <v>535</v>
      </c>
      <c r="L90">
        <v>1369</v>
      </c>
      <c r="N90">
        <v>1013</v>
      </c>
      <c r="O90" t="s">
        <v>430</v>
      </c>
      <c r="P90" t="s">
        <v>430</v>
      </c>
      <c r="Q90">
        <v>1</v>
      </c>
      <c r="X90">
        <v>6.48</v>
      </c>
      <c r="Y90">
        <v>0</v>
      </c>
      <c r="Z90">
        <v>0</v>
      </c>
      <c r="AA90">
        <v>0</v>
      </c>
      <c r="AB90">
        <v>11.86</v>
      </c>
      <c r="AC90">
        <v>0</v>
      </c>
      <c r="AD90">
        <v>1</v>
      </c>
      <c r="AE90">
        <v>1</v>
      </c>
      <c r="AF90" t="s">
        <v>3</v>
      </c>
      <c r="AG90">
        <v>6.48</v>
      </c>
      <c r="AH90">
        <v>2</v>
      </c>
      <c r="AI90">
        <v>84193139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ROW(Source!A164)</f>
        <v>164</v>
      </c>
      <c r="B91">
        <v>84185980</v>
      </c>
      <c r="C91">
        <v>84185967</v>
      </c>
      <c r="D91">
        <v>23351395</v>
      </c>
      <c r="E91">
        <v>1</v>
      </c>
      <c r="F91">
        <v>1</v>
      </c>
      <c r="G91">
        <v>1</v>
      </c>
      <c r="H91">
        <v>1</v>
      </c>
      <c r="I91" t="s">
        <v>440</v>
      </c>
      <c r="J91" t="s">
        <v>3</v>
      </c>
      <c r="K91" t="s">
        <v>441</v>
      </c>
      <c r="L91">
        <v>1369</v>
      </c>
      <c r="N91">
        <v>1013</v>
      </c>
      <c r="O91" t="s">
        <v>430</v>
      </c>
      <c r="P91" t="s">
        <v>430</v>
      </c>
      <c r="Q91">
        <v>1</v>
      </c>
      <c r="X91">
        <v>62.2</v>
      </c>
      <c r="Y91">
        <v>0</v>
      </c>
      <c r="Z91">
        <v>0</v>
      </c>
      <c r="AA91">
        <v>0</v>
      </c>
      <c r="AB91">
        <v>8.99</v>
      </c>
      <c r="AC91">
        <v>0</v>
      </c>
      <c r="AD91">
        <v>1</v>
      </c>
      <c r="AE91">
        <v>1</v>
      </c>
      <c r="AF91" t="s">
        <v>3</v>
      </c>
      <c r="AG91">
        <v>62.2</v>
      </c>
      <c r="AH91">
        <v>2</v>
      </c>
      <c r="AI91">
        <v>84185968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ROW(Source!A164)</f>
        <v>164</v>
      </c>
      <c r="B92">
        <v>84185981</v>
      </c>
      <c r="C92">
        <v>84185967</v>
      </c>
      <c r="D92">
        <v>121548</v>
      </c>
      <c r="E92">
        <v>1</v>
      </c>
      <c r="F92">
        <v>1</v>
      </c>
      <c r="G92">
        <v>1</v>
      </c>
      <c r="H92">
        <v>1</v>
      </c>
      <c r="I92" t="s">
        <v>24</v>
      </c>
      <c r="J92" t="s">
        <v>3</v>
      </c>
      <c r="K92" t="s">
        <v>431</v>
      </c>
      <c r="L92">
        <v>608254</v>
      </c>
      <c r="N92">
        <v>1013</v>
      </c>
      <c r="O92" t="s">
        <v>432</v>
      </c>
      <c r="P92" t="s">
        <v>432</v>
      </c>
      <c r="Q92">
        <v>1</v>
      </c>
      <c r="X92">
        <v>1.74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2</v>
      </c>
      <c r="AF92" t="s">
        <v>3</v>
      </c>
      <c r="AG92">
        <v>1.74</v>
      </c>
      <c r="AH92">
        <v>2</v>
      </c>
      <c r="AI92">
        <v>84185969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ROW(Source!A164)</f>
        <v>164</v>
      </c>
      <c r="B93">
        <v>84185982</v>
      </c>
      <c r="C93">
        <v>84185967</v>
      </c>
      <c r="D93">
        <v>37802432</v>
      </c>
      <c r="E93">
        <v>1</v>
      </c>
      <c r="F93">
        <v>1</v>
      </c>
      <c r="G93">
        <v>1</v>
      </c>
      <c r="H93">
        <v>2</v>
      </c>
      <c r="I93" t="s">
        <v>457</v>
      </c>
      <c r="J93" t="s">
        <v>458</v>
      </c>
      <c r="K93" t="s">
        <v>459</v>
      </c>
      <c r="L93">
        <v>1368</v>
      </c>
      <c r="N93">
        <v>1011</v>
      </c>
      <c r="O93" t="s">
        <v>436</v>
      </c>
      <c r="P93" t="s">
        <v>436</v>
      </c>
      <c r="Q93">
        <v>1</v>
      </c>
      <c r="X93">
        <v>1.74</v>
      </c>
      <c r="Y93">
        <v>0</v>
      </c>
      <c r="Z93">
        <v>138.54</v>
      </c>
      <c r="AA93">
        <v>12.1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1.74</v>
      </c>
      <c r="AH93">
        <v>2</v>
      </c>
      <c r="AI93">
        <v>84185970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ROW(Source!A164)</f>
        <v>164</v>
      </c>
      <c r="B94">
        <v>84185983</v>
      </c>
      <c r="C94">
        <v>84185967</v>
      </c>
      <c r="D94">
        <v>37802657</v>
      </c>
      <c r="E94">
        <v>1</v>
      </c>
      <c r="F94">
        <v>1</v>
      </c>
      <c r="G94">
        <v>1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436</v>
      </c>
      <c r="P94" t="s">
        <v>436</v>
      </c>
      <c r="Q94">
        <v>1</v>
      </c>
      <c r="X94">
        <v>15.1</v>
      </c>
      <c r="Y94">
        <v>0</v>
      </c>
      <c r="Z94">
        <v>7.55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15.1</v>
      </c>
      <c r="AH94">
        <v>2</v>
      </c>
      <c r="AI94">
        <v>84185971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ROW(Source!A164)</f>
        <v>164</v>
      </c>
      <c r="B95">
        <v>84185984</v>
      </c>
      <c r="C95">
        <v>84185967</v>
      </c>
      <c r="D95">
        <v>37804456</v>
      </c>
      <c r="E95">
        <v>1</v>
      </c>
      <c r="F95">
        <v>1</v>
      </c>
      <c r="G95">
        <v>1</v>
      </c>
      <c r="H95">
        <v>2</v>
      </c>
      <c r="I95" t="s">
        <v>437</v>
      </c>
      <c r="J95" t="s">
        <v>438</v>
      </c>
      <c r="K95" t="s">
        <v>439</v>
      </c>
      <c r="L95">
        <v>1368</v>
      </c>
      <c r="N95">
        <v>1011</v>
      </c>
      <c r="O95" t="s">
        <v>436</v>
      </c>
      <c r="P95" t="s">
        <v>436</v>
      </c>
      <c r="Q95">
        <v>1</v>
      </c>
      <c r="X95">
        <v>1.74</v>
      </c>
      <c r="Y95">
        <v>0</v>
      </c>
      <c r="Z95">
        <v>91.76</v>
      </c>
      <c r="AA95">
        <v>10.35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1.74</v>
      </c>
      <c r="AH95">
        <v>2</v>
      </c>
      <c r="AI95">
        <v>84185972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ROW(Source!A164)</f>
        <v>164</v>
      </c>
      <c r="B96">
        <v>84185985</v>
      </c>
      <c r="C96">
        <v>84185967</v>
      </c>
      <c r="D96">
        <v>37731377</v>
      </c>
      <c r="E96">
        <v>1</v>
      </c>
      <c r="F96">
        <v>1</v>
      </c>
      <c r="G96">
        <v>1</v>
      </c>
      <c r="H96">
        <v>3</v>
      </c>
      <c r="I96" t="s">
        <v>463</v>
      </c>
      <c r="J96" t="s">
        <v>464</v>
      </c>
      <c r="K96" t="s">
        <v>465</v>
      </c>
      <c r="L96">
        <v>1348</v>
      </c>
      <c r="N96">
        <v>1009</v>
      </c>
      <c r="O96" t="s">
        <v>126</v>
      </c>
      <c r="P96" t="s">
        <v>126</v>
      </c>
      <c r="Q96">
        <v>1000</v>
      </c>
      <c r="X96">
        <v>0.18</v>
      </c>
      <c r="Y96">
        <v>582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0.18</v>
      </c>
      <c r="AH96">
        <v>2</v>
      </c>
      <c r="AI96">
        <v>84185973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ROW(Source!A164)</f>
        <v>164</v>
      </c>
      <c r="B97">
        <v>84185986</v>
      </c>
      <c r="C97">
        <v>84185967</v>
      </c>
      <c r="D97">
        <v>37737041</v>
      </c>
      <c r="E97">
        <v>1</v>
      </c>
      <c r="F97">
        <v>1</v>
      </c>
      <c r="G97">
        <v>1</v>
      </c>
      <c r="H97">
        <v>3</v>
      </c>
      <c r="I97" t="s">
        <v>466</v>
      </c>
      <c r="J97" t="s">
        <v>467</v>
      </c>
      <c r="K97" t="s">
        <v>468</v>
      </c>
      <c r="L97">
        <v>1355</v>
      </c>
      <c r="N97">
        <v>1010</v>
      </c>
      <c r="O97" t="s">
        <v>27</v>
      </c>
      <c r="P97" t="s">
        <v>27</v>
      </c>
      <c r="Q97">
        <v>100</v>
      </c>
      <c r="X97">
        <v>0.8</v>
      </c>
      <c r="Y97">
        <v>111.65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0.8</v>
      </c>
      <c r="AH97">
        <v>2</v>
      </c>
      <c r="AI97">
        <v>84185974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ROW(Source!A164)</f>
        <v>164</v>
      </c>
      <c r="B98">
        <v>84185987</v>
      </c>
      <c r="C98">
        <v>84185967</v>
      </c>
      <c r="D98">
        <v>37736610</v>
      </c>
      <c r="E98">
        <v>1</v>
      </c>
      <c r="F98">
        <v>1</v>
      </c>
      <c r="G98">
        <v>1</v>
      </c>
      <c r="H98">
        <v>3</v>
      </c>
      <c r="I98" t="s">
        <v>469</v>
      </c>
      <c r="J98" t="s">
        <v>470</v>
      </c>
      <c r="K98" t="s">
        <v>471</v>
      </c>
      <c r="L98">
        <v>1346</v>
      </c>
      <c r="N98">
        <v>1009</v>
      </c>
      <c r="O98" t="s">
        <v>148</v>
      </c>
      <c r="P98" t="s">
        <v>148</v>
      </c>
      <c r="Q98">
        <v>1</v>
      </c>
      <c r="X98">
        <v>4.2</v>
      </c>
      <c r="Y98">
        <v>12.65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4.2</v>
      </c>
      <c r="AH98">
        <v>2</v>
      </c>
      <c r="AI98">
        <v>84185975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ROW(Source!A164)</f>
        <v>164</v>
      </c>
      <c r="B99">
        <v>84185988</v>
      </c>
      <c r="C99">
        <v>84185967</v>
      </c>
      <c r="D99">
        <v>37736858</v>
      </c>
      <c r="E99">
        <v>1</v>
      </c>
      <c r="F99">
        <v>1</v>
      </c>
      <c r="G99">
        <v>1</v>
      </c>
      <c r="H99">
        <v>3</v>
      </c>
      <c r="I99" t="s">
        <v>472</v>
      </c>
      <c r="J99" t="s">
        <v>473</v>
      </c>
      <c r="K99" t="s">
        <v>125</v>
      </c>
      <c r="L99">
        <v>1346</v>
      </c>
      <c r="N99">
        <v>1009</v>
      </c>
      <c r="O99" t="s">
        <v>148</v>
      </c>
      <c r="P99" t="s">
        <v>148</v>
      </c>
      <c r="Q99">
        <v>1</v>
      </c>
      <c r="X99">
        <v>27</v>
      </c>
      <c r="Y99">
        <v>9.49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27</v>
      </c>
      <c r="AH99">
        <v>2</v>
      </c>
      <c r="AI99">
        <v>84185976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ROW(Source!A164)</f>
        <v>164</v>
      </c>
      <c r="B100">
        <v>84185989</v>
      </c>
      <c r="C100">
        <v>84185967</v>
      </c>
      <c r="D100">
        <v>37751465</v>
      </c>
      <c r="E100">
        <v>1</v>
      </c>
      <c r="F100">
        <v>1</v>
      </c>
      <c r="G100">
        <v>1</v>
      </c>
      <c r="H100">
        <v>3</v>
      </c>
      <c r="I100" t="s">
        <v>474</v>
      </c>
      <c r="J100" t="s">
        <v>475</v>
      </c>
      <c r="K100" t="s">
        <v>476</v>
      </c>
      <c r="L100">
        <v>1348</v>
      </c>
      <c r="N100">
        <v>1009</v>
      </c>
      <c r="O100" t="s">
        <v>126</v>
      </c>
      <c r="P100" t="s">
        <v>126</v>
      </c>
      <c r="Q100">
        <v>1000</v>
      </c>
      <c r="X100">
        <v>1</v>
      </c>
      <c r="Y100">
        <v>11672.49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</v>
      </c>
      <c r="AH100">
        <v>2</v>
      </c>
      <c r="AI100">
        <v>84185977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ROW(Source!A164)</f>
        <v>164</v>
      </c>
      <c r="B101">
        <v>84185990</v>
      </c>
      <c r="C101">
        <v>84185967</v>
      </c>
      <c r="D101">
        <v>37777370</v>
      </c>
      <c r="E101">
        <v>1</v>
      </c>
      <c r="F101">
        <v>1</v>
      </c>
      <c r="G101">
        <v>1</v>
      </c>
      <c r="H101">
        <v>3</v>
      </c>
      <c r="I101" t="s">
        <v>477</v>
      </c>
      <c r="J101" t="s">
        <v>478</v>
      </c>
      <c r="K101" t="s">
        <v>479</v>
      </c>
      <c r="L101">
        <v>1339</v>
      </c>
      <c r="N101">
        <v>1007</v>
      </c>
      <c r="O101" t="s">
        <v>480</v>
      </c>
      <c r="P101" t="s">
        <v>480</v>
      </c>
      <c r="Q101">
        <v>1</v>
      </c>
      <c r="X101">
        <v>0.15</v>
      </c>
      <c r="Y101">
        <v>64.959999999999994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0.15</v>
      </c>
      <c r="AH101">
        <v>2</v>
      </c>
      <c r="AI101">
        <v>84185978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ROW(Source!A164)</f>
        <v>164</v>
      </c>
      <c r="B102">
        <v>84185991</v>
      </c>
      <c r="C102">
        <v>84185967</v>
      </c>
      <c r="D102">
        <v>37801918</v>
      </c>
      <c r="E102">
        <v>1</v>
      </c>
      <c r="F102">
        <v>1</v>
      </c>
      <c r="G102">
        <v>1</v>
      </c>
      <c r="H102">
        <v>3</v>
      </c>
      <c r="I102" t="s">
        <v>442</v>
      </c>
      <c r="J102" t="s">
        <v>443</v>
      </c>
      <c r="K102" t="s">
        <v>444</v>
      </c>
      <c r="L102">
        <v>1374</v>
      </c>
      <c r="N102">
        <v>1013</v>
      </c>
      <c r="O102" t="s">
        <v>445</v>
      </c>
      <c r="P102" t="s">
        <v>445</v>
      </c>
      <c r="Q102">
        <v>1</v>
      </c>
      <c r="X102">
        <v>11.18</v>
      </c>
      <c r="Y102">
        <v>1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11.18</v>
      </c>
      <c r="AH102">
        <v>2</v>
      </c>
      <c r="AI102">
        <v>84185979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ROW(Source!A165)</f>
        <v>165</v>
      </c>
      <c r="B103">
        <v>84186008</v>
      </c>
      <c r="C103">
        <v>84185992</v>
      </c>
      <c r="D103">
        <v>23146451</v>
      </c>
      <c r="E103">
        <v>1</v>
      </c>
      <c r="F103">
        <v>1</v>
      </c>
      <c r="G103">
        <v>1</v>
      </c>
      <c r="H103">
        <v>1</v>
      </c>
      <c r="I103" t="s">
        <v>536</v>
      </c>
      <c r="J103" t="s">
        <v>3</v>
      </c>
      <c r="K103" t="s">
        <v>537</v>
      </c>
      <c r="L103">
        <v>1369</v>
      </c>
      <c r="N103">
        <v>1013</v>
      </c>
      <c r="O103" t="s">
        <v>430</v>
      </c>
      <c r="P103" t="s">
        <v>430</v>
      </c>
      <c r="Q103">
        <v>1</v>
      </c>
      <c r="X103">
        <v>8.09</v>
      </c>
      <c r="Y103">
        <v>0</v>
      </c>
      <c r="Z103">
        <v>0</v>
      </c>
      <c r="AA103">
        <v>0</v>
      </c>
      <c r="AB103">
        <v>9.4</v>
      </c>
      <c r="AC103">
        <v>0</v>
      </c>
      <c r="AD103">
        <v>1</v>
      </c>
      <c r="AE103">
        <v>1</v>
      </c>
      <c r="AF103" t="s">
        <v>3</v>
      </c>
      <c r="AG103">
        <v>8.09</v>
      </c>
      <c r="AH103">
        <v>2</v>
      </c>
      <c r="AI103">
        <v>84185993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ROW(Source!A165)</f>
        <v>165</v>
      </c>
      <c r="B104">
        <v>84186009</v>
      </c>
      <c r="C104">
        <v>84185992</v>
      </c>
      <c r="D104">
        <v>121548</v>
      </c>
      <c r="E104">
        <v>1</v>
      </c>
      <c r="F104">
        <v>1</v>
      </c>
      <c r="G104">
        <v>1</v>
      </c>
      <c r="H104">
        <v>1</v>
      </c>
      <c r="I104" t="s">
        <v>24</v>
      </c>
      <c r="J104" t="s">
        <v>3</v>
      </c>
      <c r="K104" t="s">
        <v>431</v>
      </c>
      <c r="L104">
        <v>608254</v>
      </c>
      <c r="N104">
        <v>1013</v>
      </c>
      <c r="O104" t="s">
        <v>432</v>
      </c>
      <c r="P104" t="s">
        <v>432</v>
      </c>
      <c r="Q104">
        <v>1</v>
      </c>
      <c r="X104">
        <v>0.66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2</v>
      </c>
      <c r="AF104" t="s">
        <v>3</v>
      </c>
      <c r="AG104">
        <v>0.66</v>
      </c>
      <c r="AH104">
        <v>2</v>
      </c>
      <c r="AI104">
        <v>84185994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ROW(Source!A165)</f>
        <v>165</v>
      </c>
      <c r="B105">
        <v>84186010</v>
      </c>
      <c r="C105">
        <v>84185992</v>
      </c>
      <c r="D105">
        <v>37802443</v>
      </c>
      <c r="E105">
        <v>1</v>
      </c>
      <c r="F105">
        <v>1</v>
      </c>
      <c r="G105">
        <v>1</v>
      </c>
      <c r="H105">
        <v>2</v>
      </c>
      <c r="I105" t="s">
        <v>454</v>
      </c>
      <c r="J105" t="s">
        <v>455</v>
      </c>
      <c r="K105" t="s">
        <v>456</v>
      </c>
      <c r="L105">
        <v>1368</v>
      </c>
      <c r="N105">
        <v>1011</v>
      </c>
      <c r="O105" t="s">
        <v>436</v>
      </c>
      <c r="P105" t="s">
        <v>436</v>
      </c>
      <c r="Q105">
        <v>1</v>
      </c>
      <c r="X105">
        <v>0.66</v>
      </c>
      <c r="Y105">
        <v>0</v>
      </c>
      <c r="Z105">
        <v>124.14</v>
      </c>
      <c r="AA105">
        <v>12.1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0.66</v>
      </c>
      <c r="AH105">
        <v>2</v>
      </c>
      <c r="AI105">
        <v>84185995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ROW(Source!A165)</f>
        <v>165</v>
      </c>
      <c r="B106">
        <v>84186011</v>
      </c>
      <c r="C106">
        <v>84185992</v>
      </c>
      <c r="D106">
        <v>37804456</v>
      </c>
      <c r="E106">
        <v>1</v>
      </c>
      <c r="F106">
        <v>1</v>
      </c>
      <c r="G106">
        <v>1</v>
      </c>
      <c r="H106">
        <v>2</v>
      </c>
      <c r="I106" t="s">
        <v>437</v>
      </c>
      <c r="J106" t="s">
        <v>438</v>
      </c>
      <c r="K106" t="s">
        <v>439</v>
      </c>
      <c r="L106">
        <v>1368</v>
      </c>
      <c r="N106">
        <v>1011</v>
      </c>
      <c r="O106" t="s">
        <v>436</v>
      </c>
      <c r="P106" t="s">
        <v>436</v>
      </c>
      <c r="Q106">
        <v>1</v>
      </c>
      <c r="X106">
        <v>0.41</v>
      </c>
      <c r="Y106">
        <v>0</v>
      </c>
      <c r="Z106">
        <v>91.76</v>
      </c>
      <c r="AA106">
        <v>10.35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0.41</v>
      </c>
      <c r="AH106">
        <v>2</v>
      </c>
      <c r="AI106">
        <v>84185996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ROW(Source!A165)</f>
        <v>165</v>
      </c>
      <c r="B107">
        <v>84186012</v>
      </c>
      <c r="C107">
        <v>84185992</v>
      </c>
      <c r="D107">
        <v>37729879</v>
      </c>
      <c r="E107">
        <v>1</v>
      </c>
      <c r="F107">
        <v>1</v>
      </c>
      <c r="G107">
        <v>1</v>
      </c>
      <c r="H107">
        <v>3</v>
      </c>
      <c r="I107" t="s">
        <v>489</v>
      </c>
      <c r="J107" t="s">
        <v>490</v>
      </c>
      <c r="K107" t="s">
        <v>491</v>
      </c>
      <c r="L107">
        <v>1348</v>
      </c>
      <c r="N107">
        <v>1009</v>
      </c>
      <c r="O107" t="s">
        <v>126</v>
      </c>
      <c r="P107" t="s">
        <v>126</v>
      </c>
      <c r="Q107">
        <v>1000</v>
      </c>
      <c r="X107">
        <v>3.0000000000000001E-5</v>
      </c>
      <c r="Y107">
        <v>9662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3.0000000000000001E-5</v>
      </c>
      <c r="AH107">
        <v>2</v>
      </c>
      <c r="AI107">
        <v>84185997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ROW(Source!A165)</f>
        <v>165</v>
      </c>
      <c r="B108">
        <v>84186013</v>
      </c>
      <c r="C108">
        <v>84185992</v>
      </c>
      <c r="D108">
        <v>37729917</v>
      </c>
      <c r="E108">
        <v>1</v>
      </c>
      <c r="F108">
        <v>1</v>
      </c>
      <c r="G108">
        <v>1</v>
      </c>
      <c r="H108">
        <v>3</v>
      </c>
      <c r="I108" t="s">
        <v>504</v>
      </c>
      <c r="J108" t="s">
        <v>505</v>
      </c>
      <c r="K108" t="s">
        <v>506</v>
      </c>
      <c r="L108">
        <v>1348</v>
      </c>
      <c r="N108">
        <v>1009</v>
      </c>
      <c r="O108" t="s">
        <v>126</v>
      </c>
      <c r="P108" t="s">
        <v>126</v>
      </c>
      <c r="Q108">
        <v>1000</v>
      </c>
      <c r="X108">
        <v>1.2E-4</v>
      </c>
      <c r="Y108">
        <v>6667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1.2E-4</v>
      </c>
      <c r="AH108">
        <v>2</v>
      </c>
      <c r="AI108">
        <v>84185998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ROW(Source!A165)</f>
        <v>165</v>
      </c>
      <c r="B109">
        <v>84186014</v>
      </c>
      <c r="C109">
        <v>84185992</v>
      </c>
      <c r="D109">
        <v>37736859</v>
      </c>
      <c r="E109">
        <v>1</v>
      </c>
      <c r="F109">
        <v>1</v>
      </c>
      <c r="G109">
        <v>1</v>
      </c>
      <c r="H109">
        <v>3</v>
      </c>
      <c r="I109" t="s">
        <v>124</v>
      </c>
      <c r="J109" t="s">
        <v>127</v>
      </c>
      <c r="K109" t="s">
        <v>125</v>
      </c>
      <c r="L109">
        <v>1348</v>
      </c>
      <c r="N109">
        <v>1009</v>
      </c>
      <c r="O109" t="s">
        <v>126</v>
      </c>
      <c r="P109" t="s">
        <v>126</v>
      </c>
      <c r="Q109">
        <v>1000</v>
      </c>
      <c r="X109">
        <v>0</v>
      </c>
      <c r="Y109">
        <v>9040.01</v>
      </c>
      <c r="Z109">
        <v>0</v>
      </c>
      <c r="AA109">
        <v>0</v>
      </c>
      <c r="AB109">
        <v>0</v>
      </c>
      <c r="AC109">
        <v>1</v>
      </c>
      <c r="AD109">
        <v>0</v>
      </c>
      <c r="AE109">
        <v>0</v>
      </c>
      <c r="AF109" t="s">
        <v>3</v>
      </c>
      <c r="AG109">
        <v>0</v>
      </c>
      <c r="AH109">
        <v>2</v>
      </c>
      <c r="AI109">
        <v>84185999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ROW(Source!A165)</f>
        <v>165</v>
      </c>
      <c r="B110">
        <v>84186015</v>
      </c>
      <c r="C110">
        <v>84185992</v>
      </c>
      <c r="D110">
        <v>37729991</v>
      </c>
      <c r="E110">
        <v>1</v>
      </c>
      <c r="F110">
        <v>1</v>
      </c>
      <c r="G110">
        <v>1</v>
      </c>
      <c r="H110">
        <v>3</v>
      </c>
      <c r="I110" t="s">
        <v>492</v>
      </c>
      <c r="J110" t="s">
        <v>493</v>
      </c>
      <c r="K110" t="s">
        <v>494</v>
      </c>
      <c r="L110">
        <v>1346</v>
      </c>
      <c r="N110">
        <v>1009</v>
      </c>
      <c r="O110" t="s">
        <v>148</v>
      </c>
      <c r="P110" t="s">
        <v>148</v>
      </c>
      <c r="Q110">
        <v>1</v>
      </c>
      <c r="X110">
        <v>0.02</v>
      </c>
      <c r="Y110">
        <v>1.82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0.02</v>
      </c>
      <c r="AH110">
        <v>2</v>
      </c>
      <c r="AI110">
        <v>84186000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ROW(Source!A165)</f>
        <v>165</v>
      </c>
      <c r="B111">
        <v>84186016</v>
      </c>
      <c r="C111">
        <v>84185992</v>
      </c>
      <c r="D111">
        <v>37729892</v>
      </c>
      <c r="E111">
        <v>1</v>
      </c>
      <c r="F111">
        <v>1</v>
      </c>
      <c r="G111">
        <v>1</v>
      </c>
      <c r="H111">
        <v>3</v>
      </c>
      <c r="I111" t="s">
        <v>495</v>
      </c>
      <c r="J111" t="s">
        <v>496</v>
      </c>
      <c r="K111" t="s">
        <v>497</v>
      </c>
      <c r="L111">
        <v>1346</v>
      </c>
      <c r="N111">
        <v>1009</v>
      </c>
      <c r="O111" t="s">
        <v>148</v>
      </c>
      <c r="P111" t="s">
        <v>148</v>
      </c>
      <c r="Q111">
        <v>1</v>
      </c>
      <c r="X111">
        <v>0.01</v>
      </c>
      <c r="Y111">
        <v>14.62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0.01</v>
      </c>
      <c r="AH111">
        <v>2</v>
      </c>
      <c r="AI111">
        <v>84186001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ROW(Source!A165)</f>
        <v>165</v>
      </c>
      <c r="B112">
        <v>84186017</v>
      </c>
      <c r="C112">
        <v>84185992</v>
      </c>
      <c r="D112">
        <v>37735757</v>
      </c>
      <c r="E112">
        <v>1</v>
      </c>
      <c r="F112">
        <v>1</v>
      </c>
      <c r="G112">
        <v>1</v>
      </c>
      <c r="H112">
        <v>3</v>
      </c>
      <c r="I112" t="s">
        <v>129</v>
      </c>
      <c r="J112" t="s">
        <v>131</v>
      </c>
      <c r="K112" t="s">
        <v>130</v>
      </c>
      <c r="L112">
        <v>1348</v>
      </c>
      <c r="N112">
        <v>1009</v>
      </c>
      <c r="O112" t="s">
        <v>126</v>
      </c>
      <c r="P112" t="s">
        <v>126</v>
      </c>
      <c r="Q112">
        <v>1000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1</v>
      </c>
      <c r="AD112">
        <v>0</v>
      </c>
      <c r="AE112">
        <v>0</v>
      </c>
      <c r="AF112" t="s">
        <v>3</v>
      </c>
      <c r="AG112">
        <v>0</v>
      </c>
      <c r="AH112">
        <v>2</v>
      </c>
      <c r="AI112">
        <v>84186002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ROW(Source!A165)</f>
        <v>165</v>
      </c>
      <c r="B113">
        <v>84186018</v>
      </c>
      <c r="C113">
        <v>84185992</v>
      </c>
      <c r="D113">
        <v>37744299</v>
      </c>
      <c r="E113">
        <v>1</v>
      </c>
      <c r="F113">
        <v>1</v>
      </c>
      <c r="G113">
        <v>1</v>
      </c>
      <c r="H113">
        <v>3</v>
      </c>
      <c r="I113" t="s">
        <v>133</v>
      </c>
      <c r="J113" t="s">
        <v>136</v>
      </c>
      <c r="K113" t="s">
        <v>134</v>
      </c>
      <c r="L113">
        <v>1354</v>
      </c>
      <c r="N113">
        <v>1010</v>
      </c>
      <c r="O113" t="s">
        <v>135</v>
      </c>
      <c r="P113" t="s">
        <v>135</v>
      </c>
      <c r="Q113">
        <v>1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1</v>
      </c>
      <c r="AD113">
        <v>0</v>
      </c>
      <c r="AE113">
        <v>0</v>
      </c>
      <c r="AF113" t="s">
        <v>3</v>
      </c>
      <c r="AG113">
        <v>0</v>
      </c>
      <c r="AH113">
        <v>2</v>
      </c>
      <c r="AI113">
        <v>84186003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ROW(Source!A165)</f>
        <v>165</v>
      </c>
      <c r="B114">
        <v>84186019</v>
      </c>
      <c r="C114">
        <v>84185992</v>
      </c>
      <c r="D114">
        <v>37745010</v>
      </c>
      <c r="E114">
        <v>1</v>
      </c>
      <c r="F114">
        <v>1</v>
      </c>
      <c r="G114">
        <v>1</v>
      </c>
      <c r="H114">
        <v>3</v>
      </c>
      <c r="I114" t="s">
        <v>498</v>
      </c>
      <c r="J114" t="s">
        <v>499</v>
      </c>
      <c r="K114" t="s">
        <v>500</v>
      </c>
      <c r="L114">
        <v>1348</v>
      </c>
      <c r="N114">
        <v>1009</v>
      </c>
      <c r="O114" t="s">
        <v>126</v>
      </c>
      <c r="P114" t="s">
        <v>126</v>
      </c>
      <c r="Q114">
        <v>1000</v>
      </c>
      <c r="X114">
        <v>1E-4</v>
      </c>
      <c r="Y114">
        <v>9550.01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1E-4</v>
      </c>
      <c r="AH114">
        <v>2</v>
      </c>
      <c r="AI114">
        <v>84186004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ROW(Source!A165)</f>
        <v>165</v>
      </c>
      <c r="B115">
        <v>84186020</v>
      </c>
      <c r="C115">
        <v>84185992</v>
      </c>
      <c r="D115">
        <v>37750429</v>
      </c>
      <c r="E115">
        <v>1</v>
      </c>
      <c r="F115">
        <v>1</v>
      </c>
      <c r="G115">
        <v>1</v>
      </c>
      <c r="H115">
        <v>3</v>
      </c>
      <c r="I115" t="s">
        <v>146</v>
      </c>
      <c r="J115" t="s">
        <v>149</v>
      </c>
      <c r="K115" t="s">
        <v>147</v>
      </c>
      <c r="L115">
        <v>1346</v>
      </c>
      <c r="N115">
        <v>1009</v>
      </c>
      <c r="O115" t="s">
        <v>148</v>
      </c>
      <c r="P115" t="s">
        <v>148</v>
      </c>
      <c r="Q115">
        <v>1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1</v>
      </c>
      <c r="AD115">
        <v>0</v>
      </c>
      <c r="AE115">
        <v>0</v>
      </c>
      <c r="AF115" t="s">
        <v>3</v>
      </c>
      <c r="AG115">
        <v>0</v>
      </c>
      <c r="AH115">
        <v>2</v>
      </c>
      <c r="AI115">
        <v>84186005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ROW(Source!A165)</f>
        <v>165</v>
      </c>
      <c r="B116">
        <v>84186021</v>
      </c>
      <c r="C116">
        <v>84185992</v>
      </c>
      <c r="D116">
        <v>37751168</v>
      </c>
      <c r="E116">
        <v>1</v>
      </c>
      <c r="F116">
        <v>1</v>
      </c>
      <c r="G116">
        <v>1</v>
      </c>
      <c r="H116">
        <v>3</v>
      </c>
      <c r="I116" t="s">
        <v>151</v>
      </c>
      <c r="J116" t="s">
        <v>153</v>
      </c>
      <c r="K116" t="s">
        <v>152</v>
      </c>
      <c r="L116">
        <v>1346</v>
      </c>
      <c r="N116">
        <v>1009</v>
      </c>
      <c r="O116" t="s">
        <v>148</v>
      </c>
      <c r="P116" t="s">
        <v>148</v>
      </c>
      <c r="Q116">
        <v>1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0</v>
      </c>
      <c r="AF116" t="s">
        <v>3</v>
      </c>
      <c r="AG116">
        <v>0</v>
      </c>
      <c r="AH116">
        <v>2</v>
      </c>
      <c r="AI116">
        <v>84186006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ROW(Source!A165)</f>
        <v>165</v>
      </c>
      <c r="B117">
        <v>84186022</v>
      </c>
      <c r="C117">
        <v>84185992</v>
      </c>
      <c r="D117">
        <v>37783476</v>
      </c>
      <c r="E117">
        <v>1</v>
      </c>
      <c r="F117">
        <v>1</v>
      </c>
      <c r="G117">
        <v>1</v>
      </c>
      <c r="H117">
        <v>3</v>
      </c>
      <c r="I117" t="s">
        <v>306</v>
      </c>
      <c r="J117" t="s">
        <v>308</v>
      </c>
      <c r="K117" t="s">
        <v>307</v>
      </c>
      <c r="L117">
        <v>1348</v>
      </c>
      <c r="N117">
        <v>1009</v>
      </c>
      <c r="O117" t="s">
        <v>126</v>
      </c>
      <c r="P117" t="s">
        <v>126</v>
      </c>
      <c r="Q117">
        <v>1000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1</v>
      </c>
      <c r="AD117">
        <v>0</v>
      </c>
      <c r="AE117">
        <v>0</v>
      </c>
      <c r="AF117" t="s">
        <v>3</v>
      </c>
      <c r="AG117">
        <v>0</v>
      </c>
      <c r="AH117">
        <v>2</v>
      </c>
      <c r="AI117">
        <v>84186007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ROW(Source!A181)</f>
        <v>181</v>
      </c>
      <c r="B118">
        <v>84186046</v>
      </c>
      <c r="C118">
        <v>84186038</v>
      </c>
      <c r="D118">
        <v>23135014</v>
      </c>
      <c r="E118">
        <v>1</v>
      </c>
      <c r="F118">
        <v>1</v>
      </c>
      <c r="G118">
        <v>1</v>
      </c>
      <c r="H118">
        <v>1</v>
      </c>
      <c r="I118" t="s">
        <v>507</v>
      </c>
      <c r="J118" t="s">
        <v>3</v>
      </c>
      <c r="K118" t="s">
        <v>508</v>
      </c>
      <c r="L118">
        <v>1369</v>
      </c>
      <c r="N118">
        <v>1013</v>
      </c>
      <c r="O118" t="s">
        <v>430</v>
      </c>
      <c r="P118" t="s">
        <v>430</v>
      </c>
      <c r="Q118">
        <v>1</v>
      </c>
      <c r="X118">
        <v>0.81</v>
      </c>
      <c r="Y118">
        <v>0</v>
      </c>
      <c r="Z118">
        <v>0</v>
      </c>
      <c r="AA118">
        <v>0</v>
      </c>
      <c r="AB118">
        <v>7.9</v>
      </c>
      <c r="AC118">
        <v>0</v>
      </c>
      <c r="AD118">
        <v>1</v>
      </c>
      <c r="AE118">
        <v>1</v>
      </c>
      <c r="AF118" t="s">
        <v>3</v>
      </c>
      <c r="AG118">
        <v>0.81</v>
      </c>
      <c r="AH118">
        <v>2</v>
      </c>
      <c r="AI118">
        <v>84186039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ROW(Source!A181)</f>
        <v>181</v>
      </c>
      <c r="B119">
        <v>84186047</v>
      </c>
      <c r="C119">
        <v>84186038</v>
      </c>
      <c r="D119">
        <v>121548</v>
      </c>
      <c r="E119">
        <v>1</v>
      </c>
      <c r="F119">
        <v>1</v>
      </c>
      <c r="G119">
        <v>1</v>
      </c>
      <c r="H119">
        <v>1</v>
      </c>
      <c r="I119" t="s">
        <v>24</v>
      </c>
      <c r="J119" t="s">
        <v>3</v>
      </c>
      <c r="K119" t="s">
        <v>431</v>
      </c>
      <c r="L119">
        <v>608254</v>
      </c>
      <c r="N119">
        <v>1013</v>
      </c>
      <c r="O119" t="s">
        <v>432</v>
      </c>
      <c r="P119" t="s">
        <v>432</v>
      </c>
      <c r="Q119">
        <v>1</v>
      </c>
      <c r="X119">
        <v>0.61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2</v>
      </c>
      <c r="AF119" t="s">
        <v>3</v>
      </c>
      <c r="AG119">
        <v>0.61</v>
      </c>
      <c r="AH119">
        <v>2</v>
      </c>
      <c r="AI119">
        <v>84186040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ROW(Source!A181)</f>
        <v>181</v>
      </c>
      <c r="B120">
        <v>84186048</v>
      </c>
      <c r="C120">
        <v>84186038</v>
      </c>
      <c r="D120">
        <v>37802644</v>
      </c>
      <c r="E120">
        <v>1</v>
      </c>
      <c r="F120">
        <v>1</v>
      </c>
      <c r="G120">
        <v>1</v>
      </c>
      <c r="H120">
        <v>2</v>
      </c>
      <c r="I120" t="s">
        <v>509</v>
      </c>
      <c r="J120" t="s">
        <v>510</v>
      </c>
      <c r="K120" t="s">
        <v>511</v>
      </c>
      <c r="L120">
        <v>1368</v>
      </c>
      <c r="N120">
        <v>1011</v>
      </c>
      <c r="O120" t="s">
        <v>436</v>
      </c>
      <c r="P120" t="s">
        <v>436</v>
      </c>
      <c r="Q120">
        <v>1</v>
      </c>
      <c r="X120">
        <v>0.19</v>
      </c>
      <c r="Y120">
        <v>0</v>
      </c>
      <c r="Z120">
        <v>14.14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0.19</v>
      </c>
      <c r="AH120">
        <v>2</v>
      </c>
      <c r="AI120">
        <v>84186041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ROW(Source!A181)</f>
        <v>181</v>
      </c>
      <c r="B121">
        <v>84186049</v>
      </c>
      <c r="C121">
        <v>84186038</v>
      </c>
      <c r="D121">
        <v>37802699</v>
      </c>
      <c r="E121">
        <v>1</v>
      </c>
      <c r="F121">
        <v>1</v>
      </c>
      <c r="G121">
        <v>1</v>
      </c>
      <c r="H121">
        <v>2</v>
      </c>
      <c r="I121" t="s">
        <v>512</v>
      </c>
      <c r="J121" t="s">
        <v>513</v>
      </c>
      <c r="K121" t="s">
        <v>514</v>
      </c>
      <c r="L121">
        <v>1368</v>
      </c>
      <c r="N121">
        <v>1011</v>
      </c>
      <c r="O121" t="s">
        <v>436</v>
      </c>
      <c r="P121" t="s">
        <v>436</v>
      </c>
      <c r="Q121">
        <v>1</v>
      </c>
      <c r="X121">
        <v>0.61</v>
      </c>
      <c r="Y121">
        <v>0</v>
      </c>
      <c r="Z121">
        <v>59.38</v>
      </c>
      <c r="AA121">
        <v>9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0.61</v>
      </c>
      <c r="AH121">
        <v>2</v>
      </c>
      <c r="AI121">
        <v>84186042</v>
      </c>
      <c r="AJ121">
        <v>121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ROW(Source!A181)</f>
        <v>181</v>
      </c>
      <c r="B122">
        <v>84186050</v>
      </c>
      <c r="C122">
        <v>84186038</v>
      </c>
      <c r="D122">
        <v>37804144</v>
      </c>
      <c r="E122">
        <v>1</v>
      </c>
      <c r="F122">
        <v>1</v>
      </c>
      <c r="G122">
        <v>1</v>
      </c>
      <c r="H122">
        <v>2</v>
      </c>
      <c r="I122" t="s">
        <v>515</v>
      </c>
      <c r="J122" t="s">
        <v>516</v>
      </c>
      <c r="K122" t="s">
        <v>517</v>
      </c>
      <c r="L122">
        <v>1368</v>
      </c>
      <c r="N122">
        <v>1011</v>
      </c>
      <c r="O122" t="s">
        <v>436</v>
      </c>
      <c r="P122" t="s">
        <v>436</v>
      </c>
      <c r="Q122">
        <v>1</v>
      </c>
      <c r="X122">
        <v>0.61</v>
      </c>
      <c r="Y122">
        <v>0</v>
      </c>
      <c r="Z122">
        <v>100.79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0.61</v>
      </c>
      <c r="AH122">
        <v>2</v>
      </c>
      <c r="AI122">
        <v>84186043</v>
      </c>
      <c r="AJ122">
        <v>122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ROW(Source!A181)</f>
        <v>181</v>
      </c>
      <c r="B123">
        <v>84186051</v>
      </c>
      <c r="C123">
        <v>84186038</v>
      </c>
      <c r="D123">
        <v>37736609</v>
      </c>
      <c r="E123">
        <v>1</v>
      </c>
      <c r="F123">
        <v>1</v>
      </c>
      <c r="G123">
        <v>1</v>
      </c>
      <c r="H123">
        <v>3</v>
      </c>
      <c r="I123" t="s">
        <v>518</v>
      </c>
      <c r="J123" t="s">
        <v>519</v>
      </c>
      <c r="K123" t="s">
        <v>520</v>
      </c>
      <c r="L123">
        <v>1348</v>
      </c>
      <c r="N123">
        <v>1009</v>
      </c>
      <c r="O123" t="s">
        <v>126</v>
      </c>
      <c r="P123" t="s">
        <v>126</v>
      </c>
      <c r="Q123">
        <v>1000</v>
      </c>
      <c r="X123">
        <v>3.0000000000000001E-5</v>
      </c>
      <c r="Y123">
        <v>9750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3.0000000000000001E-5</v>
      </c>
      <c r="AH123">
        <v>2</v>
      </c>
      <c r="AI123">
        <v>84186044</v>
      </c>
      <c r="AJ123">
        <v>123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ROW(Source!A181)</f>
        <v>181</v>
      </c>
      <c r="B124">
        <v>84186052</v>
      </c>
      <c r="C124">
        <v>84186038</v>
      </c>
      <c r="D124">
        <v>37753212</v>
      </c>
      <c r="E124">
        <v>1</v>
      </c>
      <c r="F124">
        <v>1</v>
      </c>
      <c r="G124">
        <v>1</v>
      </c>
      <c r="H124">
        <v>3</v>
      </c>
      <c r="I124" t="s">
        <v>232</v>
      </c>
      <c r="J124" t="s">
        <v>234</v>
      </c>
      <c r="K124" t="s">
        <v>233</v>
      </c>
      <c r="L124">
        <v>1348</v>
      </c>
      <c r="N124">
        <v>1009</v>
      </c>
      <c r="O124" t="s">
        <v>126</v>
      </c>
      <c r="P124" t="s">
        <v>126</v>
      </c>
      <c r="Q124">
        <v>1000</v>
      </c>
      <c r="X124">
        <v>5.0000000000000001E-3</v>
      </c>
      <c r="Y124">
        <v>6594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5.0000000000000001E-3</v>
      </c>
      <c r="AH124">
        <v>2</v>
      </c>
      <c r="AI124">
        <v>84186045</v>
      </c>
      <c r="AJ124">
        <v>124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ROW(Source!A184)</f>
        <v>184</v>
      </c>
      <c r="B125">
        <v>84186058</v>
      </c>
      <c r="C125">
        <v>84186055</v>
      </c>
      <c r="D125">
        <v>23351395</v>
      </c>
      <c r="E125">
        <v>1</v>
      </c>
      <c r="F125">
        <v>1</v>
      </c>
      <c r="G125">
        <v>1</v>
      </c>
      <c r="H125">
        <v>1</v>
      </c>
      <c r="I125" t="s">
        <v>440</v>
      </c>
      <c r="J125" t="s">
        <v>3</v>
      </c>
      <c r="K125" t="s">
        <v>441</v>
      </c>
      <c r="L125">
        <v>1369</v>
      </c>
      <c r="N125">
        <v>1013</v>
      </c>
      <c r="O125" t="s">
        <v>430</v>
      </c>
      <c r="P125" t="s">
        <v>430</v>
      </c>
      <c r="Q125">
        <v>1</v>
      </c>
      <c r="X125">
        <v>15.12</v>
      </c>
      <c r="Y125">
        <v>0</v>
      </c>
      <c r="Z125">
        <v>0</v>
      </c>
      <c r="AA125">
        <v>0</v>
      </c>
      <c r="AB125">
        <v>8.99</v>
      </c>
      <c r="AC125">
        <v>0</v>
      </c>
      <c r="AD125">
        <v>1</v>
      </c>
      <c r="AE125">
        <v>1</v>
      </c>
      <c r="AF125" t="s">
        <v>3</v>
      </c>
      <c r="AG125">
        <v>15.12</v>
      </c>
      <c r="AH125">
        <v>2</v>
      </c>
      <c r="AI125">
        <v>84186056</v>
      </c>
      <c r="AJ125">
        <v>125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ROW(Source!A184)</f>
        <v>184</v>
      </c>
      <c r="B126">
        <v>84186059</v>
      </c>
      <c r="C126">
        <v>84186055</v>
      </c>
      <c r="D126">
        <v>37801918</v>
      </c>
      <c r="E126">
        <v>1</v>
      </c>
      <c r="F126">
        <v>1</v>
      </c>
      <c r="G126">
        <v>1</v>
      </c>
      <c r="H126">
        <v>3</v>
      </c>
      <c r="I126" t="s">
        <v>442</v>
      </c>
      <c r="J126" t="s">
        <v>443</v>
      </c>
      <c r="K126" t="s">
        <v>444</v>
      </c>
      <c r="L126">
        <v>1374</v>
      </c>
      <c r="N126">
        <v>1013</v>
      </c>
      <c r="O126" t="s">
        <v>445</v>
      </c>
      <c r="P126" t="s">
        <v>445</v>
      </c>
      <c r="Q126">
        <v>1</v>
      </c>
      <c r="X126">
        <v>2.72</v>
      </c>
      <c r="Y126">
        <v>1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2.72</v>
      </c>
      <c r="AH126">
        <v>2</v>
      </c>
      <c r="AI126">
        <v>84186057</v>
      </c>
      <c r="AJ126">
        <v>126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ROW(Source!A229)</f>
        <v>229</v>
      </c>
      <c r="B127">
        <v>84186075</v>
      </c>
      <c r="C127">
        <v>84186060</v>
      </c>
      <c r="D127">
        <v>23134628</v>
      </c>
      <c r="E127">
        <v>1</v>
      </c>
      <c r="F127">
        <v>1</v>
      </c>
      <c r="G127">
        <v>1</v>
      </c>
      <c r="H127">
        <v>1</v>
      </c>
      <c r="I127" t="s">
        <v>538</v>
      </c>
      <c r="J127" t="s">
        <v>3</v>
      </c>
      <c r="K127" t="s">
        <v>539</v>
      </c>
      <c r="L127">
        <v>1369</v>
      </c>
      <c r="N127">
        <v>1013</v>
      </c>
      <c r="O127" t="s">
        <v>430</v>
      </c>
      <c r="P127" t="s">
        <v>430</v>
      </c>
      <c r="Q127">
        <v>1</v>
      </c>
      <c r="X127">
        <v>48.94</v>
      </c>
      <c r="Y127">
        <v>0</v>
      </c>
      <c r="Z127">
        <v>0</v>
      </c>
      <c r="AA127">
        <v>0</v>
      </c>
      <c r="AB127">
        <v>8.68</v>
      </c>
      <c r="AC127">
        <v>0</v>
      </c>
      <c r="AD127">
        <v>1</v>
      </c>
      <c r="AE127">
        <v>1</v>
      </c>
      <c r="AF127" t="s">
        <v>3</v>
      </c>
      <c r="AG127">
        <v>48.94</v>
      </c>
      <c r="AH127">
        <v>2</v>
      </c>
      <c r="AI127">
        <v>84186061</v>
      </c>
      <c r="AJ127">
        <v>127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ROW(Source!A229)</f>
        <v>229</v>
      </c>
      <c r="B128">
        <v>84186076</v>
      </c>
      <c r="C128">
        <v>84186060</v>
      </c>
      <c r="D128">
        <v>121548</v>
      </c>
      <c r="E128">
        <v>1</v>
      </c>
      <c r="F128">
        <v>1</v>
      </c>
      <c r="G128">
        <v>1</v>
      </c>
      <c r="H128">
        <v>1</v>
      </c>
      <c r="I128" t="s">
        <v>24</v>
      </c>
      <c r="J128" t="s">
        <v>3</v>
      </c>
      <c r="K128" t="s">
        <v>431</v>
      </c>
      <c r="L128">
        <v>608254</v>
      </c>
      <c r="N128">
        <v>1013</v>
      </c>
      <c r="O128" t="s">
        <v>432</v>
      </c>
      <c r="P128" t="s">
        <v>432</v>
      </c>
      <c r="Q128">
        <v>1</v>
      </c>
      <c r="X128">
        <v>14.19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3</v>
      </c>
      <c r="AG128">
        <v>14.19</v>
      </c>
      <c r="AH128">
        <v>2</v>
      </c>
      <c r="AI128">
        <v>84186062</v>
      </c>
      <c r="AJ128">
        <v>128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ROW(Source!A229)</f>
        <v>229</v>
      </c>
      <c r="B129">
        <v>84186077</v>
      </c>
      <c r="C129">
        <v>84186060</v>
      </c>
      <c r="D129">
        <v>37802345</v>
      </c>
      <c r="E129">
        <v>1</v>
      </c>
      <c r="F129">
        <v>1</v>
      </c>
      <c r="G129">
        <v>1</v>
      </c>
      <c r="H129">
        <v>2</v>
      </c>
      <c r="I129" t="s">
        <v>451</v>
      </c>
      <c r="J129" t="s">
        <v>452</v>
      </c>
      <c r="K129" t="s">
        <v>453</v>
      </c>
      <c r="L129">
        <v>1368</v>
      </c>
      <c r="N129">
        <v>1011</v>
      </c>
      <c r="O129" t="s">
        <v>436</v>
      </c>
      <c r="P129" t="s">
        <v>436</v>
      </c>
      <c r="Q129">
        <v>1</v>
      </c>
      <c r="X129">
        <v>7.56</v>
      </c>
      <c r="Y129">
        <v>0</v>
      </c>
      <c r="Z129">
        <v>72.239999999999995</v>
      </c>
      <c r="AA129">
        <v>12.1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7.56</v>
      </c>
      <c r="AH129">
        <v>2</v>
      </c>
      <c r="AI129">
        <v>84186063</v>
      </c>
      <c r="AJ129">
        <v>129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ROW(Source!A229)</f>
        <v>229</v>
      </c>
      <c r="B130">
        <v>84186078</v>
      </c>
      <c r="C130">
        <v>84186060</v>
      </c>
      <c r="D130">
        <v>37802579</v>
      </c>
      <c r="E130">
        <v>1</v>
      </c>
      <c r="F130">
        <v>1</v>
      </c>
      <c r="G130">
        <v>1</v>
      </c>
      <c r="H130">
        <v>2</v>
      </c>
      <c r="I130" t="s">
        <v>433</v>
      </c>
      <c r="J130" t="s">
        <v>434</v>
      </c>
      <c r="K130" t="s">
        <v>435</v>
      </c>
      <c r="L130">
        <v>1368</v>
      </c>
      <c r="N130">
        <v>1011</v>
      </c>
      <c r="O130" t="s">
        <v>436</v>
      </c>
      <c r="P130" t="s">
        <v>436</v>
      </c>
      <c r="Q130">
        <v>1</v>
      </c>
      <c r="X130">
        <v>6.63</v>
      </c>
      <c r="Y130">
        <v>0</v>
      </c>
      <c r="Z130">
        <v>85.64</v>
      </c>
      <c r="AA130">
        <v>9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6.63</v>
      </c>
      <c r="AH130">
        <v>2</v>
      </c>
      <c r="AI130">
        <v>84186064</v>
      </c>
      <c r="AJ130">
        <v>130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ROW(Source!A229)</f>
        <v>229</v>
      </c>
      <c r="B131">
        <v>84186079</v>
      </c>
      <c r="C131">
        <v>84186060</v>
      </c>
      <c r="D131">
        <v>37804456</v>
      </c>
      <c r="E131">
        <v>1</v>
      </c>
      <c r="F131">
        <v>1</v>
      </c>
      <c r="G131">
        <v>1</v>
      </c>
      <c r="H131">
        <v>2</v>
      </c>
      <c r="I131" t="s">
        <v>437</v>
      </c>
      <c r="J131" t="s">
        <v>438</v>
      </c>
      <c r="K131" t="s">
        <v>439</v>
      </c>
      <c r="L131">
        <v>1368</v>
      </c>
      <c r="N131">
        <v>1011</v>
      </c>
      <c r="O131" t="s">
        <v>436</v>
      </c>
      <c r="P131" t="s">
        <v>436</v>
      </c>
      <c r="Q131">
        <v>1</v>
      </c>
      <c r="X131">
        <v>2.4500000000000002</v>
      </c>
      <c r="Y131">
        <v>0</v>
      </c>
      <c r="Z131">
        <v>91.76</v>
      </c>
      <c r="AA131">
        <v>10.35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2.4500000000000002</v>
      </c>
      <c r="AH131">
        <v>2</v>
      </c>
      <c r="AI131">
        <v>84186065</v>
      </c>
      <c r="AJ131">
        <v>131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ROW(Source!A229)</f>
        <v>229</v>
      </c>
      <c r="B132">
        <v>84186080</v>
      </c>
      <c r="C132">
        <v>84186060</v>
      </c>
      <c r="D132">
        <v>37729917</v>
      </c>
      <c r="E132">
        <v>1</v>
      </c>
      <c r="F132">
        <v>1</v>
      </c>
      <c r="G132">
        <v>1</v>
      </c>
      <c r="H132">
        <v>3</v>
      </c>
      <c r="I132" t="s">
        <v>504</v>
      </c>
      <c r="J132" t="s">
        <v>505</v>
      </c>
      <c r="K132" t="s">
        <v>506</v>
      </c>
      <c r="L132">
        <v>1348</v>
      </c>
      <c r="N132">
        <v>1009</v>
      </c>
      <c r="O132" t="s">
        <v>126</v>
      </c>
      <c r="P132" t="s">
        <v>126</v>
      </c>
      <c r="Q132">
        <v>1000</v>
      </c>
      <c r="X132">
        <v>2.2000000000000001E-4</v>
      </c>
      <c r="Y132">
        <v>6667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2.2000000000000001E-4</v>
      </c>
      <c r="AH132">
        <v>2</v>
      </c>
      <c r="AI132">
        <v>84186066</v>
      </c>
      <c r="AJ132">
        <v>132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ROW(Source!A229)</f>
        <v>229</v>
      </c>
      <c r="B133">
        <v>84186081</v>
      </c>
      <c r="C133">
        <v>84186060</v>
      </c>
      <c r="D133">
        <v>37729633</v>
      </c>
      <c r="E133">
        <v>1</v>
      </c>
      <c r="F133">
        <v>1</v>
      </c>
      <c r="G133">
        <v>1</v>
      </c>
      <c r="H133">
        <v>3</v>
      </c>
      <c r="I133" t="s">
        <v>540</v>
      </c>
      <c r="J133" t="s">
        <v>541</v>
      </c>
      <c r="K133" t="s">
        <v>542</v>
      </c>
      <c r="L133">
        <v>1348</v>
      </c>
      <c r="N133">
        <v>1009</v>
      </c>
      <c r="O133" t="s">
        <v>126</v>
      </c>
      <c r="P133" t="s">
        <v>126</v>
      </c>
      <c r="Q133">
        <v>1000</v>
      </c>
      <c r="X133">
        <v>6.0000000000000002E-5</v>
      </c>
      <c r="Y133">
        <v>6144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6.0000000000000002E-5</v>
      </c>
      <c r="AH133">
        <v>2</v>
      </c>
      <c r="AI133">
        <v>84186067</v>
      </c>
      <c r="AJ133">
        <v>133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ROW(Source!A229)</f>
        <v>229</v>
      </c>
      <c r="B134">
        <v>84186082</v>
      </c>
      <c r="C134">
        <v>84186060</v>
      </c>
      <c r="D134">
        <v>37729991</v>
      </c>
      <c r="E134">
        <v>1</v>
      </c>
      <c r="F134">
        <v>1</v>
      </c>
      <c r="G134">
        <v>1</v>
      </c>
      <c r="H134">
        <v>3</v>
      </c>
      <c r="I134" t="s">
        <v>492</v>
      </c>
      <c r="J134" t="s">
        <v>493</v>
      </c>
      <c r="K134" t="s">
        <v>494</v>
      </c>
      <c r="L134">
        <v>1346</v>
      </c>
      <c r="N134">
        <v>1009</v>
      </c>
      <c r="O134" t="s">
        <v>148</v>
      </c>
      <c r="P134" t="s">
        <v>148</v>
      </c>
      <c r="Q134">
        <v>1</v>
      </c>
      <c r="X134">
        <v>0.05</v>
      </c>
      <c r="Y134">
        <v>1.82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0.05</v>
      </c>
      <c r="AH134">
        <v>2</v>
      </c>
      <c r="AI134">
        <v>84186068</v>
      </c>
      <c r="AJ134">
        <v>134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ROW(Source!A229)</f>
        <v>229</v>
      </c>
      <c r="B135">
        <v>84186083</v>
      </c>
      <c r="C135">
        <v>84186060</v>
      </c>
      <c r="D135">
        <v>37729892</v>
      </c>
      <c r="E135">
        <v>1</v>
      </c>
      <c r="F135">
        <v>1</v>
      </c>
      <c r="G135">
        <v>1</v>
      </c>
      <c r="H135">
        <v>3</v>
      </c>
      <c r="I135" t="s">
        <v>495</v>
      </c>
      <c r="J135" t="s">
        <v>496</v>
      </c>
      <c r="K135" t="s">
        <v>497</v>
      </c>
      <c r="L135">
        <v>1346</v>
      </c>
      <c r="N135">
        <v>1009</v>
      </c>
      <c r="O135" t="s">
        <v>148</v>
      </c>
      <c r="P135" t="s">
        <v>148</v>
      </c>
      <c r="Q135">
        <v>1</v>
      </c>
      <c r="X135">
        <v>0.1</v>
      </c>
      <c r="Y135">
        <v>14.62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84186069</v>
      </c>
      <c r="AJ135">
        <v>135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ROW(Source!A229)</f>
        <v>229</v>
      </c>
      <c r="B136">
        <v>84186084</v>
      </c>
      <c r="C136">
        <v>84186060</v>
      </c>
      <c r="D136">
        <v>37744087</v>
      </c>
      <c r="E136">
        <v>1</v>
      </c>
      <c r="F136">
        <v>1</v>
      </c>
      <c r="G136">
        <v>1</v>
      </c>
      <c r="H136">
        <v>3</v>
      </c>
      <c r="I136" t="s">
        <v>347</v>
      </c>
      <c r="J136" t="s">
        <v>349</v>
      </c>
      <c r="K136" t="s">
        <v>348</v>
      </c>
      <c r="L136">
        <v>1348</v>
      </c>
      <c r="N136">
        <v>1009</v>
      </c>
      <c r="O136" t="s">
        <v>126</v>
      </c>
      <c r="P136" t="s">
        <v>126</v>
      </c>
      <c r="Q136">
        <v>1000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1</v>
      </c>
      <c r="AD136">
        <v>0</v>
      </c>
      <c r="AE136">
        <v>0</v>
      </c>
      <c r="AF136" t="s">
        <v>3</v>
      </c>
      <c r="AG136">
        <v>0</v>
      </c>
      <c r="AH136">
        <v>2</v>
      </c>
      <c r="AI136">
        <v>84186070</v>
      </c>
      <c r="AJ136">
        <v>136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ROW(Source!A229)</f>
        <v>229</v>
      </c>
      <c r="B137">
        <v>84186085</v>
      </c>
      <c r="C137">
        <v>84186060</v>
      </c>
      <c r="D137">
        <v>37744375</v>
      </c>
      <c r="E137">
        <v>1</v>
      </c>
      <c r="F137">
        <v>1</v>
      </c>
      <c r="G137">
        <v>1</v>
      </c>
      <c r="H137">
        <v>3</v>
      </c>
      <c r="I137" t="s">
        <v>351</v>
      </c>
      <c r="J137" t="s">
        <v>353</v>
      </c>
      <c r="K137" t="s">
        <v>352</v>
      </c>
      <c r="L137">
        <v>1348</v>
      </c>
      <c r="N137">
        <v>1009</v>
      </c>
      <c r="O137" t="s">
        <v>126</v>
      </c>
      <c r="P137" t="s">
        <v>126</v>
      </c>
      <c r="Q137">
        <v>1000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1</v>
      </c>
      <c r="AD137">
        <v>0</v>
      </c>
      <c r="AE137">
        <v>0</v>
      </c>
      <c r="AF137" t="s">
        <v>3</v>
      </c>
      <c r="AG137">
        <v>0</v>
      </c>
      <c r="AH137">
        <v>2</v>
      </c>
      <c r="AI137">
        <v>84186071</v>
      </c>
      <c r="AJ137">
        <v>137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ROW(Source!A229)</f>
        <v>229</v>
      </c>
      <c r="B138">
        <v>84186086</v>
      </c>
      <c r="C138">
        <v>84186060</v>
      </c>
      <c r="D138">
        <v>37783476</v>
      </c>
      <c r="E138">
        <v>1</v>
      </c>
      <c r="F138">
        <v>1</v>
      </c>
      <c r="G138">
        <v>1</v>
      </c>
      <c r="H138">
        <v>3</v>
      </c>
      <c r="I138" t="s">
        <v>306</v>
      </c>
      <c r="J138" t="s">
        <v>308</v>
      </c>
      <c r="K138" t="s">
        <v>307</v>
      </c>
      <c r="L138">
        <v>1348</v>
      </c>
      <c r="N138">
        <v>1009</v>
      </c>
      <c r="O138" t="s">
        <v>126</v>
      </c>
      <c r="P138" t="s">
        <v>126</v>
      </c>
      <c r="Q138">
        <v>1000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1</v>
      </c>
      <c r="AD138">
        <v>0</v>
      </c>
      <c r="AE138">
        <v>0</v>
      </c>
      <c r="AF138" t="s">
        <v>3</v>
      </c>
      <c r="AG138">
        <v>0</v>
      </c>
      <c r="AH138">
        <v>2</v>
      </c>
      <c r="AI138">
        <v>84186072</v>
      </c>
      <c r="AJ138">
        <v>138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ROW(Source!A229)</f>
        <v>229</v>
      </c>
      <c r="B139">
        <v>84186087</v>
      </c>
      <c r="C139">
        <v>84186060</v>
      </c>
      <c r="D139">
        <v>37785254</v>
      </c>
      <c r="E139">
        <v>1</v>
      </c>
      <c r="F139">
        <v>1</v>
      </c>
      <c r="G139">
        <v>1</v>
      </c>
      <c r="H139">
        <v>3</v>
      </c>
      <c r="I139" t="s">
        <v>543</v>
      </c>
      <c r="J139" t="s">
        <v>544</v>
      </c>
      <c r="K139" t="s">
        <v>545</v>
      </c>
      <c r="L139">
        <v>1348</v>
      </c>
      <c r="N139">
        <v>1009</v>
      </c>
      <c r="O139" t="s">
        <v>126</v>
      </c>
      <c r="P139" t="s">
        <v>126</v>
      </c>
      <c r="Q139">
        <v>1000</v>
      </c>
      <c r="X139">
        <v>2E-3</v>
      </c>
      <c r="Y139">
        <v>29627.5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2E-3</v>
      </c>
      <c r="AH139">
        <v>2</v>
      </c>
      <c r="AI139">
        <v>84186073</v>
      </c>
      <c r="AJ139">
        <v>139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ROW(Source!A229)</f>
        <v>229</v>
      </c>
      <c r="B140">
        <v>84186088</v>
      </c>
      <c r="C140">
        <v>84186060</v>
      </c>
      <c r="D140">
        <v>37794662</v>
      </c>
      <c r="E140">
        <v>1</v>
      </c>
      <c r="F140">
        <v>1</v>
      </c>
      <c r="G140">
        <v>1</v>
      </c>
      <c r="H140">
        <v>3</v>
      </c>
      <c r="I140" t="s">
        <v>546</v>
      </c>
      <c r="J140" t="s">
        <v>547</v>
      </c>
      <c r="K140" t="s">
        <v>548</v>
      </c>
      <c r="L140">
        <v>1354</v>
      </c>
      <c r="N140">
        <v>1010</v>
      </c>
      <c r="O140" t="s">
        <v>135</v>
      </c>
      <c r="P140" t="s">
        <v>135</v>
      </c>
      <c r="Q140">
        <v>1</v>
      </c>
      <c r="X140">
        <v>3.4</v>
      </c>
      <c r="Y140">
        <v>79.599999999999994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3.4</v>
      </c>
      <c r="AH140">
        <v>2</v>
      </c>
      <c r="AI140">
        <v>84186074</v>
      </c>
      <c r="AJ140">
        <v>140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для ТЕР ЧР</vt:lpstr>
      <vt:lpstr>RV_DATA</vt:lpstr>
      <vt:lpstr>Расчет стоимости ресурсов</vt:lpstr>
      <vt:lpstr>Акт КС-2 для ТЕР ЧР</vt:lpstr>
      <vt:lpstr>Макет форма-3</vt:lpstr>
      <vt:lpstr>Source</vt:lpstr>
      <vt:lpstr>SourceObSm</vt:lpstr>
      <vt:lpstr>SmtRes</vt:lpstr>
      <vt:lpstr>EtalonRes</vt:lpstr>
      <vt:lpstr>SrcKA</vt:lpstr>
      <vt:lpstr>'Акт КС-2 для ТЕР ЧР'!Заголовки_для_печати</vt:lpstr>
      <vt:lpstr>'Расчет стоимости ресурсов'!Заголовки_для_печати</vt:lpstr>
      <vt:lpstr>'Смета для ТЕР ЧР'!Заголовки_для_печати</vt:lpstr>
      <vt:lpstr>'Акт КС-2 для ТЕР ЧР'!Область_печати</vt:lpstr>
      <vt:lpstr>'Расчет стоимости ресурсов'!Область_печати</vt:lpstr>
      <vt:lpstr>'Смета для ТЕР ЧР'!Область_печати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Плотникова Татьяна Александровна</cp:lastModifiedBy>
  <cp:lastPrinted>2024-08-09T10:29:09Z</cp:lastPrinted>
  <dcterms:created xsi:type="dcterms:W3CDTF">2024-08-06T11:10:29Z</dcterms:created>
  <dcterms:modified xsi:type="dcterms:W3CDTF">2024-08-19T13:31:24Z</dcterms:modified>
</cp:coreProperties>
</file>