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ОТиКС\4. Договора подряда\19. Установка реклоузеров\"/>
    </mc:Choice>
  </mc:AlternateContent>
  <xr:revisionPtr revIDLastSave="0" documentId="13_ncr:1_{DB0FEB6A-604F-4A71-B9DD-C7DFB932C3C5}" xr6:coauthVersionLast="47" xr6:coauthVersionMax="47" xr10:uidLastSave="{00000000-0000-0000-0000-000000000000}"/>
  <bookViews>
    <workbookView xWindow="-120" yWindow="-120" windowWidth="29040" windowHeight="15840" xr2:uid="{26A7CDC9-1A93-4A61-BAEA-C158581C44B5}"/>
  </bookViews>
  <sheets>
    <sheet name="Смета для ТЕР ЧР" sheetId="6" r:id="rId1"/>
    <sheet name="RV_DATA" sheetId="8" state="hidden" r:id="rId2"/>
    <sheet name="Расчет стоимости ресурсов" sheetId="7" r:id="rId3"/>
    <sheet name="Акт КС-2 для ТЕР ЧР" sheetId="9" r:id="rId4"/>
    <sheet name="Макет форма-3" sheetId="10" r:id="rId5"/>
    <sheet name="Source" sheetId="1" r:id="rId6"/>
    <sheet name="SourceObSm" sheetId="2" r:id="rId7"/>
    <sheet name="SmtRes" sheetId="3" r:id="rId8"/>
    <sheet name="EtalonRes" sheetId="4" r:id="rId9"/>
    <sheet name="SrcKA" sheetId="5" r:id="rId10"/>
  </sheets>
  <externalReferences>
    <externalReference r:id="rId11"/>
  </externalReferences>
  <definedNames>
    <definedName name="_xlnm.Print_Titles" localSheetId="3">'Акт КС-2 для ТЕР ЧР'!$34:$34</definedName>
    <definedName name="_xlnm.Print_Titles" localSheetId="2">'Расчет стоимости ресурсов'!$4:$7</definedName>
    <definedName name="_xlnm.Print_Titles" localSheetId="0">'Смета для ТЕР ЧР'!$36:$36</definedName>
    <definedName name="_xlnm.Print_Area" localSheetId="3">'Акт КС-2 для ТЕР ЧР'!$A$1:$M$293</definedName>
    <definedName name="_xlnm.Print_Area" localSheetId="2">'Расчет стоимости ресурсов'!$A$1:$F$45</definedName>
    <definedName name="_xlnm.Print_Area" localSheetId="0">'Смета для ТЕР ЧР'!$A$1:$L$290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6" l="1"/>
  <c r="B15" i="6"/>
  <c r="A1" i="10"/>
  <c r="I291" i="9"/>
  <c r="I287" i="9"/>
  <c r="D291" i="9"/>
  <c r="D287" i="9"/>
  <c r="D283" i="9"/>
  <c r="D282" i="9"/>
  <c r="D281" i="9"/>
  <c r="D280" i="9"/>
  <c r="D279" i="9"/>
  <c r="D278" i="9"/>
  <c r="D277" i="9"/>
  <c r="D276" i="9"/>
  <c r="D275" i="9"/>
  <c r="D270" i="9"/>
  <c r="D269" i="9"/>
  <c r="D268" i="9"/>
  <c r="D267" i="9"/>
  <c r="D266" i="9"/>
  <c r="D265" i="9"/>
  <c r="D264" i="9"/>
  <c r="D263" i="9"/>
  <c r="D262" i="9"/>
  <c r="D257" i="9"/>
  <c r="D256" i="9"/>
  <c r="D255" i="9"/>
  <c r="D254" i="9"/>
  <c r="D253" i="9"/>
  <c r="D252" i="9"/>
  <c r="D251" i="9"/>
  <c r="D250" i="9"/>
  <c r="D249" i="9"/>
  <c r="Z245" i="9"/>
  <c r="Y245" i="9"/>
  <c r="X245" i="9"/>
  <c r="K244" i="9"/>
  <c r="H244" i="9"/>
  <c r="G244" i="9"/>
  <c r="G243" i="9"/>
  <c r="F243" i="9"/>
  <c r="E243" i="9"/>
  <c r="J243" i="9"/>
  <c r="D243" i="9"/>
  <c r="C243" i="9"/>
  <c r="B243" i="9"/>
  <c r="Z242" i="9"/>
  <c r="Y242" i="9"/>
  <c r="W242" i="9"/>
  <c r="K241" i="9"/>
  <c r="H241" i="9"/>
  <c r="G241" i="9"/>
  <c r="G239" i="9"/>
  <c r="E239" i="9"/>
  <c r="J239" i="9"/>
  <c r="D239" i="9"/>
  <c r="C239" i="9"/>
  <c r="B239" i="9"/>
  <c r="Z238" i="9"/>
  <c r="Y238" i="9"/>
  <c r="W238" i="9"/>
  <c r="K237" i="9"/>
  <c r="H237" i="9"/>
  <c r="G237" i="9"/>
  <c r="G236" i="9"/>
  <c r="F236" i="9"/>
  <c r="E236" i="9"/>
  <c r="J236" i="9"/>
  <c r="D236" i="9"/>
  <c r="C236" i="9"/>
  <c r="B236" i="9"/>
  <c r="Z235" i="9"/>
  <c r="Y235" i="9"/>
  <c r="X235" i="9"/>
  <c r="H234" i="9"/>
  <c r="F234" i="9"/>
  <c r="K233" i="9"/>
  <c r="F233" i="9"/>
  <c r="K232" i="9"/>
  <c r="F232" i="9"/>
  <c r="K231" i="9"/>
  <c r="H231" i="9"/>
  <c r="G231" i="9"/>
  <c r="K230" i="9"/>
  <c r="H230" i="9"/>
  <c r="G230" i="9"/>
  <c r="K229" i="9"/>
  <c r="H229" i="9"/>
  <c r="G229" i="9"/>
  <c r="K228" i="9"/>
  <c r="H228" i="9"/>
  <c r="G228" i="9"/>
  <c r="G226" i="9"/>
  <c r="E226" i="9"/>
  <c r="J226" i="9"/>
  <c r="D226" i="9"/>
  <c r="C226" i="9"/>
  <c r="B226" i="9"/>
  <c r="AE225" i="9"/>
  <c r="A225" i="9"/>
  <c r="D222" i="9"/>
  <c r="D221" i="9"/>
  <c r="D220" i="9"/>
  <c r="D219" i="9"/>
  <c r="D218" i="9"/>
  <c r="D217" i="9"/>
  <c r="D216" i="9"/>
  <c r="D215" i="9"/>
  <c r="D214" i="9"/>
  <c r="Y210" i="9"/>
  <c r="X210" i="9"/>
  <c r="W210" i="9"/>
  <c r="H209" i="9"/>
  <c r="F209" i="9"/>
  <c r="K208" i="9"/>
  <c r="F208" i="9"/>
  <c r="K207" i="9"/>
  <c r="F207" i="9"/>
  <c r="K206" i="9"/>
  <c r="H206" i="9"/>
  <c r="G206" i="9"/>
  <c r="G204" i="9"/>
  <c r="E204" i="9"/>
  <c r="J204" i="9"/>
  <c r="D204" i="9"/>
  <c r="C204" i="9"/>
  <c r="B204" i="9"/>
  <c r="Y203" i="9"/>
  <c r="X203" i="9"/>
  <c r="W203" i="9"/>
  <c r="H202" i="9"/>
  <c r="F202" i="9"/>
  <c r="K201" i="9"/>
  <c r="F201" i="9"/>
  <c r="K200" i="9"/>
  <c r="F200" i="9"/>
  <c r="K199" i="9"/>
  <c r="H199" i="9"/>
  <c r="G199" i="9"/>
  <c r="G198" i="9"/>
  <c r="F198" i="9"/>
  <c r="E198" i="9"/>
  <c r="J198" i="9"/>
  <c r="D198" i="9"/>
  <c r="C198" i="9"/>
  <c r="B198" i="9"/>
  <c r="Z197" i="9"/>
  <c r="Y197" i="9"/>
  <c r="X197" i="9"/>
  <c r="K196" i="9"/>
  <c r="H196" i="9"/>
  <c r="G196" i="9"/>
  <c r="G194" i="9"/>
  <c r="E194" i="9"/>
  <c r="J194" i="9"/>
  <c r="D194" i="9"/>
  <c r="C194" i="9"/>
  <c r="B194" i="9"/>
  <c r="Z193" i="9"/>
  <c r="Y193" i="9"/>
  <c r="X193" i="9"/>
  <c r="K192" i="9"/>
  <c r="Y192" i="9"/>
  <c r="G192" i="9"/>
  <c r="E192" i="9"/>
  <c r="C192" i="9"/>
  <c r="B192" i="9"/>
  <c r="H191" i="9"/>
  <c r="F191" i="9"/>
  <c r="K190" i="9"/>
  <c r="F190" i="9"/>
  <c r="K189" i="9"/>
  <c r="F189" i="9"/>
  <c r="K188" i="9"/>
  <c r="H188" i="9"/>
  <c r="G188" i="9"/>
  <c r="K187" i="9"/>
  <c r="H187" i="9"/>
  <c r="G187" i="9"/>
  <c r="K186" i="9"/>
  <c r="H186" i="9"/>
  <c r="G186" i="9"/>
  <c r="K185" i="9"/>
  <c r="H185" i="9"/>
  <c r="G185" i="9"/>
  <c r="G184" i="9"/>
  <c r="F184" i="9"/>
  <c r="E184" i="9"/>
  <c r="J184" i="9"/>
  <c r="D184" i="9"/>
  <c r="C184" i="9"/>
  <c r="B184" i="9"/>
  <c r="Z183" i="9"/>
  <c r="Y183" i="9"/>
  <c r="X183" i="9"/>
  <c r="K182" i="9"/>
  <c r="H182" i="9"/>
  <c r="G182" i="9"/>
  <c r="G181" i="9"/>
  <c r="F181" i="9"/>
  <c r="E181" i="9"/>
  <c r="J181" i="9"/>
  <c r="D181" i="9"/>
  <c r="C181" i="9"/>
  <c r="B181" i="9"/>
  <c r="Z180" i="9"/>
  <c r="Y180" i="9"/>
  <c r="W180" i="9"/>
  <c r="H179" i="9"/>
  <c r="F179" i="9"/>
  <c r="K178" i="9"/>
  <c r="F178" i="9"/>
  <c r="K177" i="9"/>
  <c r="F177" i="9"/>
  <c r="K176" i="9"/>
  <c r="H176" i="9"/>
  <c r="G176" i="9"/>
  <c r="K175" i="9"/>
  <c r="H175" i="9"/>
  <c r="G175" i="9"/>
  <c r="K174" i="9"/>
  <c r="H174" i="9"/>
  <c r="G174" i="9"/>
  <c r="K173" i="9"/>
  <c r="H173" i="9"/>
  <c r="G173" i="9"/>
  <c r="G171" i="9"/>
  <c r="E171" i="9"/>
  <c r="J171" i="9"/>
  <c r="D171" i="9"/>
  <c r="C171" i="9"/>
  <c r="B171" i="9"/>
  <c r="Z170" i="9"/>
  <c r="Y170" i="9"/>
  <c r="X170" i="9"/>
  <c r="H169" i="9"/>
  <c r="F169" i="9"/>
  <c r="K168" i="9"/>
  <c r="F168" i="9"/>
  <c r="K167" i="9"/>
  <c r="F167" i="9"/>
  <c r="K166" i="9"/>
  <c r="H166" i="9"/>
  <c r="G166" i="9"/>
  <c r="G164" i="9"/>
  <c r="E164" i="9"/>
  <c r="J164" i="9"/>
  <c r="D164" i="9"/>
  <c r="C164" i="9"/>
  <c r="B164" i="9"/>
  <c r="Z163" i="9"/>
  <c r="Y163" i="9"/>
  <c r="X163" i="9"/>
  <c r="H162" i="9"/>
  <c r="F162" i="9"/>
  <c r="K161" i="9"/>
  <c r="F161" i="9"/>
  <c r="K160" i="9"/>
  <c r="F160" i="9"/>
  <c r="K159" i="9"/>
  <c r="H159" i="9"/>
  <c r="G159" i="9"/>
  <c r="G157" i="9"/>
  <c r="E157" i="9"/>
  <c r="J157" i="9"/>
  <c r="D157" i="9"/>
  <c r="C157" i="9"/>
  <c r="B157" i="9"/>
  <c r="AF156" i="9"/>
  <c r="D156" i="9"/>
  <c r="Z155" i="9"/>
  <c r="X155" i="9"/>
  <c r="W155" i="9"/>
  <c r="G154" i="9"/>
  <c r="F154" i="9"/>
  <c r="E154" i="9"/>
  <c r="J154" i="9"/>
  <c r="D154" i="9"/>
  <c r="C154" i="9"/>
  <c r="B154" i="9"/>
  <c r="Z153" i="9"/>
  <c r="Y153" i="9"/>
  <c r="X153" i="9"/>
  <c r="M153" i="9"/>
  <c r="Q153" i="9" s="1"/>
  <c r="H152" i="9"/>
  <c r="F152" i="9"/>
  <c r="K151" i="9"/>
  <c r="F151" i="9"/>
  <c r="K150" i="9"/>
  <c r="F150" i="9"/>
  <c r="K149" i="9"/>
  <c r="H149" i="9"/>
  <c r="G149" i="9"/>
  <c r="K148" i="9"/>
  <c r="H148" i="9"/>
  <c r="G148" i="9"/>
  <c r="K147" i="9"/>
  <c r="H147" i="9"/>
  <c r="G147" i="9"/>
  <c r="G146" i="9"/>
  <c r="F146" i="9"/>
  <c r="E146" i="9"/>
  <c r="J146" i="9"/>
  <c r="D146" i="9"/>
  <c r="C146" i="9"/>
  <c r="B146" i="9"/>
  <c r="Z145" i="9"/>
  <c r="Y145" i="9"/>
  <c r="X145" i="9"/>
  <c r="K144" i="9"/>
  <c r="H144" i="9"/>
  <c r="G144" i="9"/>
  <c r="G142" i="9"/>
  <c r="E142" i="9"/>
  <c r="J142" i="9"/>
  <c r="D142" i="9"/>
  <c r="C142" i="9"/>
  <c r="B142" i="9"/>
  <c r="Z141" i="9"/>
  <c r="Y141" i="9"/>
  <c r="X141" i="9"/>
  <c r="K140" i="9"/>
  <c r="Y140" i="9"/>
  <c r="G140" i="9"/>
  <c r="E140" i="9"/>
  <c r="C140" i="9"/>
  <c r="B140" i="9"/>
  <c r="H139" i="9"/>
  <c r="F139" i="9"/>
  <c r="K138" i="9"/>
  <c r="F138" i="9"/>
  <c r="K137" i="9"/>
  <c r="F137" i="9"/>
  <c r="K136" i="9"/>
  <c r="H136" i="9"/>
  <c r="G136" i="9"/>
  <c r="K135" i="9"/>
  <c r="H135" i="9"/>
  <c r="G135" i="9"/>
  <c r="K134" i="9"/>
  <c r="H134" i="9"/>
  <c r="G134" i="9"/>
  <c r="K133" i="9"/>
  <c r="H133" i="9"/>
  <c r="G133" i="9"/>
  <c r="G132" i="9"/>
  <c r="F132" i="9"/>
  <c r="E132" i="9"/>
  <c r="J132" i="9"/>
  <c r="D132" i="9"/>
  <c r="C132" i="9"/>
  <c r="B132" i="9"/>
  <c r="Z131" i="9"/>
  <c r="Y131" i="9"/>
  <c r="X131" i="9"/>
  <c r="K130" i="9"/>
  <c r="H130" i="9"/>
  <c r="G130" i="9"/>
  <c r="G129" i="9"/>
  <c r="F129" i="9"/>
  <c r="E129" i="9"/>
  <c r="J129" i="9"/>
  <c r="D129" i="9"/>
  <c r="C129" i="9"/>
  <c r="B129" i="9"/>
  <c r="Z128" i="9"/>
  <c r="Y128" i="9"/>
  <c r="X128" i="9"/>
  <c r="H127" i="9"/>
  <c r="F127" i="9"/>
  <c r="K126" i="9"/>
  <c r="F126" i="9"/>
  <c r="K125" i="9"/>
  <c r="F125" i="9"/>
  <c r="K124" i="9"/>
  <c r="H124" i="9"/>
  <c r="G124" i="9"/>
  <c r="K123" i="9"/>
  <c r="H123" i="9"/>
  <c r="G123" i="9"/>
  <c r="K122" i="9"/>
  <c r="H122" i="9"/>
  <c r="G122" i="9"/>
  <c r="K121" i="9"/>
  <c r="H121" i="9"/>
  <c r="G121" i="9"/>
  <c r="G120" i="9"/>
  <c r="F120" i="9"/>
  <c r="E120" i="9"/>
  <c r="J120" i="9"/>
  <c r="D120" i="9"/>
  <c r="C120" i="9"/>
  <c r="B120" i="9"/>
  <c r="Z119" i="9"/>
  <c r="Y119" i="9"/>
  <c r="X119" i="9"/>
  <c r="K118" i="9"/>
  <c r="H118" i="9"/>
  <c r="G118" i="9"/>
  <c r="G117" i="9"/>
  <c r="F117" i="9"/>
  <c r="E117" i="9"/>
  <c r="J117" i="9"/>
  <c r="C117" i="9"/>
  <c r="B117" i="9"/>
  <c r="Z116" i="9"/>
  <c r="Y116" i="9"/>
  <c r="W116" i="9"/>
  <c r="K115" i="9"/>
  <c r="H115" i="9"/>
  <c r="G115" i="9"/>
  <c r="G114" i="9"/>
  <c r="F114" i="9"/>
  <c r="E114" i="9"/>
  <c r="J114" i="9"/>
  <c r="D114" i="9"/>
  <c r="C114" i="9"/>
  <c r="B114" i="9"/>
  <c r="Z113" i="9"/>
  <c r="Y113" i="9"/>
  <c r="X113" i="9"/>
  <c r="K112" i="9"/>
  <c r="H112" i="9"/>
  <c r="G112" i="9"/>
  <c r="G111" i="9"/>
  <c r="F111" i="9"/>
  <c r="E111" i="9"/>
  <c r="J111" i="9"/>
  <c r="D111" i="9"/>
  <c r="C111" i="9"/>
  <c r="B111" i="9"/>
  <c r="Z110" i="9"/>
  <c r="Y110" i="9"/>
  <c r="W110" i="9"/>
  <c r="K109" i="9"/>
  <c r="H109" i="9"/>
  <c r="G109" i="9"/>
  <c r="G108" i="9"/>
  <c r="F108" i="9"/>
  <c r="E108" i="9"/>
  <c r="J108" i="9"/>
  <c r="D108" i="9"/>
  <c r="C108" i="9"/>
  <c r="B108" i="9"/>
  <c r="Z107" i="9"/>
  <c r="Y107" i="9"/>
  <c r="X107" i="9"/>
  <c r="K106" i="9"/>
  <c r="H106" i="9"/>
  <c r="G106" i="9"/>
  <c r="G105" i="9"/>
  <c r="F105" i="9"/>
  <c r="E105" i="9"/>
  <c r="J105" i="9"/>
  <c r="D105" i="9"/>
  <c r="C105" i="9"/>
  <c r="B105" i="9"/>
  <c r="Z104" i="9"/>
  <c r="Y104" i="9"/>
  <c r="W104" i="9"/>
  <c r="K103" i="9"/>
  <c r="H103" i="9"/>
  <c r="G103" i="9"/>
  <c r="G102" i="9"/>
  <c r="F102" i="9"/>
  <c r="E102" i="9"/>
  <c r="J102" i="9"/>
  <c r="D102" i="9"/>
  <c r="C102" i="9"/>
  <c r="B102" i="9"/>
  <c r="Z101" i="9"/>
  <c r="Y101" i="9"/>
  <c r="X101" i="9"/>
  <c r="K100" i="9"/>
  <c r="H100" i="9"/>
  <c r="G100" i="9"/>
  <c r="G99" i="9"/>
  <c r="F99" i="9"/>
  <c r="E99" i="9"/>
  <c r="J99" i="9"/>
  <c r="D99" i="9"/>
  <c r="C99" i="9"/>
  <c r="B99" i="9"/>
  <c r="Z98" i="9"/>
  <c r="Y98" i="9"/>
  <c r="X98" i="9"/>
  <c r="K97" i="9"/>
  <c r="H97" i="9"/>
  <c r="G97" i="9"/>
  <c r="G96" i="9"/>
  <c r="F96" i="9"/>
  <c r="E96" i="9"/>
  <c r="J96" i="9"/>
  <c r="D96" i="9"/>
  <c r="C96" i="9"/>
  <c r="B96" i="9"/>
  <c r="Z95" i="9"/>
  <c r="Y95" i="9"/>
  <c r="X95" i="9"/>
  <c r="K94" i="9"/>
  <c r="H94" i="9"/>
  <c r="G94" i="9"/>
  <c r="G93" i="9"/>
  <c r="F93" i="9"/>
  <c r="E93" i="9"/>
  <c r="J93" i="9"/>
  <c r="D93" i="9"/>
  <c r="C93" i="9"/>
  <c r="B93" i="9"/>
  <c r="Z92" i="9"/>
  <c r="Y92" i="9"/>
  <c r="X92" i="9"/>
  <c r="K91" i="9"/>
  <c r="H91" i="9"/>
  <c r="G91" i="9"/>
  <c r="G90" i="9"/>
  <c r="F90" i="9"/>
  <c r="E90" i="9"/>
  <c r="J90" i="9"/>
  <c r="D90" i="9"/>
  <c r="C90" i="9"/>
  <c r="B90" i="9"/>
  <c r="Z89" i="9"/>
  <c r="Y89" i="9"/>
  <c r="X89" i="9"/>
  <c r="K88" i="9"/>
  <c r="H88" i="9"/>
  <c r="G88" i="9"/>
  <c r="G87" i="9"/>
  <c r="F87" i="9"/>
  <c r="E87" i="9"/>
  <c r="J87" i="9"/>
  <c r="D87" i="9"/>
  <c r="C87" i="9"/>
  <c r="B87" i="9"/>
  <c r="Z86" i="9"/>
  <c r="Y86" i="9"/>
  <c r="X86" i="9"/>
  <c r="K85" i="9"/>
  <c r="Y85" i="9"/>
  <c r="G85" i="9"/>
  <c r="E85" i="9"/>
  <c r="D85" i="9"/>
  <c r="C85" i="9"/>
  <c r="B85" i="9"/>
  <c r="H84" i="9"/>
  <c r="F84" i="9"/>
  <c r="K83" i="9"/>
  <c r="F83" i="9"/>
  <c r="K82" i="9"/>
  <c r="F82" i="9"/>
  <c r="K81" i="9"/>
  <c r="H81" i="9"/>
  <c r="G81" i="9"/>
  <c r="K80" i="9"/>
  <c r="H80" i="9"/>
  <c r="G80" i="9"/>
  <c r="K79" i="9"/>
  <c r="H79" i="9"/>
  <c r="G79" i="9"/>
  <c r="K78" i="9"/>
  <c r="H78" i="9"/>
  <c r="G78" i="9"/>
  <c r="G77" i="9"/>
  <c r="F77" i="9"/>
  <c r="E77" i="9"/>
  <c r="J77" i="9"/>
  <c r="D77" i="9"/>
  <c r="C77" i="9"/>
  <c r="B77" i="9"/>
  <c r="Z76" i="9"/>
  <c r="Y76" i="9"/>
  <c r="W76" i="9"/>
  <c r="H75" i="9"/>
  <c r="F75" i="9"/>
  <c r="K74" i="9"/>
  <c r="F74" i="9"/>
  <c r="K73" i="9"/>
  <c r="F73" i="9"/>
  <c r="K72" i="9"/>
  <c r="H72" i="9"/>
  <c r="G72" i="9"/>
  <c r="K71" i="9"/>
  <c r="H71" i="9"/>
  <c r="G71" i="9"/>
  <c r="K70" i="9"/>
  <c r="H70" i="9"/>
  <c r="G70" i="9"/>
  <c r="K69" i="9"/>
  <c r="H69" i="9"/>
  <c r="G69" i="9"/>
  <c r="G68" i="9"/>
  <c r="E68" i="9"/>
  <c r="J68" i="9"/>
  <c r="D68" i="9"/>
  <c r="C68" i="9"/>
  <c r="B68" i="9"/>
  <c r="Z67" i="9"/>
  <c r="Y67" i="9"/>
  <c r="X67" i="9"/>
  <c r="H66" i="9"/>
  <c r="F66" i="9"/>
  <c r="K65" i="9"/>
  <c r="F65" i="9"/>
  <c r="K64" i="9"/>
  <c r="F64" i="9"/>
  <c r="K63" i="9"/>
  <c r="H63" i="9"/>
  <c r="G63" i="9"/>
  <c r="K62" i="9"/>
  <c r="H62" i="9"/>
  <c r="G62" i="9"/>
  <c r="K61" i="9"/>
  <c r="H61" i="9"/>
  <c r="G61" i="9"/>
  <c r="G60" i="9"/>
  <c r="F60" i="9"/>
  <c r="E60" i="9"/>
  <c r="J60" i="9"/>
  <c r="D60" i="9"/>
  <c r="C60" i="9"/>
  <c r="B60" i="9"/>
  <c r="AE59" i="9"/>
  <c r="A59" i="9"/>
  <c r="D56" i="9"/>
  <c r="D55" i="9"/>
  <c r="D54" i="9"/>
  <c r="D53" i="9"/>
  <c r="D52" i="9"/>
  <c r="D51" i="9"/>
  <c r="D50" i="9"/>
  <c r="D49" i="9"/>
  <c r="D48" i="9"/>
  <c r="Z44" i="9"/>
  <c r="Y44" i="9"/>
  <c r="X44" i="9"/>
  <c r="H43" i="9"/>
  <c r="F43" i="9"/>
  <c r="K42" i="9"/>
  <c r="F42" i="9"/>
  <c r="K41" i="9"/>
  <c r="F41" i="9"/>
  <c r="K40" i="9"/>
  <c r="H40" i="9"/>
  <c r="G40" i="9"/>
  <c r="K39" i="9"/>
  <c r="H39" i="9"/>
  <c r="G39" i="9"/>
  <c r="K38" i="9"/>
  <c r="H38" i="9"/>
  <c r="G38" i="9"/>
  <c r="G37" i="9"/>
  <c r="F37" i="9"/>
  <c r="E37" i="9"/>
  <c r="J37" i="9"/>
  <c r="D37" i="9"/>
  <c r="C37" i="9"/>
  <c r="B37" i="9"/>
  <c r="AE36" i="9"/>
  <c r="A36" i="9"/>
  <c r="G26" i="9"/>
  <c r="K22" i="9"/>
  <c r="K21" i="9"/>
  <c r="K20" i="9"/>
  <c r="K19" i="9"/>
  <c r="K16" i="9"/>
  <c r="AD17" i="9"/>
  <c r="C17" i="9"/>
  <c r="K14" i="9"/>
  <c r="AD13" i="9"/>
  <c r="K12" i="9"/>
  <c r="C13" i="9"/>
  <c r="AD11" i="9"/>
  <c r="K10" i="9"/>
  <c r="C11" i="9"/>
  <c r="AD9" i="9"/>
  <c r="K8" i="9"/>
  <c r="C9" i="9"/>
  <c r="A1" i="9"/>
  <c r="Z56" i="8"/>
  <c r="I56" i="8"/>
  <c r="D25" i="7" s="1"/>
  <c r="H56" i="8"/>
  <c r="G56" i="8"/>
  <c r="F56" i="8"/>
  <c r="E56" i="8"/>
  <c r="D56" i="8"/>
  <c r="A56" i="8"/>
  <c r="Z55" i="8"/>
  <c r="H55" i="8"/>
  <c r="G55" i="8"/>
  <c r="F55" i="8"/>
  <c r="E55" i="8"/>
  <c r="D55" i="8"/>
  <c r="A55" i="8"/>
  <c r="Z54" i="8"/>
  <c r="I54" i="8"/>
  <c r="D40" i="7" s="1"/>
  <c r="H54" i="8"/>
  <c r="G54" i="8"/>
  <c r="F54" i="8"/>
  <c r="E54" i="8"/>
  <c r="D54" i="8"/>
  <c r="A54" i="8"/>
  <c r="Z53" i="8"/>
  <c r="S53" i="8"/>
  <c r="P53" i="8"/>
  <c r="N53" i="8"/>
  <c r="K53" i="8"/>
  <c r="J53" i="8"/>
  <c r="H53" i="8"/>
  <c r="G53" i="8"/>
  <c r="F53" i="8"/>
  <c r="E53" i="8"/>
  <c r="Z52" i="8"/>
  <c r="S52" i="8"/>
  <c r="P52" i="8"/>
  <c r="N52" i="8"/>
  <c r="E16" i="7" s="1"/>
  <c r="K52" i="8"/>
  <c r="J52" i="8"/>
  <c r="H52" i="8"/>
  <c r="G52" i="8"/>
  <c r="F52" i="8"/>
  <c r="E52" i="8"/>
  <c r="Z51" i="8"/>
  <c r="S51" i="8"/>
  <c r="P51" i="8"/>
  <c r="N51" i="8"/>
  <c r="K51" i="8"/>
  <c r="J51" i="8"/>
  <c r="H51" i="8"/>
  <c r="G51" i="8"/>
  <c r="F51" i="8"/>
  <c r="E51" i="8"/>
  <c r="Z50" i="8"/>
  <c r="S50" i="8"/>
  <c r="P50" i="8"/>
  <c r="N50" i="8"/>
  <c r="K50" i="8"/>
  <c r="J50" i="8"/>
  <c r="H50" i="8"/>
  <c r="G50" i="8"/>
  <c r="F50" i="8"/>
  <c r="E50" i="8"/>
  <c r="Z49" i="8"/>
  <c r="S49" i="8"/>
  <c r="P49" i="8"/>
  <c r="N49" i="8"/>
  <c r="E35" i="7" s="1"/>
  <c r="K49" i="8"/>
  <c r="J49" i="8"/>
  <c r="H49" i="8"/>
  <c r="G49" i="8"/>
  <c r="F49" i="8"/>
  <c r="E49" i="8"/>
  <c r="Z48" i="8"/>
  <c r="S48" i="8"/>
  <c r="P48" i="8"/>
  <c r="N48" i="8"/>
  <c r="E36" i="7" s="1"/>
  <c r="K48" i="8"/>
  <c r="J48" i="8"/>
  <c r="H48" i="8"/>
  <c r="G48" i="8"/>
  <c r="F48" i="8"/>
  <c r="E48" i="8"/>
  <c r="G47" i="8"/>
  <c r="A47" i="8"/>
  <c r="Z46" i="8"/>
  <c r="H46" i="8"/>
  <c r="G46" i="8"/>
  <c r="F46" i="8"/>
  <c r="E46" i="8"/>
  <c r="D46" i="8"/>
  <c r="A46" i="8"/>
  <c r="Z45" i="8"/>
  <c r="S45" i="8"/>
  <c r="P45" i="8"/>
  <c r="N45" i="8"/>
  <c r="K45" i="8"/>
  <c r="J45" i="8"/>
  <c r="H45" i="8"/>
  <c r="G45" i="8"/>
  <c r="F45" i="8"/>
  <c r="E45" i="8"/>
  <c r="Z44" i="8"/>
  <c r="I44" i="8"/>
  <c r="D21" i="7" s="1"/>
  <c r="H44" i="8"/>
  <c r="G44" i="8"/>
  <c r="F44" i="8"/>
  <c r="E44" i="8"/>
  <c r="D44" i="8"/>
  <c r="A44" i="8"/>
  <c r="Z43" i="8"/>
  <c r="S43" i="8"/>
  <c r="P43" i="8"/>
  <c r="N43" i="8"/>
  <c r="K43" i="8"/>
  <c r="J43" i="8"/>
  <c r="H43" i="8"/>
  <c r="G43" i="8"/>
  <c r="F43" i="8"/>
  <c r="E43" i="8"/>
  <c r="Z42" i="8"/>
  <c r="S42" i="8"/>
  <c r="P42" i="8"/>
  <c r="N42" i="8"/>
  <c r="E27" i="7" s="1"/>
  <c r="K42" i="8"/>
  <c r="J42" i="8"/>
  <c r="H42" i="8"/>
  <c r="G42" i="8"/>
  <c r="F42" i="8"/>
  <c r="E42" i="8"/>
  <c r="Z41" i="8"/>
  <c r="S41" i="8"/>
  <c r="P41" i="8"/>
  <c r="N41" i="8"/>
  <c r="K41" i="8"/>
  <c r="J41" i="8"/>
  <c r="H41" i="8"/>
  <c r="G41" i="8"/>
  <c r="F41" i="8"/>
  <c r="E41" i="8"/>
  <c r="Z40" i="8"/>
  <c r="H40" i="8"/>
  <c r="G40" i="8"/>
  <c r="F40" i="8"/>
  <c r="E40" i="8"/>
  <c r="D40" i="8"/>
  <c r="A40" i="8"/>
  <c r="Z39" i="8"/>
  <c r="S39" i="8"/>
  <c r="P39" i="8"/>
  <c r="N39" i="8"/>
  <c r="E13" i="7" s="1"/>
  <c r="K39" i="8"/>
  <c r="J39" i="8"/>
  <c r="H39" i="8"/>
  <c r="G39" i="8"/>
  <c r="F39" i="8"/>
  <c r="E39" i="8"/>
  <c r="Z38" i="8"/>
  <c r="I38" i="8"/>
  <c r="H38" i="8"/>
  <c r="G38" i="8"/>
  <c r="F38" i="8"/>
  <c r="E38" i="8"/>
  <c r="D38" i="8"/>
  <c r="A38" i="8"/>
  <c r="Z37" i="8"/>
  <c r="S37" i="8"/>
  <c r="P37" i="8"/>
  <c r="N37" i="8"/>
  <c r="K37" i="8"/>
  <c r="J37" i="8"/>
  <c r="H37" i="8"/>
  <c r="G37" i="8"/>
  <c r="F37" i="8"/>
  <c r="E37" i="8"/>
  <c r="Z36" i="8"/>
  <c r="S36" i="8"/>
  <c r="P36" i="8"/>
  <c r="N36" i="8"/>
  <c r="E11" i="7" s="1"/>
  <c r="K36" i="8"/>
  <c r="J36" i="8"/>
  <c r="H36" i="8"/>
  <c r="G36" i="8"/>
  <c r="F36" i="8"/>
  <c r="E36" i="8"/>
  <c r="Z35" i="8"/>
  <c r="S35" i="8"/>
  <c r="P35" i="8"/>
  <c r="N35" i="8"/>
  <c r="K35" i="8"/>
  <c r="J35" i="8"/>
  <c r="H35" i="8"/>
  <c r="G35" i="8"/>
  <c r="F35" i="8"/>
  <c r="E35" i="8"/>
  <c r="Z34" i="8"/>
  <c r="S34" i="8"/>
  <c r="P34" i="8"/>
  <c r="N34" i="8"/>
  <c r="K34" i="8"/>
  <c r="J34" i="8"/>
  <c r="H34" i="8"/>
  <c r="G34" i="8"/>
  <c r="F34" i="8"/>
  <c r="E34" i="8"/>
  <c r="Z33" i="8"/>
  <c r="S33" i="8"/>
  <c r="P33" i="8"/>
  <c r="N33" i="8"/>
  <c r="K33" i="8"/>
  <c r="J33" i="8"/>
  <c r="H33" i="8"/>
  <c r="G33" i="8"/>
  <c r="F33" i="8"/>
  <c r="E33" i="8"/>
  <c r="Z32" i="8"/>
  <c r="I32" i="8"/>
  <c r="D43" i="7" s="1"/>
  <c r="H32" i="8"/>
  <c r="G32" i="8"/>
  <c r="F32" i="8"/>
  <c r="E32" i="8"/>
  <c r="D32" i="8"/>
  <c r="A32" i="8"/>
  <c r="Z31" i="8"/>
  <c r="I31" i="8"/>
  <c r="D41" i="7" s="1"/>
  <c r="H31" i="8"/>
  <c r="G31" i="8"/>
  <c r="F31" i="8"/>
  <c r="E31" i="8"/>
  <c r="D31" i="8"/>
  <c r="A31" i="8"/>
  <c r="Z30" i="8"/>
  <c r="I30" i="8"/>
  <c r="D24" i="7" s="1"/>
  <c r="H30" i="8"/>
  <c r="G30" i="8"/>
  <c r="F30" i="8"/>
  <c r="E30" i="8"/>
  <c r="D30" i="8"/>
  <c r="A30" i="8"/>
  <c r="Z29" i="8"/>
  <c r="I29" i="8"/>
  <c r="D39" i="7" s="1"/>
  <c r="H29" i="8"/>
  <c r="G29" i="8"/>
  <c r="F29" i="8"/>
  <c r="E29" i="8"/>
  <c r="D29" i="8"/>
  <c r="A29" i="8"/>
  <c r="Z28" i="8"/>
  <c r="I28" i="8"/>
  <c r="D22" i="7" s="1"/>
  <c r="H28" i="8"/>
  <c r="G28" i="8"/>
  <c r="F28" i="8"/>
  <c r="E28" i="8"/>
  <c r="D28" i="8"/>
  <c r="A28" i="8"/>
  <c r="Z27" i="8"/>
  <c r="I27" i="8"/>
  <c r="D38" i="7" s="1"/>
  <c r="H27" i="8"/>
  <c r="G27" i="8"/>
  <c r="F27" i="8"/>
  <c r="E27" i="8"/>
  <c r="D27" i="8"/>
  <c r="A27" i="8"/>
  <c r="Z26" i="8"/>
  <c r="I26" i="8"/>
  <c r="D23" i="7" s="1"/>
  <c r="H26" i="8"/>
  <c r="G26" i="8"/>
  <c r="F26" i="8"/>
  <c r="E26" i="8"/>
  <c r="D26" i="8"/>
  <c r="A26" i="8"/>
  <c r="Z25" i="8"/>
  <c r="I25" i="8"/>
  <c r="D31" i="7" s="1"/>
  <c r="H25" i="8"/>
  <c r="G25" i="8"/>
  <c r="F25" i="8"/>
  <c r="E25" i="8"/>
  <c r="D25" i="8"/>
  <c r="A25" i="8"/>
  <c r="Z24" i="8"/>
  <c r="I24" i="8"/>
  <c r="D29" i="7" s="1"/>
  <c r="H24" i="8"/>
  <c r="G24" i="8"/>
  <c r="F24" i="8"/>
  <c r="E24" i="8"/>
  <c r="D24" i="8"/>
  <c r="A24" i="8"/>
  <c r="Z23" i="8"/>
  <c r="I23" i="8"/>
  <c r="D30" i="7" s="1"/>
  <c r="H23" i="8"/>
  <c r="G23" i="8"/>
  <c r="F23" i="8"/>
  <c r="E23" i="8"/>
  <c r="D23" i="8"/>
  <c r="A23" i="8"/>
  <c r="Z22" i="8"/>
  <c r="I22" i="8"/>
  <c r="D32" i="7" s="1"/>
  <c r="H22" i="8"/>
  <c r="G22" i="8"/>
  <c r="F22" i="8"/>
  <c r="E22" i="8"/>
  <c r="D22" i="8"/>
  <c r="A22" i="8"/>
  <c r="Z21" i="8"/>
  <c r="S21" i="8"/>
  <c r="P21" i="8"/>
  <c r="N21" i="8"/>
  <c r="E9" i="7" s="1"/>
  <c r="K21" i="8"/>
  <c r="J21" i="8"/>
  <c r="H21" i="8"/>
  <c r="G21" i="8"/>
  <c r="F21" i="8"/>
  <c r="E21" i="8"/>
  <c r="Z20" i="8"/>
  <c r="S20" i="8"/>
  <c r="P20" i="8"/>
  <c r="N20" i="8"/>
  <c r="E10" i="7" s="1"/>
  <c r="K20" i="8"/>
  <c r="J20" i="8"/>
  <c r="H20" i="8"/>
  <c r="G20" i="8"/>
  <c r="F20" i="8"/>
  <c r="E20" i="8"/>
  <c r="Z19" i="8"/>
  <c r="S19" i="8"/>
  <c r="P19" i="8"/>
  <c r="N19" i="8"/>
  <c r="E17" i="7" s="1"/>
  <c r="K19" i="8"/>
  <c r="J19" i="8"/>
  <c r="H19" i="8"/>
  <c r="G19" i="8"/>
  <c r="F19" i="8"/>
  <c r="E19" i="8"/>
  <c r="Z18" i="8"/>
  <c r="S18" i="8"/>
  <c r="P18" i="8"/>
  <c r="N18" i="8"/>
  <c r="E20" i="7" s="1"/>
  <c r="K18" i="8"/>
  <c r="J18" i="8"/>
  <c r="H18" i="8"/>
  <c r="G18" i="8"/>
  <c r="F18" i="8"/>
  <c r="E18" i="8"/>
  <c r="Z17" i="8"/>
  <c r="S17" i="8"/>
  <c r="P17" i="8"/>
  <c r="N17" i="8"/>
  <c r="E26" i="7" s="1"/>
  <c r="K17" i="8"/>
  <c r="J17" i="8"/>
  <c r="H17" i="8"/>
  <c r="G17" i="8"/>
  <c r="F17" i="8"/>
  <c r="E17" i="8"/>
  <c r="Z16" i="8"/>
  <c r="S16" i="8"/>
  <c r="P16" i="8"/>
  <c r="N16" i="8"/>
  <c r="E37" i="7" s="1"/>
  <c r="K16" i="8"/>
  <c r="J16" i="8"/>
  <c r="H16" i="8"/>
  <c r="G16" i="8"/>
  <c r="F16" i="8"/>
  <c r="E16" i="8"/>
  <c r="Z15" i="8"/>
  <c r="S15" i="8"/>
  <c r="P15" i="8"/>
  <c r="N15" i="8"/>
  <c r="E12" i="7" s="1"/>
  <c r="K15" i="8"/>
  <c r="J15" i="8"/>
  <c r="H15" i="8"/>
  <c r="G15" i="8"/>
  <c r="F15" i="8"/>
  <c r="E15" i="8"/>
  <c r="Z14" i="8"/>
  <c r="S14" i="8"/>
  <c r="P14" i="8"/>
  <c r="N14" i="8"/>
  <c r="E15" i="7" s="1"/>
  <c r="K14" i="8"/>
  <c r="J14" i="8"/>
  <c r="H14" i="8"/>
  <c r="G14" i="8"/>
  <c r="F14" i="8"/>
  <c r="E14" i="8"/>
  <c r="Z13" i="8"/>
  <c r="S13" i="8"/>
  <c r="P13" i="8"/>
  <c r="N13" i="8"/>
  <c r="E18" i="7" s="1"/>
  <c r="K13" i="8"/>
  <c r="J13" i="8"/>
  <c r="H13" i="8"/>
  <c r="G13" i="8"/>
  <c r="F13" i="8"/>
  <c r="E13" i="8"/>
  <c r="Z12" i="8"/>
  <c r="S12" i="8"/>
  <c r="P12" i="8"/>
  <c r="N12" i="8"/>
  <c r="E19" i="7" s="1"/>
  <c r="K12" i="8"/>
  <c r="J12" i="8"/>
  <c r="H12" i="8"/>
  <c r="G12" i="8"/>
  <c r="F12" i="8"/>
  <c r="E12" i="8"/>
  <c r="Z11" i="8"/>
  <c r="S11" i="8"/>
  <c r="P11" i="8"/>
  <c r="N11" i="8"/>
  <c r="E28" i="7" s="1"/>
  <c r="K11" i="8"/>
  <c r="J11" i="8"/>
  <c r="H11" i="8"/>
  <c r="G11" i="8"/>
  <c r="F11" i="8"/>
  <c r="E11" i="8"/>
  <c r="Z10" i="8"/>
  <c r="S10" i="8"/>
  <c r="P10" i="8"/>
  <c r="N10" i="8"/>
  <c r="E33" i="7" s="1"/>
  <c r="K10" i="8"/>
  <c r="J10" i="8"/>
  <c r="H10" i="8"/>
  <c r="G10" i="8"/>
  <c r="F10" i="8"/>
  <c r="E10" i="8"/>
  <c r="Z9" i="8"/>
  <c r="S9" i="8"/>
  <c r="P9" i="8"/>
  <c r="N9" i="8"/>
  <c r="E42" i="7" s="1"/>
  <c r="K9" i="8"/>
  <c r="J9" i="8"/>
  <c r="H9" i="8"/>
  <c r="G9" i="8"/>
  <c r="F9" i="8"/>
  <c r="E9" i="8"/>
  <c r="G8" i="8"/>
  <c r="A8" i="8"/>
  <c r="G7" i="8"/>
  <c r="A7" i="8"/>
  <c r="G6" i="8"/>
  <c r="A6" i="8"/>
  <c r="H293" i="6"/>
  <c r="H289" i="6"/>
  <c r="C293" i="6"/>
  <c r="C289" i="6"/>
  <c r="C285" i="6"/>
  <c r="C284" i="6"/>
  <c r="C283" i="6"/>
  <c r="C282" i="6"/>
  <c r="C281" i="6"/>
  <c r="C280" i="6"/>
  <c r="C279" i="6"/>
  <c r="C278" i="6"/>
  <c r="C277" i="6"/>
  <c r="C272" i="6"/>
  <c r="C271" i="6"/>
  <c r="C270" i="6"/>
  <c r="C269" i="6"/>
  <c r="C268" i="6"/>
  <c r="C267" i="6"/>
  <c r="C266" i="6"/>
  <c r="C265" i="6"/>
  <c r="C264" i="6"/>
  <c r="C259" i="6"/>
  <c r="C258" i="6"/>
  <c r="C257" i="6"/>
  <c r="C256" i="6"/>
  <c r="C255" i="6"/>
  <c r="C254" i="6"/>
  <c r="C253" i="6"/>
  <c r="C252" i="6"/>
  <c r="C251" i="6"/>
  <c r="Z247" i="6"/>
  <c r="Y247" i="6"/>
  <c r="X247" i="6"/>
  <c r="J246" i="6"/>
  <c r="G246" i="6"/>
  <c r="F246" i="6"/>
  <c r="F245" i="6"/>
  <c r="E245" i="6"/>
  <c r="D245" i="6"/>
  <c r="I245" i="6"/>
  <c r="C245" i="6"/>
  <c r="B245" i="6"/>
  <c r="A245" i="6"/>
  <c r="Z244" i="6"/>
  <c r="Y244" i="6"/>
  <c r="W244" i="6"/>
  <c r="J243" i="6"/>
  <c r="G243" i="6"/>
  <c r="F243" i="6"/>
  <c r="F241" i="6"/>
  <c r="D241" i="6"/>
  <c r="I241" i="6"/>
  <c r="C241" i="6"/>
  <c r="B241" i="6"/>
  <c r="A241" i="6"/>
  <c r="Z240" i="6"/>
  <c r="Y240" i="6"/>
  <c r="W240" i="6"/>
  <c r="J239" i="6"/>
  <c r="G239" i="6"/>
  <c r="F239" i="6"/>
  <c r="F238" i="6"/>
  <c r="E238" i="6"/>
  <c r="D238" i="6"/>
  <c r="I238" i="6"/>
  <c r="C238" i="6"/>
  <c r="B238" i="6"/>
  <c r="A238" i="6"/>
  <c r="Z237" i="6"/>
  <c r="Y237" i="6"/>
  <c r="X237" i="6"/>
  <c r="G236" i="6"/>
  <c r="E236" i="6"/>
  <c r="J235" i="6"/>
  <c r="E235" i="6"/>
  <c r="J234" i="6"/>
  <c r="E234" i="6"/>
  <c r="J233" i="6"/>
  <c r="G233" i="6"/>
  <c r="F233" i="6"/>
  <c r="J232" i="6"/>
  <c r="G232" i="6"/>
  <c r="F232" i="6"/>
  <c r="J231" i="6"/>
  <c r="G231" i="6"/>
  <c r="F231" i="6"/>
  <c r="J230" i="6"/>
  <c r="G230" i="6"/>
  <c r="F230" i="6"/>
  <c r="F228" i="6"/>
  <c r="D228" i="6"/>
  <c r="I228" i="6"/>
  <c r="C228" i="6"/>
  <c r="B228" i="6"/>
  <c r="A228" i="6"/>
  <c r="AE227" i="6"/>
  <c r="A227" i="6"/>
  <c r="C224" i="6"/>
  <c r="C223" i="6"/>
  <c r="C222" i="6"/>
  <c r="C221" i="6"/>
  <c r="C220" i="6"/>
  <c r="C219" i="6"/>
  <c r="C218" i="6"/>
  <c r="C217" i="6"/>
  <c r="C216" i="6"/>
  <c r="Y212" i="6"/>
  <c r="X212" i="6"/>
  <c r="W212" i="6"/>
  <c r="G211" i="6"/>
  <c r="E211" i="6"/>
  <c r="J210" i="6"/>
  <c r="E210" i="6"/>
  <c r="J209" i="6"/>
  <c r="E209" i="6"/>
  <c r="J208" i="6"/>
  <c r="G208" i="6"/>
  <c r="F208" i="6"/>
  <c r="F206" i="6"/>
  <c r="D206" i="6"/>
  <c r="I206" i="6"/>
  <c r="C206" i="6"/>
  <c r="B206" i="6"/>
  <c r="A206" i="6"/>
  <c r="Y205" i="6"/>
  <c r="X205" i="6"/>
  <c r="W205" i="6"/>
  <c r="G204" i="6"/>
  <c r="E204" i="6"/>
  <c r="J203" i="6"/>
  <c r="E203" i="6"/>
  <c r="J202" i="6"/>
  <c r="E202" i="6"/>
  <c r="J201" i="6"/>
  <c r="G201" i="6"/>
  <c r="F201" i="6"/>
  <c r="F200" i="6"/>
  <c r="E200" i="6"/>
  <c r="D200" i="6"/>
  <c r="I200" i="6"/>
  <c r="C200" i="6"/>
  <c r="B200" i="6"/>
  <c r="A200" i="6"/>
  <c r="Z199" i="6"/>
  <c r="Y199" i="6"/>
  <c r="X199" i="6"/>
  <c r="J198" i="6"/>
  <c r="G198" i="6"/>
  <c r="F198" i="6"/>
  <c r="F196" i="6"/>
  <c r="D196" i="6"/>
  <c r="I196" i="6"/>
  <c r="C196" i="6"/>
  <c r="B196" i="6"/>
  <c r="A196" i="6"/>
  <c r="Z195" i="6"/>
  <c r="Y195" i="6"/>
  <c r="X195" i="6"/>
  <c r="J194" i="6"/>
  <c r="Y194" i="6"/>
  <c r="F194" i="6"/>
  <c r="D194" i="6"/>
  <c r="B194" i="6"/>
  <c r="A194" i="6"/>
  <c r="G193" i="6"/>
  <c r="E193" i="6"/>
  <c r="J192" i="6"/>
  <c r="E192" i="6"/>
  <c r="J191" i="6"/>
  <c r="E191" i="6"/>
  <c r="J190" i="6"/>
  <c r="G190" i="6"/>
  <c r="F190" i="6"/>
  <c r="J189" i="6"/>
  <c r="G189" i="6"/>
  <c r="F189" i="6"/>
  <c r="J188" i="6"/>
  <c r="G188" i="6"/>
  <c r="F188" i="6"/>
  <c r="J187" i="6"/>
  <c r="G187" i="6"/>
  <c r="F187" i="6"/>
  <c r="F186" i="6"/>
  <c r="E186" i="6"/>
  <c r="D186" i="6"/>
  <c r="I186" i="6"/>
  <c r="C186" i="6"/>
  <c r="B186" i="6"/>
  <c r="A186" i="6"/>
  <c r="Z185" i="6"/>
  <c r="Y185" i="6"/>
  <c r="X185" i="6"/>
  <c r="J184" i="6"/>
  <c r="G184" i="6"/>
  <c r="F184" i="6"/>
  <c r="F183" i="6"/>
  <c r="E183" i="6"/>
  <c r="D183" i="6"/>
  <c r="I183" i="6"/>
  <c r="C183" i="6"/>
  <c r="B183" i="6"/>
  <c r="A183" i="6"/>
  <c r="Z182" i="6"/>
  <c r="Y182" i="6"/>
  <c r="W182" i="6"/>
  <c r="G181" i="6"/>
  <c r="E181" i="6"/>
  <c r="J180" i="6"/>
  <c r="E180" i="6"/>
  <c r="J179" i="6"/>
  <c r="E179" i="6"/>
  <c r="J178" i="6"/>
  <c r="G178" i="6"/>
  <c r="F178" i="6"/>
  <c r="J177" i="6"/>
  <c r="G177" i="6"/>
  <c r="F177" i="6"/>
  <c r="J176" i="6"/>
  <c r="G176" i="6"/>
  <c r="F176" i="6"/>
  <c r="J175" i="6"/>
  <c r="G175" i="6"/>
  <c r="F175" i="6"/>
  <c r="F173" i="6"/>
  <c r="D173" i="6"/>
  <c r="I173" i="6"/>
  <c r="C173" i="6"/>
  <c r="B173" i="6"/>
  <c r="A173" i="6"/>
  <c r="Z172" i="6"/>
  <c r="Y172" i="6"/>
  <c r="X172" i="6"/>
  <c r="G171" i="6"/>
  <c r="E171" i="6"/>
  <c r="J170" i="6"/>
  <c r="E170" i="6"/>
  <c r="J169" i="6"/>
  <c r="E169" i="6"/>
  <c r="J168" i="6"/>
  <c r="G168" i="6"/>
  <c r="F168" i="6"/>
  <c r="F166" i="6"/>
  <c r="D166" i="6"/>
  <c r="I166" i="6"/>
  <c r="C166" i="6"/>
  <c r="B166" i="6"/>
  <c r="A166" i="6"/>
  <c r="Z165" i="6"/>
  <c r="Y165" i="6"/>
  <c r="X165" i="6"/>
  <c r="G164" i="6"/>
  <c r="E164" i="6"/>
  <c r="J163" i="6"/>
  <c r="E163" i="6"/>
  <c r="J162" i="6"/>
  <c r="E162" i="6"/>
  <c r="J161" i="6"/>
  <c r="G161" i="6"/>
  <c r="F161" i="6"/>
  <c r="F159" i="6"/>
  <c r="D159" i="6"/>
  <c r="I159" i="6"/>
  <c r="C159" i="6"/>
  <c r="B159" i="6"/>
  <c r="A159" i="6"/>
  <c r="AF158" i="6"/>
  <c r="C158" i="6"/>
  <c r="Z157" i="6"/>
  <c r="X157" i="6"/>
  <c r="W157" i="6"/>
  <c r="F156" i="6"/>
  <c r="E156" i="6"/>
  <c r="D156" i="6"/>
  <c r="I156" i="6"/>
  <c r="C156" i="6"/>
  <c r="B156" i="6"/>
  <c r="A156" i="6"/>
  <c r="Z155" i="6"/>
  <c r="Y155" i="6"/>
  <c r="X155" i="6"/>
  <c r="G154" i="6"/>
  <c r="E154" i="6"/>
  <c r="J153" i="6"/>
  <c r="E153" i="6"/>
  <c r="J152" i="6"/>
  <c r="E152" i="6"/>
  <c r="J151" i="6"/>
  <c r="G151" i="6"/>
  <c r="F151" i="6"/>
  <c r="J150" i="6"/>
  <c r="G150" i="6"/>
  <c r="F150" i="6"/>
  <c r="J149" i="6"/>
  <c r="G149" i="6"/>
  <c r="F149" i="6"/>
  <c r="F148" i="6"/>
  <c r="E148" i="6"/>
  <c r="D148" i="6"/>
  <c r="I148" i="6"/>
  <c r="C148" i="6"/>
  <c r="B148" i="6"/>
  <c r="A148" i="6"/>
  <c r="Z147" i="6"/>
  <c r="Y147" i="6"/>
  <c r="X147" i="6"/>
  <c r="J146" i="6"/>
  <c r="G146" i="6"/>
  <c r="F146" i="6"/>
  <c r="F144" i="6"/>
  <c r="D144" i="6"/>
  <c r="I144" i="6"/>
  <c r="C144" i="6"/>
  <c r="B144" i="6"/>
  <c r="A144" i="6"/>
  <c r="Z143" i="6"/>
  <c r="Y143" i="6"/>
  <c r="X143" i="6"/>
  <c r="J142" i="6"/>
  <c r="Y142" i="6"/>
  <c r="F142" i="6"/>
  <c r="D142" i="6"/>
  <c r="B142" i="6"/>
  <c r="A142" i="6"/>
  <c r="G141" i="6"/>
  <c r="E141" i="6"/>
  <c r="J140" i="6"/>
  <c r="E140" i="6"/>
  <c r="J139" i="6"/>
  <c r="E139" i="6"/>
  <c r="J138" i="6"/>
  <c r="G138" i="6"/>
  <c r="F138" i="6"/>
  <c r="J137" i="6"/>
  <c r="G137" i="6"/>
  <c r="F137" i="6"/>
  <c r="J136" i="6"/>
  <c r="G136" i="6"/>
  <c r="F136" i="6"/>
  <c r="J135" i="6"/>
  <c r="G135" i="6"/>
  <c r="F135" i="6"/>
  <c r="F134" i="6"/>
  <c r="E134" i="6"/>
  <c r="D134" i="6"/>
  <c r="I134" i="6"/>
  <c r="C134" i="6"/>
  <c r="B134" i="6"/>
  <c r="A134" i="6"/>
  <c r="Z133" i="6"/>
  <c r="Y133" i="6"/>
  <c r="X133" i="6"/>
  <c r="J132" i="6"/>
  <c r="G132" i="6"/>
  <c r="F132" i="6"/>
  <c r="F131" i="6"/>
  <c r="E131" i="6"/>
  <c r="D131" i="6"/>
  <c r="I131" i="6"/>
  <c r="C131" i="6"/>
  <c r="B131" i="6"/>
  <c r="A131" i="6"/>
  <c r="Z130" i="6"/>
  <c r="Y130" i="6"/>
  <c r="X130" i="6"/>
  <c r="G129" i="6"/>
  <c r="E129" i="6"/>
  <c r="J128" i="6"/>
  <c r="E128" i="6"/>
  <c r="J127" i="6"/>
  <c r="E127" i="6"/>
  <c r="J126" i="6"/>
  <c r="G126" i="6"/>
  <c r="F126" i="6"/>
  <c r="J125" i="6"/>
  <c r="G125" i="6"/>
  <c r="F125" i="6"/>
  <c r="J124" i="6"/>
  <c r="G124" i="6"/>
  <c r="F124" i="6"/>
  <c r="J123" i="6"/>
  <c r="G123" i="6"/>
  <c r="F123" i="6"/>
  <c r="F122" i="6"/>
  <c r="E122" i="6"/>
  <c r="D122" i="6"/>
  <c r="I122" i="6"/>
  <c r="C122" i="6"/>
  <c r="B122" i="6"/>
  <c r="A122" i="6"/>
  <c r="Z121" i="6"/>
  <c r="Y121" i="6"/>
  <c r="X121" i="6"/>
  <c r="J120" i="6"/>
  <c r="H120" i="6"/>
  <c r="G120" i="6"/>
  <c r="F120" i="6"/>
  <c r="F119" i="6"/>
  <c r="E119" i="6"/>
  <c r="D119" i="6"/>
  <c r="I119" i="6"/>
  <c r="B119" i="6"/>
  <c r="A119" i="6"/>
  <c r="Z118" i="6"/>
  <c r="Y118" i="6"/>
  <c r="W118" i="6"/>
  <c r="J117" i="6"/>
  <c r="G117" i="6"/>
  <c r="F117" i="6"/>
  <c r="F116" i="6"/>
  <c r="E116" i="6"/>
  <c r="D116" i="6"/>
  <c r="I116" i="6"/>
  <c r="C116" i="6"/>
  <c r="B116" i="6"/>
  <c r="A116" i="6"/>
  <c r="Z115" i="6"/>
  <c r="Y115" i="6"/>
  <c r="X115" i="6"/>
  <c r="J114" i="6"/>
  <c r="G114" i="6"/>
  <c r="F114" i="6"/>
  <c r="F113" i="6"/>
  <c r="E113" i="6"/>
  <c r="D113" i="6"/>
  <c r="I113" i="6"/>
  <c r="C113" i="6"/>
  <c r="B113" i="6"/>
  <c r="A113" i="6"/>
  <c r="Z112" i="6"/>
  <c r="Y112" i="6"/>
  <c r="W112" i="6"/>
  <c r="J111" i="6"/>
  <c r="G111" i="6"/>
  <c r="F111" i="6"/>
  <c r="F110" i="6"/>
  <c r="E110" i="6"/>
  <c r="D110" i="6"/>
  <c r="I110" i="6"/>
  <c r="C110" i="6"/>
  <c r="B110" i="6"/>
  <c r="A110" i="6"/>
  <c r="Z109" i="6"/>
  <c r="Y109" i="6"/>
  <c r="X109" i="6"/>
  <c r="J108" i="6"/>
  <c r="G108" i="6"/>
  <c r="F108" i="6"/>
  <c r="F107" i="6"/>
  <c r="E107" i="6"/>
  <c r="D107" i="6"/>
  <c r="I107" i="6"/>
  <c r="C107" i="6"/>
  <c r="B107" i="6"/>
  <c r="A107" i="6"/>
  <c r="Z106" i="6"/>
  <c r="Y106" i="6"/>
  <c r="W106" i="6"/>
  <c r="J105" i="6"/>
  <c r="G105" i="6"/>
  <c r="F105" i="6"/>
  <c r="F104" i="6"/>
  <c r="E104" i="6"/>
  <c r="D104" i="6"/>
  <c r="I104" i="6"/>
  <c r="C104" i="6"/>
  <c r="B104" i="6"/>
  <c r="A104" i="6"/>
  <c r="Z103" i="6"/>
  <c r="Y103" i="6"/>
  <c r="X103" i="6"/>
  <c r="J102" i="6"/>
  <c r="G102" i="6"/>
  <c r="F102" i="6"/>
  <c r="F101" i="6"/>
  <c r="E101" i="6"/>
  <c r="D101" i="6"/>
  <c r="I101" i="6"/>
  <c r="C101" i="6"/>
  <c r="B101" i="6"/>
  <c r="A101" i="6"/>
  <c r="Z100" i="6"/>
  <c r="Y100" i="6"/>
  <c r="X100" i="6"/>
  <c r="J99" i="6"/>
  <c r="G99" i="6"/>
  <c r="F99" i="6"/>
  <c r="F98" i="6"/>
  <c r="E98" i="6"/>
  <c r="D98" i="6"/>
  <c r="I98" i="6"/>
  <c r="C98" i="6"/>
  <c r="B98" i="6"/>
  <c r="A98" i="6"/>
  <c r="Z97" i="6"/>
  <c r="Y97" i="6"/>
  <c r="X97" i="6"/>
  <c r="J96" i="6"/>
  <c r="G96" i="6"/>
  <c r="F96" i="6"/>
  <c r="F95" i="6"/>
  <c r="E95" i="6"/>
  <c r="D95" i="6"/>
  <c r="I95" i="6"/>
  <c r="C95" i="6"/>
  <c r="B95" i="6"/>
  <c r="A95" i="6"/>
  <c r="Z94" i="6"/>
  <c r="Y94" i="6"/>
  <c r="X94" i="6"/>
  <c r="J93" i="6"/>
  <c r="G93" i="6"/>
  <c r="F93" i="6"/>
  <c r="V92" i="6"/>
  <c r="F92" i="6"/>
  <c r="E92" i="6"/>
  <c r="D92" i="6"/>
  <c r="I92" i="6"/>
  <c r="C92" i="6"/>
  <c r="B92" i="6"/>
  <c r="A92" i="6"/>
  <c r="Z91" i="6"/>
  <c r="Y91" i="6"/>
  <c r="X91" i="6"/>
  <c r="J90" i="6"/>
  <c r="G90" i="6"/>
  <c r="F90" i="6"/>
  <c r="F89" i="6"/>
  <c r="E89" i="6"/>
  <c r="D89" i="6"/>
  <c r="I89" i="6"/>
  <c r="C89" i="6"/>
  <c r="B89" i="6"/>
  <c r="A89" i="6"/>
  <c r="Z88" i="6"/>
  <c r="Y88" i="6"/>
  <c r="X88" i="6"/>
  <c r="J87" i="6"/>
  <c r="Y87" i="6"/>
  <c r="F87" i="6"/>
  <c r="D87" i="6"/>
  <c r="C87" i="6"/>
  <c r="B87" i="6"/>
  <c r="A87" i="6"/>
  <c r="L86" i="6"/>
  <c r="G86" i="6"/>
  <c r="E86" i="6"/>
  <c r="J85" i="6"/>
  <c r="E85" i="6"/>
  <c r="J84" i="6"/>
  <c r="E84" i="6"/>
  <c r="J83" i="6"/>
  <c r="G83" i="6"/>
  <c r="F83" i="6"/>
  <c r="J82" i="6"/>
  <c r="H82" i="6"/>
  <c r="R82" i="6" s="1"/>
  <c r="G82" i="6"/>
  <c r="F82" i="6"/>
  <c r="J81" i="6"/>
  <c r="G81" i="6"/>
  <c r="F81" i="6"/>
  <c r="K80" i="6"/>
  <c r="J80" i="6"/>
  <c r="G80" i="6"/>
  <c r="F80" i="6"/>
  <c r="S79" i="6"/>
  <c r="F79" i="6"/>
  <c r="E79" i="6"/>
  <c r="D79" i="6"/>
  <c r="I79" i="6"/>
  <c r="C79" i="6"/>
  <c r="B79" i="6"/>
  <c r="A79" i="6"/>
  <c r="Z78" i="6"/>
  <c r="Y78" i="6"/>
  <c r="W78" i="6"/>
  <c r="G77" i="6"/>
  <c r="E77" i="6"/>
  <c r="J76" i="6"/>
  <c r="E76" i="6"/>
  <c r="J75" i="6"/>
  <c r="E75" i="6"/>
  <c r="J74" i="6"/>
  <c r="G74" i="6"/>
  <c r="F74" i="6"/>
  <c r="J73" i="6"/>
  <c r="G73" i="6"/>
  <c r="F73" i="6"/>
  <c r="K72" i="6"/>
  <c r="J72" i="6"/>
  <c r="G72" i="6"/>
  <c r="F72" i="6"/>
  <c r="J71" i="6"/>
  <c r="G71" i="6"/>
  <c r="F71" i="6"/>
  <c r="S70" i="6"/>
  <c r="H75" i="6" s="1"/>
  <c r="F70" i="6"/>
  <c r="D70" i="6"/>
  <c r="I70" i="6"/>
  <c r="C70" i="6"/>
  <c r="B70" i="6"/>
  <c r="A70" i="6"/>
  <c r="Z69" i="6"/>
  <c r="Y69" i="6"/>
  <c r="X69" i="6"/>
  <c r="G68" i="6"/>
  <c r="E68" i="6"/>
  <c r="J67" i="6"/>
  <c r="E67" i="6"/>
  <c r="J66" i="6"/>
  <c r="E66" i="6"/>
  <c r="J65" i="6"/>
  <c r="G65" i="6"/>
  <c r="F65" i="6"/>
  <c r="J64" i="6"/>
  <c r="G64" i="6"/>
  <c r="F64" i="6"/>
  <c r="J63" i="6"/>
  <c r="G63" i="6"/>
  <c r="F63" i="6"/>
  <c r="F62" i="6"/>
  <c r="E62" i="6"/>
  <c r="D62" i="6"/>
  <c r="I62" i="6"/>
  <c r="C62" i="6"/>
  <c r="B62" i="6"/>
  <c r="A62" i="6"/>
  <c r="AE61" i="6"/>
  <c r="A61" i="6"/>
  <c r="C58" i="6"/>
  <c r="C57" i="6"/>
  <c r="C56" i="6"/>
  <c r="C55" i="6"/>
  <c r="C54" i="6"/>
  <c r="C53" i="6"/>
  <c r="C52" i="6"/>
  <c r="C51" i="6"/>
  <c r="C50" i="6"/>
  <c r="Z46" i="6"/>
  <c r="Y46" i="6"/>
  <c r="X46" i="6"/>
  <c r="G45" i="6"/>
  <c r="E45" i="6"/>
  <c r="J44" i="6"/>
  <c r="E44" i="6"/>
  <c r="J43" i="6"/>
  <c r="E43" i="6"/>
  <c r="J42" i="6"/>
  <c r="H42" i="6"/>
  <c r="R42" i="6" s="1"/>
  <c r="G42" i="6"/>
  <c r="F42" i="6"/>
  <c r="J41" i="6"/>
  <c r="G41" i="6"/>
  <c r="F41" i="6"/>
  <c r="J40" i="6"/>
  <c r="H40" i="6"/>
  <c r="R40" i="6" s="1"/>
  <c r="G40" i="6"/>
  <c r="F40" i="6"/>
  <c r="F39" i="6"/>
  <c r="E39" i="6"/>
  <c r="D39" i="6"/>
  <c r="I39" i="6"/>
  <c r="C39" i="6"/>
  <c r="B39" i="6"/>
  <c r="A39" i="6"/>
  <c r="AE38" i="6"/>
  <c r="A38" i="6"/>
  <c r="AE22" i="6"/>
  <c r="A22" i="6"/>
  <c r="AD19" i="6"/>
  <c r="B19" i="6"/>
  <c r="AD17" i="6"/>
  <c r="B17" i="6"/>
  <c r="H13" i="6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" i="3"/>
  <c r="Y1" i="3"/>
  <c r="CX1" i="3" s="1"/>
  <c r="CU1" i="3"/>
  <c r="CV1" i="3"/>
  <c r="CY1" i="3"/>
  <c r="CZ1" i="3"/>
  <c r="DA1" i="3"/>
  <c r="DB1" i="3"/>
  <c r="DC1" i="3"/>
  <c r="DG1" i="3"/>
  <c r="A2" i="3"/>
  <c r="Y2" i="3"/>
  <c r="CX2" i="3" s="1"/>
  <c r="CY2" i="3"/>
  <c r="CZ2" i="3"/>
  <c r="DB2" i="3" s="1"/>
  <c r="DA2" i="3"/>
  <c r="DC2" i="3"/>
  <c r="DG2" i="3"/>
  <c r="A3" i="3"/>
  <c r="Y3" i="3"/>
  <c r="CW3" i="3"/>
  <c r="CX3" i="3"/>
  <c r="DF3" i="3" s="1"/>
  <c r="CY3" i="3"/>
  <c r="CZ3" i="3"/>
  <c r="DA3" i="3"/>
  <c r="DB3" i="3"/>
  <c r="DC3" i="3"/>
  <c r="DG3" i="3"/>
  <c r="DJ3" i="3" s="1"/>
  <c r="DH3" i="3"/>
  <c r="DI3" i="3"/>
  <c r="A4" i="3"/>
  <c r="Y4" i="3"/>
  <c r="CY4" i="3"/>
  <c r="CZ4" i="3"/>
  <c r="DB4" i="3" s="1"/>
  <c r="DA4" i="3"/>
  <c r="DC4" i="3"/>
  <c r="A5" i="3"/>
  <c r="Y5" i="3"/>
  <c r="CU5" i="3"/>
  <c r="CV5" i="3"/>
  <c r="CX5" i="3"/>
  <c r="DI5" i="3" s="1"/>
  <c r="DJ5" i="3" s="1"/>
  <c r="CY5" i="3"/>
  <c r="CZ5" i="3"/>
  <c r="DA5" i="3"/>
  <c r="DB5" i="3"/>
  <c r="DC5" i="3"/>
  <c r="DF5" i="3"/>
  <c r="DG5" i="3"/>
  <c r="DH5" i="3"/>
  <c r="A6" i="3"/>
  <c r="Y6" i="3"/>
  <c r="CX6" i="3" s="1"/>
  <c r="CY6" i="3"/>
  <c r="CZ6" i="3"/>
  <c r="DB6" i="3" s="1"/>
  <c r="DA6" i="3"/>
  <c r="DC6" i="3"/>
  <c r="A7" i="3"/>
  <c r="Y7" i="3"/>
  <c r="CW7" i="3"/>
  <c r="CX7" i="3"/>
  <c r="DF7" i="3" s="1"/>
  <c r="CY7" i="3"/>
  <c r="CZ7" i="3"/>
  <c r="DA7" i="3"/>
  <c r="DB7" i="3"/>
  <c r="DC7" i="3"/>
  <c r="DG7" i="3"/>
  <c r="DJ7" i="3" s="1"/>
  <c r="DH7" i="3"/>
  <c r="DI7" i="3"/>
  <c r="A8" i="3"/>
  <c r="Y8" i="3"/>
  <c r="CY8" i="3"/>
  <c r="CZ8" i="3"/>
  <c r="DB8" i="3" s="1"/>
  <c r="DA8" i="3"/>
  <c r="DC8" i="3"/>
  <c r="A9" i="3"/>
  <c r="Y9" i="3"/>
  <c r="CW9" i="3"/>
  <c r="CX9" i="3"/>
  <c r="CY9" i="3"/>
  <c r="CZ9" i="3"/>
  <c r="DA9" i="3"/>
  <c r="DB9" i="3"/>
  <c r="DC9" i="3"/>
  <c r="DH9" i="3"/>
  <c r="A10" i="3"/>
  <c r="Y10" i="3"/>
  <c r="CY10" i="3"/>
  <c r="CZ10" i="3"/>
  <c r="DA10" i="3"/>
  <c r="DB10" i="3"/>
  <c r="DC10" i="3"/>
  <c r="A11" i="3"/>
  <c r="Y11" i="3"/>
  <c r="CY11" i="3"/>
  <c r="CZ11" i="3"/>
  <c r="DB11" i="3" s="1"/>
  <c r="DA11" i="3"/>
  <c r="DC11" i="3"/>
  <c r="A12" i="3"/>
  <c r="Y12" i="3"/>
  <c r="CY12" i="3"/>
  <c r="CZ12" i="3"/>
  <c r="DB12" i="3" s="1"/>
  <c r="DA12" i="3"/>
  <c r="DC12" i="3"/>
  <c r="A13" i="3"/>
  <c r="Y13" i="3"/>
  <c r="CY13" i="3"/>
  <c r="CZ13" i="3"/>
  <c r="DB13" i="3" s="1"/>
  <c r="DA13" i="3"/>
  <c r="DC13" i="3"/>
  <c r="A14" i="3"/>
  <c r="Y14" i="3"/>
  <c r="CY14" i="3"/>
  <c r="CZ14" i="3"/>
  <c r="DA14" i="3"/>
  <c r="DB14" i="3"/>
  <c r="DC14" i="3"/>
  <c r="A15" i="3"/>
  <c r="Y15" i="3"/>
  <c r="CY15" i="3"/>
  <c r="CZ15" i="3"/>
  <c r="DA15" i="3"/>
  <c r="DB15" i="3"/>
  <c r="L15" i="8" s="1"/>
  <c r="DC15" i="3"/>
  <c r="Q15" i="8" s="1"/>
  <c r="A16" i="3"/>
  <c r="Y16" i="3"/>
  <c r="CY16" i="3"/>
  <c r="CZ16" i="3"/>
  <c r="DB16" i="3" s="1"/>
  <c r="L14" i="8" s="1"/>
  <c r="DA16" i="3"/>
  <c r="DC16" i="3"/>
  <c r="Q14" i="8" s="1"/>
  <c r="A17" i="3"/>
  <c r="Y17" i="3"/>
  <c r="I13" i="8" s="1"/>
  <c r="CY17" i="3"/>
  <c r="CZ17" i="3"/>
  <c r="DB17" i="3" s="1"/>
  <c r="L13" i="8" s="1"/>
  <c r="DA17" i="3"/>
  <c r="DC17" i="3"/>
  <c r="Q13" i="8" s="1"/>
  <c r="A18" i="3"/>
  <c r="Y18" i="3"/>
  <c r="CY18" i="3"/>
  <c r="CZ18" i="3"/>
  <c r="DA18" i="3"/>
  <c r="DB18" i="3"/>
  <c r="L12" i="8" s="1"/>
  <c r="DC18" i="3"/>
  <c r="Q12" i="8" s="1"/>
  <c r="A19" i="3"/>
  <c r="Y19" i="3"/>
  <c r="CY19" i="3"/>
  <c r="CZ19" i="3"/>
  <c r="DB19" i="3" s="1"/>
  <c r="L11" i="8" s="1"/>
  <c r="DA19" i="3"/>
  <c r="DC19" i="3"/>
  <c r="Q11" i="8" s="1"/>
  <c r="A20" i="3"/>
  <c r="Y20" i="3"/>
  <c r="CY20" i="3"/>
  <c r="CZ20" i="3"/>
  <c r="DB20" i="3" s="1"/>
  <c r="L10" i="8" s="1"/>
  <c r="DA20" i="3"/>
  <c r="DC20" i="3"/>
  <c r="Q10" i="8" s="1"/>
  <c r="A21" i="3"/>
  <c r="Y21" i="3"/>
  <c r="CY21" i="3"/>
  <c r="CZ21" i="3"/>
  <c r="DA21" i="3"/>
  <c r="DB21" i="3"/>
  <c r="L9" i="8" s="1"/>
  <c r="DC21" i="3"/>
  <c r="Q9" i="8" s="1"/>
  <c r="A22" i="3"/>
  <c r="Y22" i="3"/>
  <c r="CU22" i="3"/>
  <c r="CY22" i="3"/>
  <c r="CZ22" i="3"/>
  <c r="DB22" i="3" s="1"/>
  <c r="DA22" i="3"/>
  <c r="DC22" i="3"/>
  <c r="A23" i="3"/>
  <c r="Y23" i="3"/>
  <c r="CX23" i="3"/>
  <c r="CY23" i="3"/>
  <c r="CZ23" i="3"/>
  <c r="DA23" i="3"/>
  <c r="DB23" i="3"/>
  <c r="DC23" i="3"/>
  <c r="DH23" i="3"/>
  <c r="A24" i="3"/>
  <c r="Y24" i="3"/>
  <c r="CX24" i="3" s="1"/>
  <c r="CW24" i="3"/>
  <c r="CY24" i="3"/>
  <c r="CZ24" i="3"/>
  <c r="DB24" i="3" s="1"/>
  <c r="DA24" i="3"/>
  <c r="DC24" i="3"/>
  <c r="DG24" i="3"/>
  <c r="DJ24" i="3" s="1"/>
  <c r="A25" i="3"/>
  <c r="Y25" i="3"/>
  <c r="CW25" i="3"/>
  <c r="CX25" i="3"/>
  <c r="DF25" i="3" s="1"/>
  <c r="CY25" i="3"/>
  <c r="CZ25" i="3"/>
  <c r="DA25" i="3"/>
  <c r="DB25" i="3"/>
  <c r="DC25" i="3"/>
  <c r="DG25" i="3"/>
  <c r="DJ25" i="3" s="1"/>
  <c r="DH25" i="3"/>
  <c r="DI25" i="3"/>
  <c r="A26" i="3"/>
  <c r="Y26" i="3"/>
  <c r="CY26" i="3"/>
  <c r="CZ26" i="3"/>
  <c r="DA26" i="3"/>
  <c r="DB26" i="3"/>
  <c r="L21" i="8" s="1"/>
  <c r="DC26" i="3"/>
  <c r="Q21" i="8" s="1"/>
  <c r="A27" i="3"/>
  <c r="Y27" i="3"/>
  <c r="CY27" i="3"/>
  <c r="CZ27" i="3"/>
  <c r="DB27" i="3" s="1"/>
  <c r="L20" i="8" s="1"/>
  <c r="DA27" i="3"/>
  <c r="DC27" i="3"/>
  <c r="Q20" i="8" s="1"/>
  <c r="A28" i="3"/>
  <c r="Y28" i="3"/>
  <c r="CX28" i="3"/>
  <c r="CY28" i="3"/>
  <c r="CZ28" i="3"/>
  <c r="DB28" i="3" s="1"/>
  <c r="DA28" i="3"/>
  <c r="DC28" i="3"/>
  <c r="DH28" i="3"/>
  <c r="A29" i="3"/>
  <c r="Y29" i="3"/>
  <c r="I19" i="8" s="1"/>
  <c r="CX29" i="3"/>
  <c r="CY29" i="3"/>
  <c r="CZ29" i="3"/>
  <c r="DA29" i="3"/>
  <c r="DB29" i="3"/>
  <c r="L19" i="8" s="1"/>
  <c r="DC29" i="3"/>
  <c r="Q19" i="8" s="1"/>
  <c r="DH29" i="3"/>
  <c r="A30" i="3"/>
  <c r="Y30" i="3"/>
  <c r="I18" i="8" s="1"/>
  <c r="CX30" i="3"/>
  <c r="DI30" i="3" s="1"/>
  <c r="CY30" i="3"/>
  <c r="CZ30" i="3"/>
  <c r="DB30" i="3" s="1"/>
  <c r="L18" i="8" s="1"/>
  <c r="DA30" i="3"/>
  <c r="DC30" i="3"/>
  <c r="Q18" i="8" s="1"/>
  <c r="A31" i="3"/>
  <c r="Y31" i="3"/>
  <c r="CX31" i="3"/>
  <c r="DG31" i="3" s="1"/>
  <c r="CY31" i="3"/>
  <c r="CZ31" i="3"/>
  <c r="DB31" i="3" s="1"/>
  <c r="DA31" i="3"/>
  <c r="DC31" i="3"/>
  <c r="DF31" i="3"/>
  <c r="DH31" i="3"/>
  <c r="DI31" i="3"/>
  <c r="DJ31" i="3"/>
  <c r="A32" i="3"/>
  <c r="Y32" i="3"/>
  <c r="CX32" i="3"/>
  <c r="DG32" i="3" s="1"/>
  <c r="CY32" i="3"/>
  <c r="CZ32" i="3"/>
  <c r="DA32" i="3"/>
  <c r="DB32" i="3"/>
  <c r="DC32" i="3"/>
  <c r="DF32" i="3"/>
  <c r="DJ32" i="3" s="1"/>
  <c r="DH32" i="3"/>
  <c r="DI32" i="3"/>
  <c r="A33" i="3"/>
  <c r="Y33" i="3"/>
  <c r="CX33" i="3"/>
  <c r="DF33" i="3" s="1"/>
  <c r="DJ33" i="3" s="1"/>
  <c r="CY33" i="3"/>
  <c r="CZ33" i="3"/>
  <c r="DA33" i="3"/>
  <c r="DB33" i="3"/>
  <c r="DC33" i="3"/>
  <c r="DI33" i="3"/>
  <c r="A34" i="3"/>
  <c r="Y34" i="3"/>
  <c r="CX34" i="3" s="1"/>
  <c r="CY34" i="3"/>
  <c r="CZ34" i="3"/>
  <c r="DB34" i="3" s="1"/>
  <c r="DA34" i="3"/>
  <c r="DC34" i="3"/>
  <c r="DG34" i="3"/>
  <c r="A35" i="3"/>
  <c r="Y35" i="3"/>
  <c r="CY35" i="3"/>
  <c r="CZ35" i="3"/>
  <c r="DB35" i="3" s="1"/>
  <c r="L17" i="8" s="1"/>
  <c r="DA35" i="3"/>
  <c r="DC35" i="3"/>
  <c r="Q17" i="8" s="1"/>
  <c r="A36" i="3"/>
  <c r="Y36" i="3"/>
  <c r="CX36" i="3"/>
  <c r="DH36" i="3" s="1"/>
  <c r="CY36" i="3"/>
  <c r="CZ36" i="3"/>
  <c r="DB36" i="3" s="1"/>
  <c r="DA36" i="3"/>
  <c r="DC36" i="3"/>
  <c r="DI36" i="3"/>
  <c r="A37" i="3"/>
  <c r="Y37" i="3"/>
  <c r="CX37" i="3"/>
  <c r="CY37" i="3"/>
  <c r="CZ37" i="3"/>
  <c r="DB37" i="3" s="1"/>
  <c r="DA37" i="3"/>
  <c r="DC37" i="3"/>
  <c r="DF37" i="3"/>
  <c r="DG37" i="3"/>
  <c r="DH37" i="3"/>
  <c r="DI37" i="3"/>
  <c r="DJ37" i="3"/>
  <c r="A38" i="3"/>
  <c r="Y38" i="3"/>
  <c r="CX38" i="3"/>
  <c r="CY38" i="3"/>
  <c r="CZ38" i="3"/>
  <c r="DA38" i="3"/>
  <c r="DB38" i="3"/>
  <c r="DC38" i="3"/>
  <c r="A39" i="3"/>
  <c r="Y39" i="3"/>
  <c r="CX39" i="3"/>
  <c r="CY39" i="3"/>
  <c r="CZ39" i="3"/>
  <c r="DB39" i="3" s="1"/>
  <c r="DA39" i="3"/>
  <c r="DC39" i="3"/>
  <c r="DH39" i="3"/>
  <c r="A40" i="3"/>
  <c r="Y40" i="3"/>
  <c r="I16" i="8" s="1"/>
  <c r="D37" i="7" s="1"/>
  <c r="CY40" i="3"/>
  <c r="CZ40" i="3"/>
  <c r="DB40" i="3" s="1"/>
  <c r="L16" i="8" s="1"/>
  <c r="DA40" i="3"/>
  <c r="DC40" i="3"/>
  <c r="Q16" i="8" s="1"/>
  <c r="A41" i="3"/>
  <c r="Y41" i="3"/>
  <c r="CU41" i="3"/>
  <c r="CV41" i="3"/>
  <c r="CX41" i="3"/>
  <c r="DI41" i="3" s="1"/>
  <c r="DJ41" i="3" s="1"/>
  <c r="CY41" i="3"/>
  <c r="CZ41" i="3"/>
  <c r="DA41" i="3"/>
  <c r="DB41" i="3"/>
  <c r="DC41" i="3"/>
  <c r="DF41" i="3"/>
  <c r="DG41" i="3"/>
  <c r="DH41" i="3"/>
  <c r="A42" i="3"/>
  <c r="Y42" i="3"/>
  <c r="CX42" i="3" s="1"/>
  <c r="CY42" i="3"/>
  <c r="CZ42" i="3"/>
  <c r="DB42" i="3" s="1"/>
  <c r="DA42" i="3"/>
  <c r="DC42" i="3"/>
  <c r="DI42" i="3"/>
  <c r="DJ42" i="3"/>
  <c r="A43" i="3"/>
  <c r="Y43" i="3"/>
  <c r="CW43" i="3" s="1"/>
  <c r="CX43" i="3"/>
  <c r="DF43" i="3" s="1"/>
  <c r="CY43" i="3"/>
  <c r="CZ43" i="3"/>
  <c r="DA43" i="3"/>
  <c r="DB43" i="3"/>
  <c r="DC43" i="3"/>
  <c r="DH43" i="3"/>
  <c r="DI43" i="3"/>
  <c r="A44" i="3"/>
  <c r="Y44" i="3"/>
  <c r="CY44" i="3"/>
  <c r="CZ44" i="3"/>
  <c r="DB44" i="3" s="1"/>
  <c r="DA44" i="3"/>
  <c r="DC44" i="3"/>
  <c r="A45" i="3"/>
  <c r="Y45" i="3"/>
  <c r="I37" i="8" s="1"/>
  <c r="CX45" i="3"/>
  <c r="DG45" i="3" s="1"/>
  <c r="CY45" i="3"/>
  <c r="CZ45" i="3"/>
  <c r="DB45" i="3" s="1"/>
  <c r="L37" i="8" s="1"/>
  <c r="DA45" i="3"/>
  <c r="DC45" i="3"/>
  <c r="Q37" i="8" s="1"/>
  <c r="DF45" i="3"/>
  <c r="DJ45" i="3" s="1"/>
  <c r="DH45" i="3"/>
  <c r="DI45" i="3"/>
  <c r="A46" i="3"/>
  <c r="Y46" i="3"/>
  <c r="I36" i="8" s="1"/>
  <c r="CX46" i="3"/>
  <c r="DF46" i="3" s="1"/>
  <c r="DJ46" i="3" s="1"/>
  <c r="CY46" i="3"/>
  <c r="CZ46" i="3"/>
  <c r="DA46" i="3"/>
  <c r="DB46" i="3"/>
  <c r="L36" i="8" s="1"/>
  <c r="DC46" i="3"/>
  <c r="Q36" i="8" s="1"/>
  <c r="DH46" i="3"/>
  <c r="DI46" i="3"/>
  <c r="A47" i="3"/>
  <c r="Y47" i="3"/>
  <c r="CX47" i="3" s="1"/>
  <c r="CY47" i="3"/>
  <c r="CZ47" i="3"/>
  <c r="DA47" i="3"/>
  <c r="DB47" i="3"/>
  <c r="DC47" i="3"/>
  <c r="A48" i="3"/>
  <c r="Y48" i="3"/>
  <c r="CY48" i="3"/>
  <c r="CZ48" i="3"/>
  <c r="DB48" i="3" s="1"/>
  <c r="L35" i="8" s="1"/>
  <c r="DA48" i="3"/>
  <c r="DC48" i="3"/>
  <c r="Q35" i="8" s="1"/>
  <c r="A49" i="3"/>
  <c r="Y49" i="3"/>
  <c r="I34" i="8" s="1"/>
  <c r="CX49" i="3"/>
  <c r="DG49" i="3" s="1"/>
  <c r="CY49" i="3"/>
  <c r="CZ49" i="3"/>
  <c r="DA49" i="3"/>
  <c r="DB49" i="3"/>
  <c r="L34" i="8" s="1"/>
  <c r="DC49" i="3"/>
  <c r="Q34" i="8" s="1"/>
  <c r="DF49" i="3"/>
  <c r="DH49" i="3"/>
  <c r="DI49" i="3"/>
  <c r="DJ49" i="3"/>
  <c r="A50" i="3"/>
  <c r="Y50" i="3"/>
  <c r="CX50" i="3"/>
  <c r="CY50" i="3"/>
  <c r="CZ50" i="3"/>
  <c r="DA50" i="3"/>
  <c r="DB50" i="3"/>
  <c r="DC50" i="3"/>
  <c r="A51" i="3"/>
  <c r="Y51" i="3"/>
  <c r="CX51" i="3"/>
  <c r="CY51" i="3"/>
  <c r="CZ51" i="3"/>
  <c r="DB51" i="3" s="1"/>
  <c r="DA51" i="3"/>
  <c r="DC51" i="3"/>
  <c r="A52" i="3"/>
  <c r="Y52" i="3"/>
  <c r="I33" i="8" s="1"/>
  <c r="CY52" i="3"/>
  <c r="CZ52" i="3"/>
  <c r="DB52" i="3" s="1"/>
  <c r="L33" i="8" s="1"/>
  <c r="DA52" i="3"/>
  <c r="DC52" i="3"/>
  <c r="Q33" i="8" s="1"/>
  <c r="A53" i="3"/>
  <c r="Y53" i="3"/>
  <c r="CX53" i="3"/>
  <c r="CY53" i="3"/>
  <c r="CZ53" i="3"/>
  <c r="DB53" i="3" s="1"/>
  <c r="DA53" i="3"/>
  <c r="DC53" i="3"/>
  <c r="A54" i="3"/>
  <c r="Y54" i="3"/>
  <c r="CX54" i="3"/>
  <c r="DF54" i="3" s="1"/>
  <c r="DJ54" i="3" s="1"/>
  <c r="CY54" i="3"/>
  <c r="CZ54" i="3"/>
  <c r="DA54" i="3"/>
  <c r="DB54" i="3"/>
  <c r="DC54" i="3"/>
  <c r="DH54" i="3"/>
  <c r="DI54" i="3"/>
  <c r="A55" i="3"/>
  <c r="Y55" i="3"/>
  <c r="CU55" i="3"/>
  <c r="CY55" i="3"/>
  <c r="CZ55" i="3"/>
  <c r="DA55" i="3"/>
  <c r="DB55" i="3"/>
  <c r="DC55" i="3"/>
  <c r="A56" i="3"/>
  <c r="Y56" i="3"/>
  <c r="CX56" i="3"/>
  <c r="CY56" i="3"/>
  <c r="CZ56" i="3"/>
  <c r="DA56" i="3"/>
  <c r="DB56" i="3"/>
  <c r="DC56" i="3"/>
  <c r="DG56" i="3"/>
  <c r="A57" i="3"/>
  <c r="Y57" i="3"/>
  <c r="CX57" i="3" s="1"/>
  <c r="CW57" i="3"/>
  <c r="CY57" i="3"/>
  <c r="CZ57" i="3"/>
  <c r="DB57" i="3" s="1"/>
  <c r="DA57" i="3"/>
  <c r="DC57" i="3"/>
  <c r="A58" i="3"/>
  <c r="Y58" i="3"/>
  <c r="CW58" i="3"/>
  <c r="CX58" i="3"/>
  <c r="DF58" i="3" s="1"/>
  <c r="CY58" i="3"/>
  <c r="CZ58" i="3"/>
  <c r="DA58" i="3"/>
  <c r="DB58" i="3"/>
  <c r="DC58" i="3"/>
  <c r="DH58" i="3"/>
  <c r="DI58" i="3"/>
  <c r="A59" i="3"/>
  <c r="Y59" i="3"/>
  <c r="CY59" i="3"/>
  <c r="CZ59" i="3"/>
  <c r="DB59" i="3" s="1"/>
  <c r="DA59" i="3"/>
  <c r="DC59" i="3"/>
  <c r="A60" i="3"/>
  <c r="Y60" i="3"/>
  <c r="I39" i="8" s="1"/>
  <c r="CX60" i="3"/>
  <c r="CY60" i="3"/>
  <c r="CZ60" i="3"/>
  <c r="DB60" i="3" s="1"/>
  <c r="L39" i="8" s="1"/>
  <c r="DA60" i="3"/>
  <c r="DC60" i="3"/>
  <c r="Q39" i="8" s="1"/>
  <c r="A61" i="3"/>
  <c r="Y61" i="3"/>
  <c r="CX61" i="3"/>
  <c r="DF61" i="3" s="1"/>
  <c r="DJ61" i="3" s="1"/>
  <c r="CY61" i="3"/>
  <c r="CZ61" i="3"/>
  <c r="DA61" i="3"/>
  <c r="DB61" i="3"/>
  <c r="DC61" i="3"/>
  <c r="DH61" i="3"/>
  <c r="DI61" i="3"/>
  <c r="A62" i="3"/>
  <c r="Y62" i="3"/>
  <c r="CU62" i="3"/>
  <c r="CY62" i="3"/>
  <c r="CZ62" i="3"/>
  <c r="DA62" i="3"/>
  <c r="DB62" i="3"/>
  <c r="DC62" i="3"/>
  <c r="A63" i="3"/>
  <c r="Y63" i="3"/>
  <c r="CX63" i="3"/>
  <c r="CY63" i="3"/>
  <c r="CZ63" i="3"/>
  <c r="DA63" i="3"/>
  <c r="DB63" i="3"/>
  <c r="DC63" i="3"/>
  <c r="A64" i="3"/>
  <c r="Y64" i="3"/>
  <c r="CX64" i="3" s="1"/>
  <c r="CW64" i="3"/>
  <c r="CY64" i="3"/>
  <c r="CZ64" i="3"/>
  <c r="DB64" i="3" s="1"/>
  <c r="DA64" i="3"/>
  <c r="DC64" i="3"/>
  <c r="DG64" i="3"/>
  <c r="DJ64" i="3" s="1"/>
  <c r="DI64" i="3"/>
  <c r="A65" i="3"/>
  <c r="Y65" i="3"/>
  <c r="CW65" i="3"/>
  <c r="CX65" i="3"/>
  <c r="DF65" i="3" s="1"/>
  <c r="CY65" i="3"/>
  <c r="CZ65" i="3"/>
  <c r="DA65" i="3"/>
  <c r="DB65" i="3"/>
  <c r="DC65" i="3"/>
  <c r="DH65" i="3"/>
  <c r="DI65" i="3"/>
  <c r="A66" i="3"/>
  <c r="Y66" i="3"/>
  <c r="CY66" i="3"/>
  <c r="CZ66" i="3"/>
  <c r="DB66" i="3" s="1"/>
  <c r="DA66" i="3"/>
  <c r="DC66" i="3"/>
  <c r="A67" i="3"/>
  <c r="Y67" i="3"/>
  <c r="CX67" i="3"/>
  <c r="DG67" i="3" s="1"/>
  <c r="CY67" i="3"/>
  <c r="CZ67" i="3"/>
  <c r="DB67" i="3" s="1"/>
  <c r="DA67" i="3"/>
  <c r="DC67" i="3"/>
  <c r="DF67" i="3"/>
  <c r="DJ67" i="3" s="1"/>
  <c r="DI67" i="3"/>
  <c r="A68" i="3"/>
  <c r="Y68" i="3"/>
  <c r="CY68" i="3"/>
  <c r="CZ68" i="3"/>
  <c r="DA68" i="3"/>
  <c r="DB68" i="3"/>
  <c r="DC68" i="3"/>
  <c r="A69" i="3"/>
  <c r="Y69" i="3"/>
  <c r="CY69" i="3"/>
  <c r="CZ69" i="3"/>
  <c r="DB69" i="3" s="1"/>
  <c r="DA69" i="3"/>
  <c r="DC69" i="3"/>
  <c r="A70" i="3"/>
  <c r="Y70" i="3"/>
  <c r="CY70" i="3"/>
  <c r="CZ70" i="3"/>
  <c r="DA70" i="3"/>
  <c r="DB70" i="3"/>
  <c r="DC70" i="3"/>
  <c r="A71" i="3"/>
  <c r="Y71" i="3"/>
  <c r="CY71" i="3"/>
  <c r="CZ71" i="3"/>
  <c r="DA71" i="3"/>
  <c r="DB71" i="3"/>
  <c r="DC71" i="3"/>
  <c r="A72" i="3"/>
  <c r="Y72" i="3"/>
  <c r="CY72" i="3"/>
  <c r="CZ72" i="3"/>
  <c r="DB72" i="3" s="1"/>
  <c r="DA72" i="3"/>
  <c r="DC72" i="3"/>
  <c r="A73" i="3"/>
  <c r="Y73" i="3"/>
  <c r="CY73" i="3"/>
  <c r="CZ73" i="3"/>
  <c r="DB73" i="3" s="1"/>
  <c r="DA73" i="3"/>
  <c r="DC73" i="3"/>
  <c r="A74" i="3"/>
  <c r="Y74" i="3"/>
  <c r="CY74" i="3"/>
  <c r="CZ74" i="3"/>
  <c r="DB74" i="3" s="1"/>
  <c r="DA74" i="3"/>
  <c r="DC74" i="3"/>
  <c r="A75" i="3"/>
  <c r="Y75" i="3"/>
  <c r="CY75" i="3"/>
  <c r="CZ75" i="3"/>
  <c r="DA75" i="3"/>
  <c r="DB75" i="3"/>
  <c r="L43" i="8" s="1"/>
  <c r="DC75" i="3"/>
  <c r="Q43" i="8" s="1"/>
  <c r="A76" i="3"/>
  <c r="Y76" i="3"/>
  <c r="CY76" i="3"/>
  <c r="CZ76" i="3"/>
  <c r="DA76" i="3"/>
  <c r="DB76" i="3"/>
  <c r="L42" i="8" s="1"/>
  <c r="DC76" i="3"/>
  <c r="Q42" i="8" s="1"/>
  <c r="A77" i="3"/>
  <c r="Y77" i="3"/>
  <c r="CY77" i="3"/>
  <c r="CZ77" i="3"/>
  <c r="DB77" i="3" s="1"/>
  <c r="L41" i="8" s="1"/>
  <c r="DA77" i="3"/>
  <c r="DC77" i="3"/>
  <c r="Q41" i="8" s="1"/>
  <c r="A78" i="3"/>
  <c r="Y78" i="3"/>
  <c r="CV78" i="3" s="1"/>
  <c r="CU78" i="3"/>
  <c r="CX78" i="3"/>
  <c r="DF78" i="3" s="1"/>
  <c r="CY78" i="3"/>
  <c r="CZ78" i="3"/>
  <c r="DA78" i="3"/>
  <c r="DB78" i="3"/>
  <c r="DC78" i="3"/>
  <c r="DH78" i="3"/>
  <c r="DI78" i="3"/>
  <c r="DJ78" i="3" s="1"/>
  <c r="A79" i="3"/>
  <c r="Y79" i="3"/>
  <c r="CX79" i="3" s="1"/>
  <c r="CY79" i="3"/>
  <c r="CZ79" i="3"/>
  <c r="DA79" i="3"/>
  <c r="DB79" i="3"/>
  <c r="DC79" i="3"/>
  <c r="A80" i="3"/>
  <c r="Y80" i="3"/>
  <c r="CW80" i="3" s="1"/>
  <c r="CX80" i="3"/>
  <c r="DG80" i="3" s="1"/>
  <c r="DJ80" i="3" s="1"/>
  <c r="CY80" i="3"/>
  <c r="CZ80" i="3"/>
  <c r="DB80" i="3" s="1"/>
  <c r="DA80" i="3"/>
  <c r="DC80" i="3"/>
  <c r="DF80" i="3"/>
  <c r="DH80" i="3"/>
  <c r="A81" i="3"/>
  <c r="Y81" i="3"/>
  <c r="CW81" i="3"/>
  <c r="CX81" i="3"/>
  <c r="CY81" i="3"/>
  <c r="CZ81" i="3"/>
  <c r="DB81" i="3" s="1"/>
  <c r="DA81" i="3"/>
  <c r="DC81" i="3"/>
  <c r="A82" i="3"/>
  <c r="Y82" i="3"/>
  <c r="CW82" i="3" s="1"/>
  <c r="CY82" i="3"/>
  <c r="CZ82" i="3"/>
  <c r="DB82" i="3" s="1"/>
  <c r="DA82" i="3"/>
  <c r="DC82" i="3"/>
  <c r="A83" i="3"/>
  <c r="Y83" i="3"/>
  <c r="CY83" i="3"/>
  <c r="CZ83" i="3"/>
  <c r="DA83" i="3"/>
  <c r="DB83" i="3"/>
  <c r="L45" i="8" s="1"/>
  <c r="DC83" i="3"/>
  <c r="Q45" i="8" s="1"/>
  <c r="A84" i="3"/>
  <c r="Y84" i="3"/>
  <c r="CX84" i="3"/>
  <c r="CY84" i="3"/>
  <c r="CZ84" i="3"/>
  <c r="DB84" i="3" s="1"/>
  <c r="DA84" i="3"/>
  <c r="DC84" i="3"/>
  <c r="A85" i="3"/>
  <c r="Y85" i="3"/>
  <c r="CV85" i="3" s="1"/>
  <c r="CU85" i="3"/>
  <c r="CX85" i="3"/>
  <c r="DF85" i="3" s="1"/>
  <c r="CY85" i="3"/>
  <c r="CZ85" i="3"/>
  <c r="DA85" i="3"/>
  <c r="DB85" i="3"/>
  <c r="DC85" i="3"/>
  <c r="DH85" i="3"/>
  <c r="DI85" i="3"/>
  <c r="DJ85" i="3" s="1"/>
  <c r="A86" i="3"/>
  <c r="Y86" i="3"/>
  <c r="CU86" i="3"/>
  <c r="CY86" i="3"/>
  <c r="CZ86" i="3"/>
  <c r="DA86" i="3"/>
  <c r="DB86" i="3"/>
  <c r="DC86" i="3"/>
  <c r="A87" i="3"/>
  <c r="Y87" i="3"/>
  <c r="CY87" i="3"/>
  <c r="CZ87" i="3"/>
  <c r="DB87" i="3" s="1"/>
  <c r="DA87" i="3"/>
  <c r="DC87" i="3"/>
  <c r="A88" i="3"/>
  <c r="Y88" i="3"/>
  <c r="CY88" i="3"/>
  <c r="CZ88" i="3"/>
  <c r="DB88" i="3" s="1"/>
  <c r="DA88" i="3"/>
  <c r="DC88" i="3"/>
  <c r="A89" i="3"/>
  <c r="Y89" i="3"/>
  <c r="CY89" i="3"/>
  <c r="CZ89" i="3"/>
  <c r="DB89" i="3" s="1"/>
  <c r="DA89" i="3"/>
  <c r="DC89" i="3"/>
  <c r="A90" i="3"/>
  <c r="Y90" i="3"/>
  <c r="CY90" i="3"/>
  <c r="CZ90" i="3"/>
  <c r="DA90" i="3"/>
  <c r="DB90" i="3"/>
  <c r="DC90" i="3"/>
  <c r="A91" i="3"/>
  <c r="Y91" i="3"/>
  <c r="CY91" i="3"/>
  <c r="CZ91" i="3"/>
  <c r="DB91" i="3" s="1"/>
  <c r="DA91" i="3"/>
  <c r="DC91" i="3"/>
  <c r="A92" i="3"/>
  <c r="Y92" i="3"/>
  <c r="CY92" i="3"/>
  <c r="CZ92" i="3"/>
  <c r="DB92" i="3" s="1"/>
  <c r="DA92" i="3"/>
  <c r="DC92" i="3"/>
  <c r="A93" i="3"/>
  <c r="Y93" i="3"/>
  <c r="CY93" i="3"/>
  <c r="CZ93" i="3"/>
  <c r="DA93" i="3"/>
  <c r="DB93" i="3"/>
  <c r="DC93" i="3"/>
  <c r="A94" i="3"/>
  <c r="Y94" i="3"/>
  <c r="CY94" i="3"/>
  <c r="CZ94" i="3"/>
  <c r="DA94" i="3"/>
  <c r="DB94" i="3"/>
  <c r="L53" i="8" s="1"/>
  <c r="DC94" i="3"/>
  <c r="Q53" i="8" s="1"/>
  <c r="A95" i="3"/>
  <c r="Y95" i="3"/>
  <c r="CY95" i="3"/>
  <c r="CZ95" i="3"/>
  <c r="DB95" i="3" s="1"/>
  <c r="L52" i="8" s="1"/>
  <c r="DA95" i="3"/>
  <c r="DC95" i="3"/>
  <c r="Q52" i="8" s="1"/>
  <c r="A96" i="3"/>
  <c r="Y96" i="3"/>
  <c r="CY96" i="3"/>
  <c r="CZ96" i="3"/>
  <c r="DB96" i="3" s="1"/>
  <c r="L51" i="8" s="1"/>
  <c r="DA96" i="3"/>
  <c r="DC96" i="3"/>
  <c r="Q51" i="8" s="1"/>
  <c r="A97" i="3"/>
  <c r="Y97" i="3"/>
  <c r="CY97" i="3"/>
  <c r="CZ97" i="3"/>
  <c r="DB97" i="3" s="1"/>
  <c r="L50" i="8" s="1"/>
  <c r="DA97" i="3"/>
  <c r="DC97" i="3"/>
  <c r="Q50" i="8" s="1"/>
  <c r="A98" i="3"/>
  <c r="Y98" i="3"/>
  <c r="CY98" i="3"/>
  <c r="CZ98" i="3"/>
  <c r="DA98" i="3"/>
  <c r="DB98" i="3"/>
  <c r="DC98" i="3"/>
  <c r="A99" i="3"/>
  <c r="Y99" i="3"/>
  <c r="CY99" i="3"/>
  <c r="CZ99" i="3"/>
  <c r="DA99" i="3"/>
  <c r="DB99" i="3"/>
  <c r="DC99" i="3"/>
  <c r="A100" i="3"/>
  <c r="Y100" i="3"/>
  <c r="CY100" i="3"/>
  <c r="CZ100" i="3"/>
  <c r="DB100" i="3" s="1"/>
  <c r="DA100" i="3"/>
  <c r="DC100" i="3"/>
  <c r="A101" i="3"/>
  <c r="Y101" i="3"/>
  <c r="CY101" i="3"/>
  <c r="CZ101" i="3"/>
  <c r="DA101" i="3"/>
  <c r="DB101" i="3"/>
  <c r="L49" i="8" s="1"/>
  <c r="DC101" i="3"/>
  <c r="Q49" i="8" s="1"/>
  <c r="A102" i="3"/>
  <c r="Y102" i="3"/>
  <c r="I48" i="8" s="1"/>
  <c r="D36" i="7" s="1"/>
  <c r="CY102" i="3"/>
  <c r="CZ102" i="3"/>
  <c r="DA102" i="3"/>
  <c r="DB102" i="3"/>
  <c r="L48" i="8" s="1"/>
  <c r="DC102" i="3"/>
  <c r="Q48" i="8" s="1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AC28" i="1"/>
  <c r="AE28" i="1"/>
  <c r="AF28" i="1"/>
  <c r="AG28" i="1"/>
  <c r="AH28" i="1"/>
  <c r="AI28" i="1"/>
  <c r="AJ28" i="1"/>
  <c r="CQ28" i="1"/>
  <c r="P28" i="1" s="1"/>
  <c r="CR28" i="1"/>
  <c r="Q28" i="1" s="1"/>
  <c r="CS28" i="1"/>
  <c r="R28" i="1" s="1"/>
  <c r="CT28" i="1"/>
  <c r="S28" i="1" s="1"/>
  <c r="L38" i="9" s="1"/>
  <c r="CU28" i="1"/>
  <c r="T28" i="1" s="1"/>
  <c r="AG30" i="1" s="1"/>
  <c r="CV28" i="1"/>
  <c r="U28" i="1" s="1"/>
  <c r="CW28" i="1"/>
  <c r="V28" i="1" s="1"/>
  <c r="AI30" i="1" s="1"/>
  <c r="CX28" i="1"/>
  <c r="W28" i="1" s="1"/>
  <c r="AJ30" i="1" s="1"/>
  <c r="FR28" i="1"/>
  <c r="GL28" i="1"/>
  <c r="BZ30" i="1" s="1"/>
  <c r="CI30" i="1" s="1"/>
  <c r="GO28" i="1"/>
  <c r="CC30" i="1" s="1"/>
  <c r="GP28" i="1"/>
  <c r="GV28" i="1"/>
  <c r="HC28" i="1" s="1"/>
  <c r="GX28" i="1" s="1"/>
  <c r="CJ30" i="1" s="1"/>
  <c r="B30" i="1"/>
  <c r="B26" i="1" s="1"/>
  <c r="C30" i="1"/>
  <c r="C26" i="1" s="1"/>
  <c r="D30" i="1"/>
  <c r="D26" i="1" s="1"/>
  <c r="F30" i="1"/>
  <c r="F26" i="1" s="1"/>
  <c r="G30" i="1"/>
  <c r="AC30" i="1"/>
  <c r="AD30" i="1"/>
  <c r="AE30" i="1"/>
  <c r="AF30" i="1"/>
  <c r="AH30" i="1"/>
  <c r="BX30" i="1"/>
  <c r="BY30" i="1"/>
  <c r="CF30" i="1" s="1"/>
  <c r="CD30" i="1"/>
  <c r="CK30" i="1"/>
  <c r="CL30" i="1"/>
  <c r="CM30" i="1"/>
  <c r="D69" i="1"/>
  <c r="E71" i="1"/>
  <c r="Z71" i="1"/>
  <c r="AA71" i="1"/>
  <c r="AM71" i="1"/>
  <c r="AN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BQ71" i="1"/>
  <c r="BR71" i="1"/>
  <c r="BS71" i="1"/>
  <c r="BT71" i="1"/>
  <c r="BU71" i="1"/>
  <c r="BV71" i="1"/>
  <c r="BW71" i="1"/>
  <c r="CN71" i="1"/>
  <c r="CO71" i="1"/>
  <c r="CP71" i="1"/>
  <c r="CQ71" i="1"/>
  <c r="CR71" i="1"/>
  <c r="CS71" i="1"/>
  <c r="CT71" i="1"/>
  <c r="CU71" i="1"/>
  <c r="CV71" i="1"/>
  <c r="CW71" i="1"/>
  <c r="CX71" i="1"/>
  <c r="CY71" i="1"/>
  <c r="CZ71" i="1"/>
  <c r="DA71" i="1"/>
  <c r="DB71" i="1"/>
  <c r="DC71" i="1"/>
  <c r="DD71" i="1"/>
  <c r="DE71" i="1"/>
  <c r="DF71" i="1"/>
  <c r="DG71" i="1"/>
  <c r="DH71" i="1"/>
  <c r="DI71" i="1"/>
  <c r="DJ71" i="1"/>
  <c r="DK71" i="1"/>
  <c r="DL71" i="1"/>
  <c r="DM71" i="1"/>
  <c r="DN71" i="1"/>
  <c r="DO71" i="1"/>
  <c r="DP71" i="1"/>
  <c r="DQ71" i="1"/>
  <c r="DR71" i="1"/>
  <c r="DS71" i="1"/>
  <c r="DT71" i="1"/>
  <c r="DU71" i="1"/>
  <c r="DV71" i="1"/>
  <c r="DW71" i="1"/>
  <c r="DX71" i="1"/>
  <c r="DY71" i="1"/>
  <c r="DZ71" i="1"/>
  <c r="EA71" i="1"/>
  <c r="EB71" i="1"/>
  <c r="EC71" i="1"/>
  <c r="ED71" i="1"/>
  <c r="EE71" i="1"/>
  <c r="EF71" i="1"/>
  <c r="EG71" i="1"/>
  <c r="EH71" i="1"/>
  <c r="EI71" i="1"/>
  <c r="EJ71" i="1"/>
  <c r="EK71" i="1"/>
  <c r="EL71" i="1"/>
  <c r="EM71" i="1"/>
  <c r="EN71" i="1"/>
  <c r="EO71" i="1"/>
  <c r="EP71" i="1"/>
  <c r="EQ71" i="1"/>
  <c r="ER71" i="1"/>
  <c r="ES71" i="1"/>
  <c r="ET71" i="1"/>
  <c r="EU71" i="1"/>
  <c r="EV71" i="1"/>
  <c r="EW71" i="1"/>
  <c r="EX71" i="1"/>
  <c r="EY71" i="1"/>
  <c r="EZ71" i="1"/>
  <c r="FA71" i="1"/>
  <c r="FB71" i="1"/>
  <c r="FC71" i="1"/>
  <c r="FD71" i="1"/>
  <c r="FE71" i="1"/>
  <c r="FF71" i="1"/>
  <c r="FG71" i="1"/>
  <c r="FH71" i="1"/>
  <c r="FI71" i="1"/>
  <c r="FJ71" i="1"/>
  <c r="FK71" i="1"/>
  <c r="FL71" i="1"/>
  <c r="FM71" i="1"/>
  <c r="FN71" i="1"/>
  <c r="FO71" i="1"/>
  <c r="FP71" i="1"/>
  <c r="FQ71" i="1"/>
  <c r="FR71" i="1"/>
  <c r="FS71" i="1"/>
  <c r="FT71" i="1"/>
  <c r="FU71" i="1"/>
  <c r="FV71" i="1"/>
  <c r="FW71" i="1"/>
  <c r="FX71" i="1"/>
  <c r="FY71" i="1"/>
  <c r="FZ71" i="1"/>
  <c r="GA71" i="1"/>
  <c r="GB71" i="1"/>
  <c r="GC71" i="1"/>
  <c r="GD71" i="1"/>
  <c r="GE71" i="1"/>
  <c r="GF71" i="1"/>
  <c r="GG71" i="1"/>
  <c r="GH71" i="1"/>
  <c r="GI71" i="1"/>
  <c r="GJ71" i="1"/>
  <c r="GK71" i="1"/>
  <c r="GL71" i="1"/>
  <c r="GM71" i="1"/>
  <c r="GN71" i="1"/>
  <c r="GO71" i="1"/>
  <c r="GP71" i="1"/>
  <c r="GQ71" i="1"/>
  <c r="GR71" i="1"/>
  <c r="GS71" i="1"/>
  <c r="GT71" i="1"/>
  <c r="GU71" i="1"/>
  <c r="GV71" i="1"/>
  <c r="GW71" i="1"/>
  <c r="GX71" i="1"/>
  <c r="C73" i="1"/>
  <c r="D73" i="1"/>
  <c r="AC73" i="1"/>
  <c r="CQ73" i="1" s="1"/>
  <c r="P73" i="1" s="1"/>
  <c r="AE73" i="1"/>
  <c r="AF73" i="1"/>
  <c r="AG73" i="1"/>
  <c r="AH73" i="1"/>
  <c r="CV73" i="1" s="1"/>
  <c r="U73" i="1" s="1"/>
  <c r="AI73" i="1"/>
  <c r="AJ73" i="1"/>
  <c r="CT73" i="1"/>
  <c r="S73" i="1" s="1"/>
  <c r="CU73" i="1"/>
  <c r="T73" i="1" s="1"/>
  <c r="CW73" i="1"/>
  <c r="V73" i="1" s="1"/>
  <c r="CX73" i="1"/>
  <c r="W73" i="1" s="1"/>
  <c r="FR73" i="1"/>
  <c r="GL73" i="1"/>
  <c r="GO73" i="1"/>
  <c r="GP73" i="1"/>
  <c r="GV73" i="1"/>
  <c r="HC73" i="1" s="1"/>
  <c r="GX73" i="1" s="1"/>
  <c r="C74" i="1"/>
  <c r="D74" i="1"/>
  <c r="I74" i="1"/>
  <c r="K74" i="1"/>
  <c r="AC74" i="1"/>
  <c r="AE74" i="1"/>
  <c r="AF74" i="1"/>
  <c r="AG74" i="1"/>
  <c r="AH74" i="1"/>
  <c r="AI74" i="1"/>
  <c r="AJ74" i="1"/>
  <c r="CR74" i="1"/>
  <c r="Q74" i="1" s="1"/>
  <c r="L70" i="9" s="1"/>
  <c r="CS74" i="1"/>
  <c r="R74" i="1" s="1"/>
  <c r="CT74" i="1"/>
  <c r="CU74" i="1"/>
  <c r="CV74" i="1"/>
  <c r="CW74" i="1"/>
  <c r="CX74" i="1"/>
  <c r="W74" i="1" s="1"/>
  <c r="FR74" i="1"/>
  <c r="GL74" i="1"/>
  <c r="GN74" i="1"/>
  <c r="GP74" i="1"/>
  <c r="GV74" i="1"/>
  <c r="HC74" i="1"/>
  <c r="C75" i="1"/>
  <c r="D75" i="1"/>
  <c r="AC75" i="1"/>
  <c r="AE75" i="1"/>
  <c r="H81" i="6" s="1"/>
  <c r="AF75" i="1"/>
  <c r="AG75" i="1"/>
  <c r="AH75" i="1"/>
  <c r="AI75" i="1"/>
  <c r="AJ75" i="1"/>
  <c r="CR75" i="1"/>
  <c r="Q75" i="1" s="1"/>
  <c r="CS75" i="1"/>
  <c r="R75" i="1" s="1"/>
  <c r="CT75" i="1"/>
  <c r="S75" i="1" s="1"/>
  <c r="L78" i="9" s="1"/>
  <c r="CU75" i="1"/>
  <c r="T75" i="1" s="1"/>
  <c r="CV75" i="1"/>
  <c r="U75" i="1" s="1"/>
  <c r="CW75" i="1"/>
  <c r="V75" i="1" s="1"/>
  <c r="CX75" i="1"/>
  <c r="W75" i="1" s="1"/>
  <c r="CY75" i="1"/>
  <c r="X75" i="1" s="1"/>
  <c r="CZ75" i="1"/>
  <c r="Y75" i="1" s="1"/>
  <c r="FR75" i="1"/>
  <c r="GL75" i="1"/>
  <c r="GO75" i="1"/>
  <c r="GP75" i="1"/>
  <c r="GV75" i="1"/>
  <c r="HC75" i="1" s="1"/>
  <c r="GX75" i="1" s="1"/>
  <c r="I76" i="1"/>
  <c r="AC76" i="1"/>
  <c r="AE76" i="1"/>
  <c r="AD76" i="1" s="1"/>
  <c r="AF76" i="1"/>
  <c r="AG76" i="1"/>
  <c r="AH76" i="1"/>
  <c r="AI76" i="1"/>
  <c r="AJ76" i="1"/>
  <c r="CQ76" i="1"/>
  <c r="P76" i="1" s="1"/>
  <c r="CR76" i="1"/>
  <c r="CS76" i="1"/>
  <c r="CT76" i="1"/>
  <c r="S76" i="1" s="1"/>
  <c r="CU76" i="1"/>
  <c r="CV76" i="1"/>
  <c r="U76" i="1" s="1"/>
  <c r="CW76" i="1"/>
  <c r="V76" i="1" s="1"/>
  <c r="CX76" i="1"/>
  <c r="FR76" i="1"/>
  <c r="GL76" i="1"/>
  <c r="GO76" i="1"/>
  <c r="GP76" i="1"/>
  <c r="GV76" i="1"/>
  <c r="HC76" i="1" s="1"/>
  <c r="GX76" i="1" s="1"/>
  <c r="I77" i="1"/>
  <c r="AC77" i="1"/>
  <c r="CQ77" i="1" s="1"/>
  <c r="P77" i="1" s="1"/>
  <c r="AE77" i="1"/>
  <c r="AD77" i="1" s="1"/>
  <c r="AF77" i="1"/>
  <c r="AG77" i="1"/>
  <c r="AH77" i="1"/>
  <c r="AI77" i="1"/>
  <c r="AJ77" i="1"/>
  <c r="CR77" i="1"/>
  <c r="Q77" i="1" s="1"/>
  <c r="CS77" i="1"/>
  <c r="CT77" i="1"/>
  <c r="S77" i="1" s="1"/>
  <c r="CU77" i="1"/>
  <c r="CV77" i="1"/>
  <c r="U77" i="1" s="1"/>
  <c r="CW77" i="1"/>
  <c r="V77" i="1" s="1"/>
  <c r="CX77" i="1"/>
  <c r="FR77" i="1"/>
  <c r="GL77" i="1"/>
  <c r="GO77" i="1"/>
  <c r="GP77" i="1"/>
  <c r="GV77" i="1"/>
  <c r="HC77" i="1" s="1"/>
  <c r="GX77" i="1" s="1"/>
  <c r="I78" i="1"/>
  <c r="AC78" i="1"/>
  <c r="AE78" i="1"/>
  <c r="AD78" i="1" s="1"/>
  <c r="AF78" i="1"/>
  <c r="AG78" i="1"/>
  <c r="AH78" i="1"/>
  <c r="AI78" i="1"/>
  <c r="AJ78" i="1"/>
  <c r="CQ78" i="1"/>
  <c r="P78" i="1" s="1"/>
  <c r="CR78" i="1"/>
  <c r="CS78" i="1"/>
  <c r="CT78" i="1"/>
  <c r="CU78" i="1"/>
  <c r="CV78" i="1"/>
  <c r="CW78" i="1"/>
  <c r="CX78" i="1"/>
  <c r="FR78" i="1"/>
  <c r="GL78" i="1"/>
  <c r="GO78" i="1"/>
  <c r="GP78" i="1"/>
  <c r="GV78" i="1"/>
  <c r="HC78" i="1" s="1"/>
  <c r="I79" i="1"/>
  <c r="AC79" i="1"/>
  <c r="CQ79" i="1" s="1"/>
  <c r="P79" i="1" s="1"/>
  <c r="AE79" i="1"/>
  <c r="AD79" i="1" s="1"/>
  <c r="AF79" i="1"/>
  <c r="AG79" i="1"/>
  <c r="AH79" i="1"/>
  <c r="AI79" i="1"/>
  <c r="AJ79" i="1"/>
  <c r="CR79" i="1"/>
  <c r="Q79" i="1" s="1"/>
  <c r="CS79" i="1"/>
  <c r="CT79" i="1"/>
  <c r="CU79" i="1"/>
  <c r="CV79" i="1"/>
  <c r="CW79" i="1"/>
  <c r="V79" i="1" s="1"/>
  <c r="CX79" i="1"/>
  <c r="FR79" i="1"/>
  <c r="GL79" i="1"/>
  <c r="GO79" i="1"/>
  <c r="GP79" i="1"/>
  <c r="GV79" i="1"/>
  <c r="HC79" i="1" s="1"/>
  <c r="GX79" i="1" s="1"/>
  <c r="I80" i="1"/>
  <c r="F85" i="9" s="1"/>
  <c r="AC80" i="1"/>
  <c r="AE80" i="1"/>
  <c r="AF80" i="1"/>
  <c r="AG80" i="1"/>
  <c r="AH80" i="1"/>
  <c r="AI80" i="1"/>
  <c r="AJ80" i="1"/>
  <c r="CS80" i="1"/>
  <c r="R80" i="1" s="1"/>
  <c r="CT80" i="1"/>
  <c r="CU80" i="1"/>
  <c r="CV80" i="1"/>
  <c r="CW80" i="1"/>
  <c r="V80" i="1" s="1"/>
  <c r="CX80" i="1"/>
  <c r="FR80" i="1"/>
  <c r="GL80" i="1"/>
  <c r="GO80" i="1"/>
  <c r="GP80" i="1"/>
  <c r="GV80" i="1"/>
  <c r="HC80" i="1" s="1"/>
  <c r="GX80" i="1" s="1"/>
  <c r="I81" i="1"/>
  <c r="AC81" i="1"/>
  <c r="AE81" i="1"/>
  <c r="AD81" i="1" s="1"/>
  <c r="AF81" i="1"/>
  <c r="AG81" i="1"/>
  <c r="AH81" i="1"/>
  <c r="AI81" i="1"/>
  <c r="AJ81" i="1"/>
  <c r="CQ81" i="1"/>
  <c r="P81" i="1" s="1"/>
  <c r="CS81" i="1"/>
  <c r="CT81" i="1"/>
  <c r="S81" i="1" s="1"/>
  <c r="CU81" i="1"/>
  <c r="CV81" i="1"/>
  <c r="CW81" i="1"/>
  <c r="CX81" i="1"/>
  <c r="FR81" i="1"/>
  <c r="GL81" i="1"/>
  <c r="GO81" i="1"/>
  <c r="GP81" i="1"/>
  <c r="GV81" i="1"/>
  <c r="HC81" i="1"/>
  <c r="I82" i="1"/>
  <c r="AC82" i="1"/>
  <c r="AE82" i="1"/>
  <c r="AD82" i="1" s="1"/>
  <c r="AF82" i="1"/>
  <c r="CT82" i="1" s="1"/>
  <c r="S82" i="1" s="1"/>
  <c r="AG82" i="1"/>
  <c r="AH82" i="1"/>
  <c r="AI82" i="1"/>
  <c r="AJ82" i="1"/>
  <c r="CQ82" i="1"/>
  <c r="P82" i="1" s="1"/>
  <c r="CU82" i="1"/>
  <c r="CV82" i="1"/>
  <c r="CW82" i="1"/>
  <c r="CX82" i="1"/>
  <c r="FR82" i="1"/>
  <c r="GL82" i="1"/>
  <c r="GO82" i="1"/>
  <c r="GP82" i="1"/>
  <c r="GV82" i="1"/>
  <c r="HC82" i="1"/>
  <c r="I83" i="1"/>
  <c r="AC83" i="1"/>
  <c r="AE83" i="1"/>
  <c r="AD83" i="1" s="1"/>
  <c r="AF83" i="1"/>
  <c r="AG83" i="1"/>
  <c r="AH83" i="1"/>
  <c r="AI83" i="1"/>
  <c r="AJ83" i="1"/>
  <c r="CQ83" i="1"/>
  <c r="P83" i="1" s="1"/>
  <c r="CS83" i="1"/>
  <c r="CT83" i="1"/>
  <c r="S83" i="1" s="1"/>
  <c r="CU83" i="1"/>
  <c r="CV83" i="1"/>
  <c r="CW83" i="1"/>
  <c r="CX83" i="1"/>
  <c r="FR83" i="1"/>
  <c r="GL83" i="1"/>
  <c r="GO83" i="1"/>
  <c r="GP83" i="1"/>
  <c r="GV83" i="1"/>
  <c r="HC83" i="1"/>
  <c r="I84" i="1"/>
  <c r="AC84" i="1"/>
  <c r="AE84" i="1"/>
  <c r="AD84" i="1" s="1"/>
  <c r="AF84" i="1"/>
  <c r="AG84" i="1"/>
  <c r="AH84" i="1"/>
  <c r="AI84" i="1"/>
  <c r="AJ84" i="1"/>
  <c r="CQ84" i="1"/>
  <c r="P84" i="1" s="1"/>
  <c r="CS84" i="1"/>
  <c r="CT84" i="1"/>
  <c r="CU84" i="1"/>
  <c r="CV84" i="1"/>
  <c r="CW84" i="1"/>
  <c r="CX84" i="1"/>
  <c r="FR84" i="1"/>
  <c r="GL84" i="1"/>
  <c r="GO84" i="1"/>
  <c r="GP84" i="1"/>
  <c r="GV84" i="1"/>
  <c r="HC84" i="1"/>
  <c r="AC85" i="1"/>
  <c r="AE85" i="1"/>
  <c r="AF85" i="1"/>
  <c r="U89" i="6" s="1"/>
  <c r="AG85" i="1"/>
  <c r="CU85" i="1" s="1"/>
  <c r="T85" i="1" s="1"/>
  <c r="AH85" i="1"/>
  <c r="AI85" i="1"/>
  <c r="AJ85" i="1"/>
  <c r="CR85" i="1"/>
  <c r="Q85" i="1" s="1"/>
  <c r="CS85" i="1"/>
  <c r="R85" i="1" s="1"/>
  <c r="CT85" i="1"/>
  <c r="S85" i="1" s="1"/>
  <c r="CV85" i="1"/>
  <c r="U85" i="1" s="1"/>
  <c r="CW85" i="1"/>
  <c r="V85" i="1" s="1"/>
  <c r="CX85" i="1"/>
  <c r="W85" i="1" s="1"/>
  <c r="CY85" i="1"/>
  <c r="X85" i="1" s="1"/>
  <c r="CZ85" i="1"/>
  <c r="Y85" i="1" s="1"/>
  <c r="FR85" i="1"/>
  <c r="GL85" i="1"/>
  <c r="GO85" i="1"/>
  <c r="GP85" i="1"/>
  <c r="GV85" i="1"/>
  <c r="HC85" i="1" s="1"/>
  <c r="GX85" i="1" s="1"/>
  <c r="AC86" i="1"/>
  <c r="AE86" i="1"/>
  <c r="CS86" i="1" s="1"/>
  <c r="R86" i="1" s="1"/>
  <c r="AF86" i="1"/>
  <c r="AG86" i="1"/>
  <c r="AH86" i="1"/>
  <c r="AI86" i="1"/>
  <c r="AJ86" i="1"/>
  <c r="CT86" i="1"/>
  <c r="S86" i="1" s="1"/>
  <c r="CU86" i="1"/>
  <c r="T86" i="1" s="1"/>
  <c r="CV86" i="1"/>
  <c r="U86" i="1" s="1"/>
  <c r="CW86" i="1"/>
  <c r="V86" i="1" s="1"/>
  <c r="CX86" i="1"/>
  <c r="W86" i="1" s="1"/>
  <c r="CY86" i="1"/>
  <c r="X86" i="1" s="1"/>
  <c r="CZ86" i="1"/>
  <c r="Y86" i="1" s="1"/>
  <c r="V90" i="9" s="1"/>
  <c r="FR86" i="1"/>
  <c r="GL86" i="1"/>
  <c r="GO86" i="1"/>
  <c r="GP86" i="1"/>
  <c r="GV86" i="1"/>
  <c r="HC86" i="1"/>
  <c r="GX86" i="1" s="1"/>
  <c r="AC87" i="1"/>
  <c r="AE87" i="1"/>
  <c r="AF87" i="1"/>
  <c r="AG87" i="1"/>
  <c r="AH87" i="1"/>
  <c r="AI87" i="1"/>
  <c r="AJ87" i="1"/>
  <c r="CQ87" i="1"/>
  <c r="P87" i="1" s="1"/>
  <c r="CS87" i="1"/>
  <c r="R87" i="1" s="1"/>
  <c r="CT87" i="1"/>
  <c r="S87" i="1" s="1"/>
  <c r="CU87" i="1"/>
  <c r="T87" i="1" s="1"/>
  <c r="CV87" i="1"/>
  <c r="U87" i="1" s="1"/>
  <c r="CW87" i="1"/>
  <c r="V87" i="1" s="1"/>
  <c r="CX87" i="1"/>
  <c r="W87" i="1" s="1"/>
  <c r="CY87" i="1"/>
  <c r="X87" i="1" s="1"/>
  <c r="T93" i="9" s="1"/>
  <c r="CZ87" i="1"/>
  <c r="Y87" i="1" s="1"/>
  <c r="FR87" i="1"/>
  <c r="GL87" i="1"/>
  <c r="GO87" i="1"/>
  <c r="GP87" i="1"/>
  <c r="GV87" i="1"/>
  <c r="HC87" i="1" s="1"/>
  <c r="GX87" i="1" s="1"/>
  <c r="AC88" i="1"/>
  <c r="AE88" i="1"/>
  <c r="AF88" i="1"/>
  <c r="AG88" i="1"/>
  <c r="CU88" i="1" s="1"/>
  <c r="T88" i="1" s="1"/>
  <c r="AH88" i="1"/>
  <c r="AI88" i="1"/>
  <c r="CW88" i="1" s="1"/>
  <c r="V88" i="1" s="1"/>
  <c r="AJ88" i="1"/>
  <c r="CR88" i="1"/>
  <c r="Q88" i="1" s="1"/>
  <c r="CS88" i="1"/>
  <c r="R88" i="1" s="1"/>
  <c r="CT88" i="1"/>
  <c r="S88" i="1" s="1"/>
  <c r="CV88" i="1"/>
  <c r="U88" i="1" s="1"/>
  <c r="CX88" i="1"/>
  <c r="W88" i="1" s="1"/>
  <c r="CY88" i="1"/>
  <c r="X88" i="1" s="1"/>
  <c r="T96" i="9" s="1"/>
  <c r="CZ88" i="1"/>
  <c r="Y88" i="1" s="1"/>
  <c r="FR88" i="1"/>
  <c r="GL88" i="1"/>
  <c r="GO88" i="1"/>
  <c r="GP88" i="1"/>
  <c r="GV88" i="1"/>
  <c r="HC88" i="1"/>
  <c r="GX88" i="1" s="1"/>
  <c r="AC89" i="1"/>
  <c r="AE89" i="1"/>
  <c r="AF89" i="1"/>
  <c r="AG89" i="1"/>
  <c r="AH89" i="1"/>
  <c r="AI89" i="1"/>
  <c r="AJ89" i="1"/>
  <c r="CQ89" i="1"/>
  <c r="P89" i="1" s="1"/>
  <c r="CS89" i="1"/>
  <c r="R89" i="1" s="1"/>
  <c r="CT89" i="1"/>
  <c r="S89" i="1" s="1"/>
  <c r="CU89" i="1"/>
  <c r="T89" i="1" s="1"/>
  <c r="CV89" i="1"/>
  <c r="U89" i="1" s="1"/>
  <c r="CW89" i="1"/>
  <c r="V89" i="1" s="1"/>
  <c r="CX89" i="1"/>
  <c r="W89" i="1" s="1"/>
  <c r="CY89" i="1"/>
  <c r="X89" i="1" s="1"/>
  <c r="CZ89" i="1"/>
  <c r="Y89" i="1" s="1"/>
  <c r="FR89" i="1"/>
  <c r="GL89" i="1"/>
  <c r="GO89" i="1"/>
  <c r="GP89" i="1"/>
  <c r="GV89" i="1"/>
  <c r="HC89" i="1"/>
  <c r="GX89" i="1" s="1"/>
  <c r="AC90" i="1"/>
  <c r="AE90" i="1"/>
  <c r="AF90" i="1"/>
  <c r="AG90" i="1"/>
  <c r="AH90" i="1"/>
  <c r="AI90" i="1"/>
  <c r="AJ90" i="1"/>
  <c r="CR90" i="1"/>
  <c r="Q90" i="1" s="1"/>
  <c r="CS90" i="1"/>
  <c r="R90" i="1" s="1"/>
  <c r="CT90" i="1"/>
  <c r="S90" i="1" s="1"/>
  <c r="CU90" i="1"/>
  <c r="T90" i="1" s="1"/>
  <c r="CV90" i="1"/>
  <c r="U90" i="1" s="1"/>
  <c r="M104" i="9" s="1"/>
  <c r="Q104" i="9" s="1"/>
  <c r="CW90" i="1"/>
  <c r="V90" i="1" s="1"/>
  <c r="CX90" i="1"/>
  <c r="W90" i="1" s="1"/>
  <c r="CY90" i="1"/>
  <c r="X90" i="1" s="1"/>
  <c r="CZ90" i="1"/>
  <c r="Y90" i="1" s="1"/>
  <c r="FR90" i="1"/>
  <c r="GL90" i="1"/>
  <c r="GN90" i="1"/>
  <c r="GP90" i="1"/>
  <c r="GV90" i="1"/>
  <c r="HC90" i="1" s="1"/>
  <c r="GX90" i="1" s="1"/>
  <c r="AC91" i="1"/>
  <c r="AE91" i="1"/>
  <c r="AF91" i="1"/>
  <c r="AG91" i="1"/>
  <c r="AH91" i="1"/>
  <c r="AI91" i="1"/>
  <c r="AJ91" i="1"/>
  <c r="CS91" i="1"/>
  <c r="R91" i="1" s="1"/>
  <c r="CT91" i="1"/>
  <c r="S91" i="1" s="1"/>
  <c r="CU91" i="1"/>
  <c r="T91" i="1" s="1"/>
  <c r="CV91" i="1"/>
  <c r="U91" i="1" s="1"/>
  <c r="CW91" i="1"/>
  <c r="V91" i="1" s="1"/>
  <c r="CX91" i="1"/>
  <c r="W91" i="1" s="1"/>
  <c r="CY91" i="1"/>
  <c r="X91" i="1" s="1"/>
  <c r="CZ91" i="1"/>
  <c r="Y91" i="1" s="1"/>
  <c r="FR91" i="1"/>
  <c r="GL91" i="1"/>
  <c r="GO91" i="1"/>
  <c r="GP91" i="1"/>
  <c r="GV91" i="1"/>
  <c r="HC91" i="1"/>
  <c r="GX91" i="1" s="1"/>
  <c r="AC92" i="1"/>
  <c r="AE92" i="1"/>
  <c r="AF92" i="1"/>
  <c r="CT92" i="1" s="1"/>
  <c r="S92" i="1" s="1"/>
  <c r="AG92" i="1"/>
  <c r="AH92" i="1"/>
  <c r="AI92" i="1"/>
  <c r="AJ92" i="1"/>
  <c r="CQ92" i="1"/>
  <c r="P92" i="1" s="1"/>
  <c r="CS92" i="1"/>
  <c r="R92" i="1" s="1"/>
  <c r="CU92" i="1"/>
  <c r="T92" i="1" s="1"/>
  <c r="CV92" i="1"/>
  <c r="U92" i="1" s="1"/>
  <c r="CW92" i="1"/>
  <c r="V92" i="1" s="1"/>
  <c r="CX92" i="1"/>
  <c r="W92" i="1" s="1"/>
  <c r="CY92" i="1"/>
  <c r="X92" i="1" s="1"/>
  <c r="CZ92" i="1"/>
  <c r="Y92" i="1" s="1"/>
  <c r="FR92" i="1"/>
  <c r="GL92" i="1"/>
  <c r="GN92" i="1"/>
  <c r="GP92" i="1"/>
  <c r="GV92" i="1"/>
  <c r="HC92" i="1"/>
  <c r="GX92" i="1" s="1"/>
  <c r="AC93" i="1"/>
  <c r="AE93" i="1"/>
  <c r="AF93" i="1"/>
  <c r="CT93" i="1" s="1"/>
  <c r="S93" i="1" s="1"/>
  <c r="AG93" i="1"/>
  <c r="AH93" i="1"/>
  <c r="AI93" i="1"/>
  <c r="AJ93" i="1"/>
  <c r="CR93" i="1"/>
  <c r="Q93" i="1" s="1"/>
  <c r="CS93" i="1"/>
  <c r="R93" i="1" s="1"/>
  <c r="CU93" i="1"/>
  <c r="T93" i="1" s="1"/>
  <c r="CV93" i="1"/>
  <c r="U93" i="1" s="1"/>
  <c r="CW93" i="1"/>
  <c r="V93" i="1" s="1"/>
  <c r="CX93" i="1"/>
  <c r="W93" i="1" s="1"/>
  <c r="CY93" i="1"/>
  <c r="X93" i="1" s="1"/>
  <c r="CZ93" i="1"/>
  <c r="Y93" i="1" s="1"/>
  <c r="FR93" i="1"/>
  <c r="GL93" i="1"/>
  <c r="GO93" i="1"/>
  <c r="GP93" i="1"/>
  <c r="GV93" i="1"/>
  <c r="HC93" i="1" s="1"/>
  <c r="GX93" i="1" s="1"/>
  <c r="AC94" i="1"/>
  <c r="AE94" i="1"/>
  <c r="CS94" i="1" s="1"/>
  <c r="R94" i="1" s="1"/>
  <c r="AF94" i="1"/>
  <c r="AG94" i="1"/>
  <c r="AH94" i="1"/>
  <c r="CV94" i="1" s="1"/>
  <c r="U94" i="1" s="1"/>
  <c r="AI94" i="1"/>
  <c r="AJ94" i="1"/>
  <c r="CT94" i="1"/>
  <c r="S94" i="1" s="1"/>
  <c r="CU94" i="1"/>
  <c r="T94" i="1" s="1"/>
  <c r="CW94" i="1"/>
  <c r="V94" i="1" s="1"/>
  <c r="CX94" i="1"/>
  <c r="W94" i="1" s="1"/>
  <c r="CY94" i="1"/>
  <c r="X94" i="1" s="1"/>
  <c r="CZ94" i="1"/>
  <c r="Y94" i="1" s="1"/>
  <c r="FR94" i="1"/>
  <c r="GL94" i="1"/>
  <c r="GN94" i="1"/>
  <c r="GP94" i="1"/>
  <c r="GV94" i="1"/>
  <c r="HC94" i="1"/>
  <c r="GX94" i="1" s="1"/>
  <c r="AC95" i="1"/>
  <c r="AE95" i="1"/>
  <c r="AF95" i="1"/>
  <c r="AG95" i="1"/>
  <c r="AH95" i="1"/>
  <c r="AI95" i="1"/>
  <c r="AJ95" i="1"/>
  <c r="CQ95" i="1"/>
  <c r="P95" i="1" s="1"/>
  <c r="CS95" i="1"/>
  <c r="R95" i="1" s="1"/>
  <c r="CT95" i="1"/>
  <c r="S95" i="1" s="1"/>
  <c r="CU95" i="1"/>
  <c r="T95" i="1" s="1"/>
  <c r="CV95" i="1"/>
  <c r="U95" i="1" s="1"/>
  <c r="CW95" i="1"/>
  <c r="V95" i="1" s="1"/>
  <c r="CX95" i="1"/>
  <c r="W95" i="1" s="1"/>
  <c r="FR95" i="1"/>
  <c r="GL95" i="1"/>
  <c r="GO95" i="1"/>
  <c r="GP95" i="1"/>
  <c r="GV95" i="1"/>
  <c r="HC95" i="1" s="1"/>
  <c r="GX95" i="1" s="1"/>
  <c r="C96" i="1"/>
  <c r="D96" i="1"/>
  <c r="AC96" i="1"/>
  <c r="I124" i="9" s="1"/>
  <c r="AE96" i="1"/>
  <c r="AF96" i="1"/>
  <c r="AG96" i="1"/>
  <c r="AH96" i="1"/>
  <c r="AI96" i="1"/>
  <c r="AJ96" i="1"/>
  <c r="CS96" i="1"/>
  <c r="R96" i="1" s="1"/>
  <c r="CT96" i="1"/>
  <c r="S96" i="1" s="1"/>
  <c r="CU96" i="1"/>
  <c r="T96" i="1" s="1"/>
  <c r="CV96" i="1"/>
  <c r="U96" i="1" s="1"/>
  <c r="CW96" i="1"/>
  <c r="V96" i="1" s="1"/>
  <c r="CX96" i="1"/>
  <c r="W96" i="1" s="1"/>
  <c r="FR96" i="1"/>
  <c r="GL96" i="1"/>
  <c r="GO96" i="1"/>
  <c r="GP96" i="1"/>
  <c r="GV96" i="1"/>
  <c r="HC96" i="1"/>
  <c r="GX96" i="1" s="1"/>
  <c r="I97" i="1"/>
  <c r="AC97" i="1"/>
  <c r="CQ97" i="1" s="1"/>
  <c r="P97" i="1" s="1"/>
  <c r="AE97" i="1"/>
  <c r="AF97" i="1"/>
  <c r="AG97" i="1"/>
  <c r="AH97" i="1"/>
  <c r="AI97" i="1"/>
  <c r="AJ97" i="1"/>
  <c r="CS97" i="1"/>
  <c r="R97" i="1" s="1"/>
  <c r="CZ97" i="1" s="1"/>
  <c r="Y97" i="1" s="1"/>
  <c r="CT97" i="1"/>
  <c r="S97" i="1" s="1"/>
  <c r="CU97" i="1"/>
  <c r="T97" i="1" s="1"/>
  <c r="CV97" i="1"/>
  <c r="U97" i="1" s="1"/>
  <c r="CW97" i="1"/>
  <c r="V97" i="1" s="1"/>
  <c r="CX97" i="1"/>
  <c r="W97" i="1" s="1"/>
  <c r="FR97" i="1"/>
  <c r="GL97" i="1"/>
  <c r="GO97" i="1"/>
  <c r="GP97" i="1"/>
  <c r="GV97" i="1"/>
  <c r="HC97" i="1"/>
  <c r="GX97" i="1" s="1"/>
  <c r="I98" i="1"/>
  <c r="AC98" i="1"/>
  <c r="CQ98" i="1" s="1"/>
  <c r="P98" i="1" s="1"/>
  <c r="AE98" i="1"/>
  <c r="AF98" i="1"/>
  <c r="AG98" i="1"/>
  <c r="AH98" i="1"/>
  <c r="AI98" i="1"/>
  <c r="AJ98" i="1"/>
  <c r="CS98" i="1"/>
  <c r="R98" i="1" s="1"/>
  <c r="CZ98" i="1" s="1"/>
  <c r="Y98" i="1" s="1"/>
  <c r="CT98" i="1"/>
  <c r="S98" i="1" s="1"/>
  <c r="CU98" i="1"/>
  <c r="T98" i="1" s="1"/>
  <c r="CV98" i="1"/>
  <c r="U98" i="1" s="1"/>
  <c r="CW98" i="1"/>
  <c r="V98" i="1" s="1"/>
  <c r="CX98" i="1"/>
  <c r="W98" i="1" s="1"/>
  <c r="FR98" i="1"/>
  <c r="GL98" i="1"/>
  <c r="GO98" i="1"/>
  <c r="GP98" i="1"/>
  <c r="GV98" i="1"/>
  <c r="HC98" i="1"/>
  <c r="GX98" i="1" s="1"/>
  <c r="I99" i="1"/>
  <c r="AC99" i="1"/>
  <c r="CQ99" i="1" s="1"/>
  <c r="P99" i="1" s="1"/>
  <c r="AE99" i="1"/>
  <c r="AF99" i="1"/>
  <c r="AG99" i="1"/>
  <c r="CU99" i="1" s="1"/>
  <c r="T99" i="1" s="1"/>
  <c r="AH99" i="1"/>
  <c r="CV99" i="1" s="1"/>
  <c r="U99" i="1" s="1"/>
  <c r="AI99" i="1"/>
  <c r="AJ99" i="1"/>
  <c r="CS99" i="1"/>
  <c r="R99" i="1" s="1"/>
  <c r="CZ99" i="1" s="1"/>
  <c r="Y99" i="1" s="1"/>
  <c r="CT99" i="1"/>
  <c r="S99" i="1" s="1"/>
  <c r="CW99" i="1"/>
  <c r="V99" i="1" s="1"/>
  <c r="CX99" i="1"/>
  <c r="W99" i="1" s="1"/>
  <c r="FR99" i="1"/>
  <c r="GL99" i="1"/>
  <c r="GO99" i="1"/>
  <c r="GP99" i="1"/>
  <c r="GV99" i="1"/>
  <c r="HC99" i="1"/>
  <c r="GX99" i="1" s="1"/>
  <c r="I100" i="1"/>
  <c r="AC100" i="1"/>
  <c r="CQ100" i="1" s="1"/>
  <c r="P100" i="1" s="1"/>
  <c r="AE100" i="1"/>
  <c r="AF100" i="1"/>
  <c r="AG100" i="1"/>
  <c r="AH100" i="1"/>
  <c r="CV100" i="1" s="1"/>
  <c r="U100" i="1" s="1"/>
  <c r="AI100" i="1"/>
  <c r="AJ100" i="1"/>
  <c r="CS100" i="1"/>
  <c r="R100" i="1" s="1"/>
  <c r="CZ100" i="1" s="1"/>
  <c r="Y100" i="1" s="1"/>
  <c r="CT100" i="1"/>
  <c r="S100" i="1" s="1"/>
  <c r="CU100" i="1"/>
  <c r="T100" i="1" s="1"/>
  <c r="CW100" i="1"/>
  <c r="V100" i="1" s="1"/>
  <c r="CX100" i="1"/>
  <c r="W100" i="1" s="1"/>
  <c r="FR100" i="1"/>
  <c r="GL100" i="1"/>
  <c r="GO100" i="1"/>
  <c r="GP100" i="1"/>
  <c r="GV100" i="1"/>
  <c r="HC100" i="1"/>
  <c r="GX100" i="1" s="1"/>
  <c r="I101" i="1"/>
  <c r="AC101" i="1"/>
  <c r="CQ101" i="1" s="1"/>
  <c r="P101" i="1" s="1"/>
  <c r="AE101" i="1"/>
  <c r="AF101" i="1"/>
  <c r="AG101" i="1"/>
  <c r="AH101" i="1"/>
  <c r="CV101" i="1" s="1"/>
  <c r="U101" i="1" s="1"/>
  <c r="AI101" i="1"/>
  <c r="AJ101" i="1"/>
  <c r="CS101" i="1"/>
  <c r="R101" i="1" s="1"/>
  <c r="CZ101" i="1" s="1"/>
  <c r="Y101" i="1" s="1"/>
  <c r="CT101" i="1"/>
  <c r="S101" i="1" s="1"/>
  <c r="CY101" i="1" s="1"/>
  <c r="X101" i="1" s="1"/>
  <c r="CU101" i="1"/>
  <c r="T101" i="1" s="1"/>
  <c r="CW101" i="1"/>
  <c r="V101" i="1" s="1"/>
  <c r="CX101" i="1"/>
  <c r="W101" i="1" s="1"/>
  <c r="FR101" i="1"/>
  <c r="GL101" i="1"/>
  <c r="GO101" i="1"/>
  <c r="GP101" i="1"/>
  <c r="GV101" i="1"/>
  <c r="HC101" i="1"/>
  <c r="GX101" i="1" s="1"/>
  <c r="AC102" i="1"/>
  <c r="AE102" i="1"/>
  <c r="AF102" i="1"/>
  <c r="G133" i="6" s="1"/>
  <c r="AG102" i="1"/>
  <c r="AH102" i="1"/>
  <c r="CV102" i="1" s="1"/>
  <c r="U102" i="1" s="1"/>
  <c r="AI102" i="1"/>
  <c r="CW102" i="1" s="1"/>
  <c r="V102" i="1" s="1"/>
  <c r="AJ102" i="1"/>
  <c r="CQ102" i="1"/>
  <c r="P102" i="1" s="1"/>
  <c r="CS102" i="1"/>
  <c r="R102" i="1" s="1"/>
  <c r="CT102" i="1"/>
  <c r="S102" i="1" s="1"/>
  <c r="CU102" i="1"/>
  <c r="T102" i="1" s="1"/>
  <c r="CX102" i="1"/>
  <c r="W102" i="1" s="1"/>
  <c r="CY102" i="1"/>
  <c r="X102" i="1" s="1"/>
  <c r="CZ102" i="1"/>
  <c r="Y102" i="1" s="1"/>
  <c r="V129" i="9" s="1"/>
  <c r="FR102" i="1"/>
  <c r="GL102" i="1"/>
  <c r="GO102" i="1"/>
  <c r="GP102" i="1"/>
  <c r="GV102" i="1"/>
  <c r="HC102" i="1" s="1"/>
  <c r="GX102" i="1" s="1"/>
  <c r="C103" i="1"/>
  <c r="D103" i="1"/>
  <c r="AC103" i="1"/>
  <c r="AE103" i="1"/>
  <c r="AF103" i="1"/>
  <c r="AG103" i="1"/>
  <c r="AH103" i="1"/>
  <c r="AI103" i="1"/>
  <c r="AJ103" i="1"/>
  <c r="CS103" i="1"/>
  <c r="R103" i="1" s="1"/>
  <c r="CT103" i="1"/>
  <c r="S103" i="1" s="1"/>
  <c r="L133" i="9" s="1"/>
  <c r="CU103" i="1"/>
  <c r="T103" i="1" s="1"/>
  <c r="CV103" i="1"/>
  <c r="U103" i="1" s="1"/>
  <c r="CW103" i="1"/>
  <c r="V103" i="1" s="1"/>
  <c r="CX103" i="1"/>
  <c r="W103" i="1" s="1"/>
  <c r="FR103" i="1"/>
  <c r="GL103" i="1"/>
  <c r="GO103" i="1"/>
  <c r="GP103" i="1"/>
  <c r="GV103" i="1"/>
  <c r="HC103" i="1"/>
  <c r="GX103" i="1" s="1"/>
  <c r="I104" i="1"/>
  <c r="AC104" i="1"/>
  <c r="AE104" i="1"/>
  <c r="AF104" i="1"/>
  <c r="AG104" i="1"/>
  <c r="CU104" i="1" s="1"/>
  <c r="T104" i="1" s="1"/>
  <c r="AH104" i="1"/>
  <c r="AI104" i="1"/>
  <c r="AJ104" i="1"/>
  <c r="CS104" i="1"/>
  <c r="R104" i="1" s="1"/>
  <c r="CZ104" i="1" s="1"/>
  <c r="Y104" i="1" s="1"/>
  <c r="CT104" i="1"/>
  <c r="S104" i="1" s="1"/>
  <c r="CV104" i="1"/>
  <c r="U104" i="1" s="1"/>
  <c r="CW104" i="1"/>
  <c r="V104" i="1" s="1"/>
  <c r="CX104" i="1"/>
  <c r="W104" i="1" s="1"/>
  <c r="FR104" i="1"/>
  <c r="GL104" i="1"/>
  <c r="GO104" i="1"/>
  <c r="GP104" i="1"/>
  <c r="GV104" i="1"/>
  <c r="HC104" i="1"/>
  <c r="GX104" i="1" s="1"/>
  <c r="I105" i="1"/>
  <c r="K105" i="1"/>
  <c r="AC105" i="1"/>
  <c r="AE105" i="1"/>
  <c r="AF105" i="1"/>
  <c r="AG105" i="1"/>
  <c r="AH105" i="1"/>
  <c r="AI105" i="1"/>
  <c r="AJ105" i="1"/>
  <c r="CR105" i="1"/>
  <c r="Q105" i="1" s="1"/>
  <c r="CS105" i="1"/>
  <c r="R105" i="1" s="1"/>
  <c r="CT105" i="1"/>
  <c r="S105" i="1" s="1"/>
  <c r="CU105" i="1"/>
  <c r="T105" i="1" s="1"/>
  <c r="CV105" i="1"/>
  <c r="U105" i="1" s="1"/>
  <c r="CW105" i="1"/>
  <c r="V105" i="1" s="1"/>
  <c r="CX105" i="1"/>
  <c r="W105" i="1" s="1"/>
  <c r="CY105" i="1"/>
  <c r="X105" i="1" s="1"/>
  <c r="T142" i="9" s="1"/>
  <c r="CZ105" i="1"/>
  <c r="Y105" i="1" s="1"/>
  <c r="FR105" i="1"/>
  <c r="GL105" i="1"/>
  <c r="GO105" i="1"/>
  <c r="GP105" i="1"/>
  <c r="GV105" i="1"/>
  <c r="HC105" i="1" s="1"/>
  <c r="GX105" i="1" s="1"/>
  <c r="C106" i="1"/>
  <c r="D106" i="1"/>
  <c r="AC106" i="1"/>
  <c r="AE106" i="1"/>
  <c r="AF106" i="1"/>
  <c r="CT106" i="1" s="1"/>
  <c r="S106" i="1" s="1"/>
  <c r="AG106" i="1"/>
  <c r="AH106" i="1"/>
  <c r="AI106" i="1"/>
  <c r="AJ106" i="1"/>
  <c r="CQ106" i="1"/>
  <c r="P106" i="1" s="1"/>
  <c r="CS106" i="1"/>
  <c r="R106" i="1" s="1"/>
  <c r="CU106" i="1"/>
  <c r="T106" i="1" s="1"/>
  <c r="CV106" i="1"/>
  <c r="U106" i="1" s="1"/>
  <c r="CW106" i="1"/>
  <c r="V106" i="1" s="1"/>
  <c r="CX106" i="1"/>
  <c r="W106" i="1" s="1"/>
  <c r="FR106" i="1"/>
  <c r="GL106" i="1"/>
  <c r="GO106" i="1"/>
  <c r="GP106" i="1"/>
  <c r="GV106" i="1"/>
  <c r="HC106" i="1"/>
  <c r="GX106" i="1" s="1"/>
  <c r="I107" i="1"/>
  <c r="AC107" i="1"/>
  <c r="AE107" i="1"/>
  <c r="CS107" i="1" s="1"/>
  <c r="R107" i="1" s="1"/>
  <c r="AF107" i="1"/>
  <c r="AG107" i="1"/>
  <c r="AH107" i="1"/>
  <c r="AI107" i="1"/>
  <c r="AJ107" i="1"/>
  <c r="CQ107" i="1"/>
  <c r="P107" i="1" s="1"/>
  <c r="CT107" i="1"/>
  <c r="S107" i="1" s="1"/>
  <c r="CU107" i="1"/>
  <c r="CV107" i="1"/>
  <c r="CW107" i="1"/>
  <c r="CX107" i="1"/>
  <c r="FR107" i="1"/>
  <c r="GL107" i="1"/>
  <c r="GO107" i="1"/>
  <c r="GP107" i="1"/>
  <c r="GV107" i="1"/>
  <c r="HC107" i="1"/>
  <c r="AC108" i="1"/>
  <c r="AE108" i="1"/>
  <c r="AD108" i="1" s="1"/>
  <c r="AF108" i="1"/>
  <c r="AG108" i="1"/>
  <c r="CU108" i="1" s="1"/>
  <c r="T108" i="1" s="1"/>
  <c r="AH108" i="1"/>
  <c r="AI108" i="1"/>
  <c r="AJ108" i="1"/>
  <c r="CR108" i="1"/>
  <c r="Q108" i="1" s="1"/>
  <c r="CS108" i="1"/>
  <c r="R108" i="1" s="1"/>
  <c r="CV108" i="1"/>
  <c r="U108" i="1" s="1"/>
  <c r="M155" i="9" s="1"/>
  <c r="Q155" i="9" s="1"/>
  <c r="CW108" i="1"/>
  <c r="V108" i="1" s="1"/>
  <c r="CX108" i="1"/>
  <c r="W108" i="1" s="1"/>
  <c r="CY108" i="1"/>
  <c r="X108" i="1" s="1"/>
  <c r="CZ108" i="1"/>
  <c r="Y108" i="1" s="1"/>
  <c r="GN108" i="1"/>
  <c r="GO108" i="1"/>
  <c r="GP108" i="1"/>
  <c r="GV108" i="1"/>
  <c r="HC108" i="1" s="1"/>
  <c r="GX108" i="1" s="1"/>
  <c r="C110" i="1"/>
  <c r="D110" i="1"/>
  <c r="I110" i="1"/>
  <c r="K110" i="1"/>
  <c r="AC110" i="1"/>
  <c r="AE110" i="1"/>
  <c r="AD110" i="1" s="1"/>
  <c r="AF110" i="1"/>
  <c r="AG110" i="1"/>
  <c r="AH110" i="1"/>
  <c r="AI110" i="1"/>
  <c r="AJ110" i="1"/>
  <c r="CQ110" i="1"/>
  <c r="P110" i="1" s="1"/>
  <c r="CR110" i="1"/>
  <c r="Q110" i="1" s="1"/>
  <c r="CS110" i="1"/>
  <c r="CT110" i="1"/>
  <c r="CU110" i="1"/>
  <c r="CV110" i="1"/>
  <c r="U110" i="1" s="1"/>
  <c r="CW110" i="1"/>
  <c r="V110" i="1" s="1"/>
  <c r="CX110" i="1"/>
  <c r="W110" i="1" s="1"/>
  <c r="FR110" i="1"/>
  <c r="GL110" i="1"/>
  <c r="GO110" i="1"/>
  <c r="GP110" i="1"/>
  <c r="GV110" i="1"/>
  <c r="HC110" i="1" s="1"/>
  <c r="GX110" i="1" s="1"/>
  <c r="C111" i="1"/>
  <c r="D111" i="1"/>
  <c r="I111" i="1"/>
  <c r="K111" i="1"/>
  <c r="AC111" i="1"/>
  <c r="AE111" i="1"/>
  <c r="AD111" i="1" s="1"/>
  <c r="AF111" i="1"/>
  <c r="H168" i="6" s="1"/>
  <c r="R168" i="6" s="1"/>
  <c r="AG111" i="1"/>
  <c r="AH111" i="1"/>
  <c r="AI111" i="1"/>
  <c r="CW111" i="1" s="1"/>
  <c r="V111" i="1" s="1"/>
  <c r="AJ111" i="1"/>
  <c r="CQ111" i="1"/>
  <c r="P111" i="1" s="1"/>
  <c r="CS111" i="1"/>
  <c r="R111" i="1" s="1"/>
  <c r="CU111" i="1"/>
  <c r="T111" i="1" s="1"/>
  <c r="CV111" i="1"/>
  <c r="U111" i="1" s="1"/>
  <c r="CX111" i="1"/>
  <c r="W111" i="1" s="1"/>
  <c r="FR111" i="1"/>
  <c r="GL111" i="1"/>
  <c r="GO111" i="1"/>
  <c r="GP111" i="1"/>
  <c r="GV111" i="1"/>
  <c r="HC111" i="1" s="1"/>
  <c r="GX111" i="1" s="1"/>
  <c r="C112" i="1"/>
  <c r="D112" i="1"/>
  <c r="I112" i="1"/>
  <c r="K112" i="1"/>
  <c r="AC112" i="1"/>
  <c r="AE112" i="1"/>
  <c r="AF112" i="1"/>
  <c r="AG112" i="1"/>
  <c r="AH112" i="1"/>
  <c r="AI112" i="1"/>
  <c r="AJ112" i="1"/>
  <c r="CQ112" i="1"/>
  <c r="P112" i="1" s="1"/>
  <c r="CU112" i="1"/>
  <c r="CV112" i="1"/>
  <c r="CW112" i="1"/>
  <c r="CX112" i="1"/>
  <c r="W112" i="1" s="1"/>
  <c r="FR112" i="1"/>
  <c r="GL112" i="1"/>
  <c r="GN112" i="1"/>
  <c r="GP112" i="1"/>
  <c r="GV112" i="1"/>
  <c r="HC112" i="1"/>
  <c r="GX112" i="1" s="1"/>
  <c r="AC113" i="1"/>
  <c r="AE113" i="1"/>
  <c r="AF113" i="1"/>
  <c r="AG113" i="1"/>
  <c r="AH113" i="1"/>
  <c r="AI113" i="1"/>
  <c r="AJ113" i="1"/>
  <c r="CR113" i="1"/>
  <c r="Q113" i="1" s="1"/>
  <c r="CS113" i="1"/>
  <c r="R113" i="1" s="1"/>
  <c r="CT113" i="1"/>
  <c r="S113" i="1" s="1"/>
  <c r="CU113" i="1"/>
  <c r="T113" i="1" s="1"/>
  <c r="CV113" i="1"/>
  <c r="U113" i="1" s="1"/>
  <c r="CW113" i="1"/>
  <c r="V113" i="1" s="1"/>
  <c r="CX113" i="1"/>
  <c r="W113" i="1" s="1"/>
  <c r="CY113" i="1"/>
  <c r="X113" i="1" s="1"/>
  <c r="CZ113" i="1"/>
  <c r="Y113" i="1" s="1"/>
  <c r="FR113" i="1"/>
  <c r="GL113" i="1"/>
  <c r="GO113" i="1"/>
  <c r="GP113" i="1"/>
  <c r="GV113" i="1"/>
  <c r="HC113" i="1" s="1"/>
  <c r="GX113" i="1" s="1"/>
  <c r="C114" i="1"/>
  <c r="D114" i="1"/>
  <c r="AC114" i="1"/>
  <c r="AE114" i="1"/>
  <c r="AF114" i="1"/>
  <c r="CT114" i="1" s="1"/>
  <c r="S114" i="1" s="1"/>
  <c r="AG114" i="1"/>
  <c r="AH114" i="1"/>
  <c r="AI114" i="1"/>
  <c r="AJ114" i="1"/>
  <c r="CQ114" i="1"/>
  <c r="P114" i="1" s="1"/>
  <c r="CU114" i="1"/>
  <c r="T114" i="1" s="1"/>
  <c r="CV114" i="1"/>
  <c r="U114" i="1" s="1"/>
  <c r="CW114" i="1"/>
  <c r="V114" i="1" s="1"/>
  <c r="CX114" i="1"/>
  <c r="W114" i="1" s="1"/>
  <c r="FR114" i="1"/>
  <c r="GL114" i="1"/>
  <c r="GO114" i="1"/>
  <c r="GP114" i="1"/>
  <c r="GV114" i="1"/>
  <c r="HC114" i="1"/>
  <c r="GX114" i="1" s="1"/>
  <c r="I115" i="1"/>
  <c r="AC115" i="1"/>
  <c r="AE115" i="1"/>
  <c r="CS115" i="1" s="1"/>
  <c r="R115" i="1" s="1"/>
  <c r="AF115" i="1"/>
  <c r="AG115" i="1"/>
  <c r="AH115" i="1"/>
  <c r="AI115" i="1"/>
  <c r="AJ115" i="1"/>
  <c r="CQ115" i="1"/>
  <c r="P115" i="1" s="1"/>
  <c r="CT115" i="1"/>
  <c r="S115" i="1" s="1"/>
  <c r="CU115" i="1"/>
  <c r="CV115" i="1"/>
  <c r="CW115" i="1"/>
  <c r="CX115" i="1"/>
  <c r="FR115" i="1"/>
  <c r="GL115" i="1"/>
  <c r="GO115" i="1"/>
  <c r="GP115" i="1"/>
  <c r="GV115" i="1"/>
  <c r="HC115" i="1"/>
  <c r="I116" i="1"/>
  <c r="K116" i="1"/>
  <c r="AC116" i="1"/>
  <c r="AE116" i="1"/>
  <c r="AF116" i="1"/>
  <c r="S196" i="6" s="1"/>
  <c r="AG116" i="1"/>
  <c r="AH116" i="1"/>
  <c r="AI116" i="1"/>
  <c r="AJ116" i="1"/>
  <c r="CT116" i="1"/>
  <c r="CU116" i="1"/>
  <c r="CV116" i="1"/>
  <c r="CW116" i="1"/>
  <c r="CX116" i="1"/>
  <c r="W116" i="1" s="1"/>
  <c r="CY116" i="1"/>
  <c r="X116" i="1" s="1"/>
  <c r="CZ116" i="1"/>
  <c r="Y116" i="1" s="1"/>
  <c r="FR116" i="1"/>
  <c r="GL116" i="1"/>
  <c r="GO116" i="1"/>
  <c r="GP116" i="1"/>
  <c r="GV116" i="1"/>
  <c r="HC116" i="1"/>
  <c r="GX116" i="1" s="1"/>
  <c r="C117" i="1"/>
  <c r="D117" i="1"/>
  <c r="AC117" i="1"/>
  <c r="CQ117" i="1" s="1"/>
  <c r="P117" i="1" s="1"/>
  <c r="AE117" i="1"/>
  <c r="AD117" i="1" s="1"/>
  <c r="AF117" i="1"/>
  <c r="AG117" i="1"/>
  <c r="AH117" i="1"/>
  <c r="AI117" i="1"/>
  <c r="AJ117" i="1"/>
  <c r="CR117" i="1"/>
  <c r="Q117" i="1" s="1"/>
  <c r="CS117" i="1"/>
  <c r="R117" i="1" s="1"/>
  <c r="CT117" i="1"/>
  <c r="S117" i="1" s="1"/>
  <c r="CU117" i="1"/>
  <c r="T117" i="1" s="1"/>
  <c r="CV117" i="1"/>
  <c r="U117" i="1" s="1"/>
  <c r="CW117" i="1"/>
  <c r="V117" i="1" s="1"/>
  <c r="CX117" i="1"/>
  <c r="W117" i="1" s="1"/>
  <c r="CY117" i="1"/>
  <c r="X117" i="1" s="1"/>
  <c r="CZ117" i="1"/>
  <c r="Y117" i="1" s="1"/>
  <c r="FR117" i="1"/>
  <c r="GL117" i="1"/>
  <c r="GN117" i="1"/>
  <c r="GO117" i="1"/>
  <c r="GV117" i="1"/>
  <c r="HC117" i="1" s="1"/>
  <c r="GX117" i="1" s="1"/>
  <c r="C118" i="1"/>
  <c r="D118" i="1"/>
  <c r="I118" i="1"/>
  <c r="K118" i="1"/>
  <c r="AC118" i="1"/>
  <c r="AE118" i="1"/>
  <c r="AD118" i="1" s="1"/>
  <c r="AF118" i="1"/>
  <c r="AG118" i="1"/>
  <c r="AH118" i="1"/>
  <c r="AI118" i="1"/>
  <c r="AJ118" i="1"/>
  <c r="CQ118" i="1"/>
  <c r="CS118" i="1"/>
  <c r="R118" i="1" s="1"/>
  <c r="CU118" i="1"/>
  <c r="CV118" i="1"/>
  <c r="U118" i="1" s="1"/>
  <c r="CW118" i="1"/>
  <c r="V118" i="1" s="1"/>
  <c r="CX118" i="1"/>
  <c r="W118" i="1" s="1"/>
  <c r="FR118" i="1"/>
  <c r="GL118" i="1"/>
  <c r="GN118" i="1"/>
  <c r="GO118" i="1"/>
  <c r="GV118" i="1"/>
  <c r="HC118" i="1" s="1"/>
  <c r="GX118" i="1" s="1"/>
  <c r="B120" i="1"/>
  <c r="B71" i="1" s="1"/>
  <c r="C120" i="1"/>
  <c r="C71" i="1" s="1"/>
  <c r="D120" i="1"/>
  <c r="D71" i="1" s="1"/>
  <c r="F120" i="1"/>
  <c r="F71" i="1" s="1"/>
  <c r="G120" i="1"/>
  <c r="BX120" i="1"/>
  <c r="CK120" i="1"/>
  <c r="CL120" i="1"/>
  <c r="CM120" i="1"/>
  <c r="D159" i="1"/>
  <c r="E161" i="1"/>
  <c r="Z161" i="1"/>
  <c r="AA161" i="1"/>
  <c r="AM161" i="1"/>
  <c r="AN161" i="1"/>
  <c r="BE161" i="1"/>
  <c r="BF161" i="1"/>
  <c r="BG161" i="1"/>
  <c r="BH161" i="1"/>
  <c r="BI161" i="1"/>
  <c r="BJ161" i="1"/>
  <c r="BK161" i="1"/>
  <c r="BL161" i="1"/>
  <c r="BM161" i="1"/>
  <c r="BN161" i="1"/>
  <c r="BO161" i="1"/>
  <c r="BP161" i="1"/>
  <c r="BQ161" i="1"/>
  <c r="BR161" i="1"/>
  <c r="BS161" i="1"/>
  <c r="BT161" i="1"/>
  <c r="BU161" i="1"/>
  <c r="BV161" i="1"/>
  <c r="BW161" i="1"/>
  <c r="CN161" i="1"/>
  <c r="CO161" i="1"/>
  <c r="CP161" i="1"/>
  <c r="CQ161" i="1"/>
  <c r="CR161" i="1"/>
  <c r="CS161" i="1"/>
  <c r="CT161" i="1"/>
  <c r="CU161" i="1"/>
  <c r="CV161" i="1"/>
  <c r="CW161" i="1"/>
  <c r="CX161" i="1"/>
  <c r="CY161" i="1"/>
  <c r="CZ161" i="1"/>
  <c r="DA161" i="1"/>
  <c r="DB161" i="1"/>
  <c r="DC161" i="1"/>
  <c r="DD161" i="1"/>
  <c r="DE161" i="1"/>
  <c r="DF161" i="1"/>
  <c r="DG161" i="1"/>
  <c r="DH161" i="1"/>
  <c r="DI161" i="1"/>
  <c r="DJ161" i="1"/>
  <c r="DK161" i="1"/>
  <c r="DL161" i="1"/>
  <c r="DM161" i="1"/>
  <c r="DN161" i="1"/>
  <c r="DO161" i="1"/>
  <c r="DP161" i="1"/>
  <c r="DQ161" i="1"/>
  <c r="DR161" i="1"/>
  <c r="DS161" i="1"/>
  <c r="DT161" i="1"/>
  <c r="DU161" i="1"/>
  <c r="DV161" i="1"/>
  <c r="DW161" i="1"/>
  <c r="DX161" i="1"/>
  <c r="DY161" i="1"/>
  <c r="DZ161" i="1"/>
  <c r="EA161" i="1"/>
  <c r="EB161" i="1"/>
  <c r="EC161" i="1"/>
  <c r="ED161" i="1"/>
  <c r="EE161" i="1"/>
  <c r="EF161" i="1"/>
  <c r="EG161" i="1"/>
  <c r="EH161" i="1"/>
  <c r="EI161" i="1"/>
  <c r="EJ161" i="1"/>
  <c r="EK161" i="1"/>
  <c r="EL161" i="1"/>
  <c r="EM161" i="1"/>
  <c r="EN161" i="1"/>
  <c r="EO161" i="1"/>
  <c r="EP161" i="1"/>
  <c r="EQ161" i="1"/>
  <c r="ER161" i="1"/>
  <c r="ES161" i="1"/>
  <c r="ET161" i="1"/>
  <c r="EU161" i="1"/>
  <c r="EV161" i="1"/>
  <c r="EW161" i="1"/>
  <c r="EX161" i="1"/>
  <c r="EY161" i="1"/>
  <c r="EZ161" i="1"/>
  <c r="FA161" i="1"/>
  <c r="FB161" i="1"/>
  <c r="FC161" i="1"/>
  <c r="FD161" i="1"/>
  <c r="FE161" i="1"/>
  <c r="FF161" i="1"/>
  <c r="FG161" i="1"/>
  <c r="FH161" i="1"/>
  <c r="FI161" i="1"/>
  <c r="FJ161" i="1"/>
  <c r="FK161" i="1"/>
  <c r="FL161" i="1"/>
  <c r="FM161" i="1"/>
  <c r="FN161" i="1"/>
  <c r="FO161" i="1"/>
  <c r="FP161" i="1"/>
  <c r="FQ161" i="1"/>
  <c r="FR161" i="1"/>
  <c r="FS161" i="1"/>
  <c r="FT161" i="1"/>
  <c r="FU161" i="1"/>
  <c r="FV161" i="1"/>
  <c r="FW161" i="1"/>
  <c r="FX161" i="1"/>
  <c r="FY161" i="1"/>
  <c r="FZ161" i="1"/>
  <c r="GA161" i="1"/>
  <c r="GB161" i="1"/>
  <c r="GC161" i="1"/>
  <c r="GD161" i="1"/>
  <c r="GE161" i="1"/>
  <c r="GF161" i="1"/>
  <c r="GG161" i="1"/>
  <c r="GH161" i="1"/>
  <c r="GI161" i="1"/>
  <c r="GJ161" i="1"/>
  <c r="GK161" i="1"/>
  <c r="GL161" i="1"/>
  <c r="GM161" i="1"/>
  <c r="GN161" i="1"/>
  <c r="GO161" i="1"/>
  <c r="GP161" i="1"/>
  <c r="GQ161" i="1"/>
  <c r="GR161" i="1"/>
  <c r="GS161" i="1"/>
  <c r="GT161" i="1"/>
  <c r="GU161" i="1"/>
  <c r="GV161" i="1"/>
  <c r="GW161" i="1"/>
  <c r="GX161" i="1"/>
  <c r="C163" i="1"/>
  <c r="D163" i="1"/>
  <c r="I163" i="1"/>
  <c r="I165" i="1" s="1"/>
  <c r="K163" i="1"/>
  <c r="AC163" i="1"/>
  <c r="AE163" i="1"/>
  <c r="AF163" i="1"/>
  <c r="AG163" i="1"/>
  <c r="AH163" i="1"/>
  <c r="CV163" i="1" s="1"/>
  <c r="U163" i="1" s="1"/>
  <c r="AI163" i="1"/>
  <c r="AJ163" i="1"/>
  <c r="CQ163" i="1"/>
  <c r="CR163" i="1"/>
  <c r="CS163" i="1"/>
  <c r="CT163" i="1"/>
  <c r="CU163" i="1"/>
  <c r="CW163" i="1"/>
  <c r="CX163" i="1"/>
  <c r="FR163" i="1"/>
  <c r="GL163" i="1"/>
  <c r="GO163" i="1"/>
  <c r="GP163" i="1"/>
  <c r="GV163" i="1"/>
  <c r="HC163" i="1"/>
  <c r="AC164" i="1"/>
  <c r="AE164" i="1"/>
  <c r="AD164" i="1" s="1"/>
  <c r="AF164" i="1"/>
  <c r="AG164" i="1"/>
  <c r="AH164" i="1"/>
  <c r="AI164" i="1"/>
  <c r="AJ164" i="1"/>
  <c r="CQ164" i="1"/>
  <c r="CR164" i="1"/>
  <c r="CS164" i="1"/>
  <c r="CT164" i="1"/>
  <c r="CU164" i="1"/>
  <c r="CV164" i="1"/>
  <c r="CW164" i="1"/>
  <c r="CX164" i="1"/>
  <c r="FR164" i="1"/>
  <c r="GL164" i="1"/>
  <c r="GO164" i="1"/>
  <c r="GP164" i="1"/>
  <c r="GV164" i="1"/>
  <c r="HC164" i="1"/>
  <c r="AC165" i="1"/>
  <c r="AE165" i="1"/>
  <c r="AD165" i="1" s="1"/>
  <c r="AF165" i="1"/>
  <c r="AG165" i="1"/>
  <c r="AH165" i="1"/>
  <c r="AI165" i="1"/>
  <c r="AJ165" i="1"/>
  <c r="CQ165" i="1"/>
  <c r="CR165" i="1"/>
  <c r="CS165" i="1"/>
  <c r="CT165" i="1"/>
  <c r="CU165" i="1"/>
  <c r="CV165" i="1"/>
  <c r="CW165" i="1"/>
  <c r="CX165" i="1"/>
  <c r="FR165" i="1"/>
  <c r="GL165" i="1"/>
  <c r="GO165" i="1"/>
  <c r="GP165" i="1"/>
  <c r="GV165" i="1"/>
  <c r="HC165" i="1"/>
  <c r="AC166" i="1"/>
  <c r="AE166" i="1"/>
  <c r="AD166" i="1" s="1"/>
  <c r="AF166" i="1"/>
  <c r="AG166" i="1"/>
  <c r="AH166" i="1"/>
  <c r="AI166" i="1"/>
  <c r="AJ166" i="1"/>
  <c r="CQ166" i="1"/>
  <c r="CR166" i="1"/>
  <c r="CS166" i="1"/>
  <c r="CT166" i="1"/>
  <c r="CU166" i="1"/>
  <c r="CV166" i="1"/>
  <c r="CW166" i="1"/>
  <c r="CX166" i="1"/>
  <c r="FR166" i="1"/>
  <c r="GL166" i="1"/>
  <c r="GO166" i="1"/>
  <c r="GP166" i="1"/>
  <c r="GV166" i="1"/>
  <c r="HC166" i="1"/>
  <c r="AC167" i="1"/>
  <c r="AE167" i="1"/>
  <c r="AF167" i="1"/>
  <c r="AG167" i="1"/>
  <c r="AH167" i="1"/>
  <c r="AI167" i="1"/>
  <c r="AJ167" i="1"/>
  <c r="CQ167" i="1"/>
  <c r="P167" i="1" s="1"/>
  <c r="CR167" i="1"/>
  <c r="Q167" i="1" s="1"/>
  <c r="CS167" i="1"/>
  <c r="R167" i="1" s="1"/>
  <c r="CT167" i="1"/>
  <c r="S167" i="1" s="1"/>
  <c r="CU167" i="1"/>
  <c r="T167" i="1" s="1"/>
  <c r="CV167" i="1"/>
  <c r="U167" i="1" s="1"/>
  <c r="CW167" i="1"/>
  <c r="V167" i="1" s="1"/>
  <c r="CX167" i="1"/>
  <c r="W167" i="1" s="1"/>
  <c r="CY167" i="1"/>
  <c r="X167" i="1" s="1"/>
  <c r="CZ167" i="1"/>
  <c r="Y167" i="1" s="1"/>
  <c r="FR167" i="1"/>
  <c r="GL167" i="1"/>
  <c r="GN167" i="1"/>
  <c r="GP167" i="1"/>
  <c r="GV167" i="1"/>
  <c r="HC167" i="1" s="1"/>
  <c r="GX167" i="1" s="1"/>
  <c r="I168" i="1"/>
  <c r="K168" i="1"/>
  <c r="AC168" i="1"/>
  <c r="N55" i="8" s="1"/>
  <c r="AE168" i="1"/>
  <c r="AF168" i="1"/>
  <c r="AG168" i="1"/>
  <c r="AH168" i="1"/>
  <c r="AI168" i="1"/>
  <c r="AJ168" i="1"/>
  <c r="CX168" i="1" s="1"/>
  <c r="W168" i="1" s="1"/>
  <c r="CQ168" i="1"/>
  <c r="CR168" i="1"/>
  <c r="CS168" i="1"/>
  <c r="CT168" i="1"/>
  <c r="CU168" i="1"/>
  <c r="CV168" i="1"/>
  <c r="CW168" i="1"/>
  <c r="CY168" i="1"/>
  <c r="X168" i="1" s="1"/>
  <c r="CZ168" i="1"/>
  <c r="Y168" i="1" s="1"/>
  <c r="FR168" i="1"/>
  <c r="GL168" i="1"/>
  <c r="GN168" i="1"/>
  <c r="GP168" i="1"/>
  <c r="GV168" i="1"/>
  <c r="HC168" i="1"/>
  <c r="GX168" i="1" s="1"/>
  <c r="AC169" i="1"/>
  <c r="AE169" i="1"/>
  <c r="AF169" i="1"/>
  <c r="AG169" i="1"/>
  <c r="AH169" i="1"/>
  <c r="AI169" i="1"/>
  <c r="AJ169" i="1"/>
  <c r="CQ169" i="1"/>
  <c r="P169" i="1" s="1"/>
  <c r="K246" i="6" s="1"/>
  <c r="CR169" i="1"/>
  <c r="Q169" i="1" s="1"/>
  <c r="CS169" i="1"/>
  <c r="R169" i="1" s="1"/>
  <c r="CT169" i="1"/>
  <c r="S169" i="1" s="1"/>
  <c r="CU169" i="1"/>
  <c r="T169" i="1" s="1"/>
  <c r="CV169" i="1"/>
  <c r="U169" i="1" s="1"/>
  <c r="CW169" i="1"/>
  <c r="V169" i="1" s="1"/>
  <c r="CX169" i="1"/>
  <c r="W169" i="1" s="1"/>
  <c r="CY169" i="1"/>
  <c r="X169" i="1" s="1"/>
  <c r="CZ169" i="1"/>
  <c r="Y169" i="1" s="1"/>
  <c r="FR169" i="1"/>
  <c r="GL169" i="1"/>
  <c r="GO169" i="1"/>
  <c r="GP169" i="1"/>
  <c r="GV169" i="1"/>
  <c r="HC169" i="1" s="1"/>
  <c r="GX169" i="1" s="1"/>
  <c r="B171" i="1"/>
  <c r="B161" i="1" s="1"/>
  <c r="C171" i="1"/>
  <c r="C161" i="1" s="1"/>
  <c r="D171" i="1"/>
  <c r="D161" i="1" s="1"/>
  <c r="F171" i="1"/>
  <c r="F161" i="1" s="1"/>
  <c r="G171" i="1"/>
  <c r="BX171" i="1"/>
  <c r="BY171" i="1"/>
  <c r="CI171" i="1" s="1"/>
  <c r="BZ171" i="1"/>
  <c r="CG171" i="1" s="1"/>
  <c r="CK171" i="1"/>
  <c r="CL171" i="1"/>
  <c r="CM171" i="1"/>
  <c r="B210" i="1"/>
  <c r="B22" i="1" s="1"/>
  <c r="C210" i="1"/>
  <c r="C22" i="1" s="1"/>
  <c r="D210" i="1"/>
  <c r="D22" i="1" s="1"/>
  <c r="F210" i="1"/>
  <c r="F22" i="1" s="1"/>
  <c r="G210" i="1"/>
  <c r="B249" i="1"/>
  <c r="B18" i="1" s="1"/>
  <c r="C249" i="1"/>
  <c r="C18" i="1" s="1"/>
  <c r="D249" i="1"/>
  <c r="D18" i="1" s="1"/>
  <c r="F249" i="1"/>
  <c r="F18" i="1" s="1"/>
  <c r="G249" i="1"/>
  <c r="K149" i="6" l="1"/>
  <c r="L147" i="9"/>
  <c r="CZ106" i="1"/>
  <c r="Y106" i="1" s="1"/>
  <c r="CY106" i="1"/>
  <c r="X106" i="1" s="1"/>
  <c r="L237" i="6"/>
  <c r="Q237" i="6" s="1"/>
  <c r="M235" i="9"/>
  <c r="Q235" i="9" s="1"/>
  <c r="M234" i="9"/>
  <c r="L236" i="6"/>
  <c r="L185" i="9"/>
  <c r="K187" i="6"/>
  <c r="M116" i="9"/>
  <c r="Q116" i="9" s="1"/>
  <c r="L118" i="6"/>
  <c r="Q118" i="6" s="1"/>
  <c r="AD114" i="1"/>
  <c r="I187" i="9"/>
  <c r="R187" i="9" s="1"/>
  <c r="I186" i="9"/>
  <c r="H188" i="6"/>
  <c r="H189" i="6"/>
  <c r="R189" i="6" s="1"/>
  <c r="CR114" i="1"/>
  <c r="Q114" i="1" s="1"/>
  <c r="I182" i="9"/>
  <c r="N44" i="8"/>
  <c r="G185" i="6"/>
  <c r="H184" i="6"/>
  <c r="K44" i="8"/>
  <c r="M44" i="8" s="1"/>
  <c r="H183" i="9"/>
  <c r="CQ113" i="1"/>
  <c r="P113" i="1" s="1"/>
  <c r="AD106" i="1"/>
  <c r="AB106" i="1" s="1"/>
  <c r="I148" i="9"/>
  <c r="I149" i="9"/>
  <c r="R149" i="9" s="1"/>
  <c r="H151" i="6"/>
  <c r="R151" i="6" s="1"/>
  <c r="H150" i="6"/>
  <c r="CR106" i="1"/>
  <c r="Q106" i="1" s="1"/>
  <c r="I144" i="9"/>
  <c r="N40" i="8"/>
  <c r="K40" i="8"/>
  <c r="M40" i="8" s="1"/>
  <c r="H145" i="9"/>
  <c r="G147" i="6"/>
  <c r="H146" i="6"/>
  <c r="CQ105" i="1"/>
  <c r="P105" i="1" s="1"/>
  <c r="AD103" i="1"/>
  <c r="I135" i="9"/>
  <c r="R135" i="9" s="1"/>
  <c r="I134" i="9"/>
  <c r="H136" i="6"/>
  <c r="CR103" i="1"/>
  <c r="Q103" i="1" s="1"/>
  <c r="AD99" i="1"/>
  <c r="CR99" i="1"/>
  <c r="Q99" i="1" s="1"/>
  <c r="AD97" i="1"/>
  <c r="CR97" i="1"/>
  <c r="Q97" i="1" s="1"/>
  <c r="CP97" i="1" s="1"/>
  <c r="O97" i="1" s="1"/>
  <c r="GM97" i="1" s="1"/>
  <c r="GN97" i="1" s="1"/>
  <c r="S117" i="9"/>
  <c r="U117" i="9"/>
  <c r="S119" i="6"/>
  <c r="U119" i="6"/>
  <c r="DH79" i="3"/>
  <c r="DI79" i="3"/>
  <c r="DJ79" i="3" s="1"/>
  <c r="DF79" i="3"/>
  <c r="DG79" i="3"/>
  <c r="T245" i="6"/>
  <c r="T243" i="9"/>
  <c r="U146" i="9"/>
  <c r="I151" i="9" s="1"/>
  <c r="S146" i="9"/>
  <c r="I150" i="9" s="1"/>
  <c r="H153" i="9" s="1"/>
  <c r="I147" i="9"/>
  <c r="R147" i="9" s="1"/>
  <c r="U148" i="6"/>
  <c r="H153" i="6" s="1"/>
  <c r="H149" i="6"/>
  <c r="R149" i="6" s="1"/>
  <c r="S148" i="6"/>
  <c r="H152" i="6" s="1"/>
  <c r="DI63" i="3"/>
  <c r="DJ63" i="3" s="1"/>
  <c r="DF63" i="3"/>
  <c r="DG63" i="3"/>
  <c r="DH63" i="3"/>
  <c r="CV22" i="3"/>
  <c r="CX22" i="3"/>
  <c r="U204" i="9"/>
  <c r="I208" i="9" s="1"/>
  <c r="I206" i="9"/>
  <c r="R206" i="9" s="1"/>
  <c r="U206" i="6"/>
  <c r="H210" i="6" s="1"/>
  <c r="S206" i="6"/>
  <c r="H209" i="6" s="1"/>
  <c r="G212" i="6" s="1"/>
  <c r="S204" i="9"/>
  <c r="I207" i="9" s="1"/>
  <c r="H208" i="6"/>
  <c r="R208" i="6" s="1"/>
  <c r="U168" i="1"/>
  <c r="P163" i="1"/>
  <c r="CT118" i="1"/>
  <c r="S118" i="1" s="1"/>
  <c r="U192" i="9"/>
  <c r="U194" i="6"/>
  <c r="S192" i="9"/>
  <c r="S194" i="6"/>
  <c r="CS114" i="1"/>
  <c r="R114" i="1" s="1"/>
  <c r="CZ114" i="1" s="1"/>
  <c r="Y114" i="1" s="1"/>
  <c r="V183" i="6"/>
  <c r="V181" i="9"/>
  <c r="M170" i="9"/>
  <c r="Q170" i="9" s="1"/>
  <c r="L171" i="6"/>
  <c r="M169" i="9"/>
  <c r="L149" i="9"/>
  <c r="K151" i="6"/>
  <c r="V142" i="9"/>
  <c r="V144" i="6"/>
  <c r="AD101" i="1"/>
  <c r="CR101" i="1"/>
  <c r="Q101" i="1" s="1"/>
  <c r="CY99" i="1"/>
  <c r="X99" i="1" s="1"/>
  <c r="CY97" i="1"/>
  <c r="X97" i="1" s="1"/>
  <c r="CY95" i="1"/>
  <c r="X95" i="1" s="1"/>
  <c r="CZ95" i="1"/>
  <c r="Y95" i="1" s="1"/>
  <c r="U93" i="9"/>
  <c r="S93" i="9"/>
  <c r="U95" i="6"/>
  <c r="S95" i="6"/>
  <c r="S84" i="1"/>
  <c r="AD73" i="1"/>
  <c r="I62" i="9"/>
  <c r="I63" i="9"/>
  <c r="R63" i="9" s="1"/>
  <c r="H64" i="6"/>
  <c r="H65" i="6"/>
  <c r="R65" i="6" s="1"/>
  <c r="CR73" i="1"/>
  <c r="Q73" i="1" s="1"/>
  <c r="CS73" i="1"/>
  <c r="R73" i="1" s="1"/>
  <c r="DF84" i="3"/>
  <c r="DJ84" i="3" s="1"/>
  <c r="DG84" i="3"/>
  <c r="DI84" i="3"/>
  <c r="DG60" i="3"/>
  <c r="DH60" i="3"/>
  <c r="DI60" i="3"/>
  <c r="CW59" i="3"/>
  <c r="CX59" i="3"/>
  <c r="DF51" i="3"/>
  <c r="DJ51" i="3" s="1"/>
  <c r="DG51" i="3"/>
  <c r="DI51" i="3"/>
  <c r="DH51" i="3"/>
  <c r="U166" i="1"/>
  <c r="V154" i="9"/>
  <c r="V156" i="6"/>
  <c r="CZ83" i="1"/>
  <c r="Y83" i="1" s="1"/>
  <c r="I164" i="1"/>
  <c r="Q164" i="1" s="1"/>
  <c r="CP164" i="1" s="1"/>
  <c r="O164" i="1" s="1"/>
  <c r="CZ107" i="1"/>
  <c r="Y107" i="1" s="1"/>
  <c r="L135" i="9"/>
  <c r="K137" i="6"/>
  <c r="CZ103" i="1"/>
  <c r="Y103" i="1" s="1"/>
  <c r="DI38" i="3"/>
  <c r="DF38" i="3"/>
  <c r="DJ38" i="3" s="1"/>
  <c r="DG38" i="3"/>
  <c r="DH38" i="3"/>
  <c r="P165" i="1"/>
  <c r="W164" i="1"/>
  <c r="GX163" i="1"/>
  <c r="CJ171" i="1" s="1"/>
  <c r="CJ161" i="1" s="1"/>
  <c r="AD116" i="1"/>
  <c r="P46" i="8"/>
  <c r="S46" i="8"/>
  <c r="U171" i="9"/>
  <c r="I178" i="9" s="1"/>
  <c r="I173" i="9"/>
  <c r="R173" i="9" s="1"/>
  <c r="S171" i="9"/>
  <c r="I177" i="9" s="1"/>
  <c r="U173" i="6"/>
  <c r="H180" i="6" s="1"/>
  <c r="H175" i="6"/>
  <c r="R175" i="6" s="1"/>
  <c r="S173" i="6"/>
  <c r="H179" i="6" s="1"/>
  <c r="CT111" i="1"/>
  <c r="S111" i="1" s="1"/>
  <c r="M131" i="9"/>
  <c r="Q131" i="9" s="1"/>
  <c r="L133" i="6"/>
  <c r="Q133" i="6" s="1"/>
  <c r="M128" i="9"/>
  <c r="Q128" i="9" s="1"/>
  <c r="L130" i="6"/>
  <c r="Q130" i="6" s="1"/>
  <c r="L129" i="6"/>
  <c r="M127" i="9"/>
  <c r="I112" i="9"/>
  <c r="H113" i="9"/>
  <c r="K30" i="8"/>
  <c r="H114" i="6"/>
  <c r="N30" i="8"/>
  <c r="CQ93" i="1"/>
  <c r="P93" i="1" s="1"/>
  <c r="T108" i="9"/>
  <c r="T110" i="6"/>
  <c r="K27" i="8"/>
  <c r="H104" i="9"/>
  <c r="I103" i="9"/>
  <c r="N27" i="8"/>
  <c r="O27" i="8" s="1"/>
  <c r="F38" i="7" s="1"/>
  <c r="G106" i="6"/>
  <c r="H105" i="6"/>
  <c r="CQ90" i="1"/>
  <c r="P90" i="1" s="1"/>
  <c r="T99" i="9"/>
  <c r="T101" i="6"/>
  <c r="G115" i="6"/>
  <c r="H137" i="6"/>
  <c r="R137" i="6" s="1"/>
  <c r="L172" i="6"/>
  <c r="Q172" i="6" s="1"/>
  <c r="AD86" i="1"/>
  <c r="P23" i="8"/>
  <c r="CR86" i="1"/>
  <c r="Q86" i="1" s="1"/>
  <c r="S23" i="8"/>
  <c r="T23" i="8" s="1"/>
  <c r="CE30" i="1"/>
  <c r="CG30" i="1"/>
  <c r="P164" i="1"/>
  <c r="W163" i="1"/>
  <c r="CZ115" i="1"/>
  <c r="Y115" i="1" s="1"/>
  <c r="U164" i="9"/>
  <c r="I168" i="9" s="1"/>
  <c r="S164" i="9"/>
  <c r="I167" i="9" s="1"/>
  <c r="H170" i="9" s="1"/>
  <c r="W170" i="9" s="1"/>
  <c r="S166" i="6"/>
  <c r="H169" i="6" s="1"/>
  <c r="G172" i="6" s="1"/>
  <c r="W172" i="6" s="1"/>
  <c r="I166" i="9"/>
  <c r="R166" i="9" s="1"/>
  <c r="U166" i="6"/>
  <c r="H170" i="6" s="1"/>
  <c r="L100" i="9"/>
  <c r="K102" i="6"/>
  <c r="G22" i="1"/>
  <c r="A260" i="9"/>
  <c r="AG262" i="6"/>
  <c r="A262" i="6"/>
  <c r="AG260" i="9"/>
  <c r="W165" i="1"/>
  <c r="GX164" i="1"/>
  <c r="V200" i="6"/>
  <c r="K203" i="6" s="1"/>
  <c r="V198" i="9"/>
  <c r="L201" i="9" s="1"/>
  <c r="CS116" i="1"/>
  <c r="R116" i="1" s="1"/>
  <c r="I196" i="9"/>
  <c r="K46" i="8"/>
  <c r="H197" i="9"/>
  <c r="G199" i="6"/>
  <c r="H198" i="6"/>
  <c r="N46" i="8"/>
  <c r="CQ116" i="1"/>
  <c r="P116" i="1" s="1"/>
  <c r="F192" i="9"/>
  <c r="E194" i="6"/>
  <c r="CT112" i="1"/>
  <c r="S112" i="1" s="1"/>
  <c r="AD112" i="1"/>
  <c r="I175" i="9"/>
  <c r="R175" i="9" s="1"/>
  <c r="I174" i="9"/>
  <c r="H176" i="6"/>
  <c r="H177" i="6"/>
  <c r="R177" i="6" s="1"/>
  <c r="CR112" i="1"/>
  <c r="Q112" i="1" s="1"/>
  <c r="S154" i="9"/>
  <c r="U154" i="9"/>
  <c r="U156" i="6"/>
  <c r="S156" i="6"/>
  <c r="AD104" i="1"/>
  <c r="AB104" i="1" s="1"/>
  <c r="CR104" i="1"/>
  <c r="Q104" i="1" s="1"/>
  <c r="AD98" i="1"/>
  <c r="CR98" i="1"/>
  <c r="Q98" i="1" s="1"/>
  <c r="AD96" i="1"/>
  <c r="AB96" i="1" s="1"/>
  <c r="I123" i="9"/>
  <c r="R123" i="9" s="1"/>
  <c r="I122" i="9"/>
  <c r="H124" i="6"/>
  <c r="H125" i="6"/>
  <c r="R125" i="6" s="1"/>
  <c r="CR96" i="1"/>
  <c r="Q96" i="1" s="1"/>
  <c r="V102" i="9"/>
  <c r="V104" i="6"/>
  <c r="CY77" i="1"/>
  <c r="X77" i="1" s="1"/>
  <c r="CH30" i="1"/>
  <c r="AY30" i="1" s="1"/>
  <c r="I52" i="8"/>
  <c r="D16" i="7" s="1"/>
  <c r="DH84" i="3"/>
  <c r="DF60" i="3"/>
  <c r="DJ60" i="3" s="1"/>
  <c r="CV55" i="3"/>
  <c r="CX55" i="3"/>
  <c r="DG53" i="3"/>
  <c r="DF53" i="3"/>
  <c r="DJ53" i="3" s="1"/>
  <c r="DH53" i="3"/>
  <c r="DI53" i="3"/>
  <c r="I35" i="8"/>
  <c r="CX48" i="3"/>
  <c r="D240" i="9"/>
  <c r="I55" i="8"/>
  <c r="D34" i="7" s="1"/>
  <c r="F239" i="9"/>
  <c r="C242" i="6"/>
  <c r="E241" i="6"/>
  <c r="M210" i="9"/>
  <c r="Q210" i="9" s="1"/>
  <c r="M209" i="9"/>
  <c r="L212" i="6"/>
  <c r="Q212" i="6" s="1"/>
  <c r="L211" i="6"/>
  <c r="S184" i="9"/>
  <c r="I189" i="9" s="1"/>
  <c r="I185" i="9"/>
  <c r="R185" i="9" s="1"/>
  <c r="U184" i="9"/>
  <c r="I190" i="9" s="1"/>
  <c r="S186" i="6"/>
  <c r="H191" i="6" s="1"/>
  <c r="G195" i="6" s="1"/>
  <c r="W195" i="6" s="1"/>
  <c r="H187" i="6"/>
  <c r="R187" i="6" s="1"/>
  <c r="U186" i="6"/>
  <c r="H192" i="6" s="1"/>
  <c r="M141" i="9"/>
  <c r="Q141" i="9" s="1"/>
  <c r="M139" i="9"/>
  <c r="L143" i="6"/>
  <c r="Q143" i="6" s="1"/>
  <c r="L141" i="6"/>
  <c r="S108" i="9"/>
  <c r="U108" i="9"/>
  <c r="U110" i="6"/>
  <c r="S110" i="6"/>
  <c r="F226" i="9"/>
  <c r="E228" i="6"/>
  <c r="C229" i="6"/>
  <c r="D227" i="9"/>
  <c r="AD115" i="1"/>
  <c r="CR115" i="1"/>
  <c r="Q115" i="1" s="1"/>
  <c r="CP115" i="1" s="1"/>
  <c r="O115" i="1" s="1"/>
  <c r="L109" i="9"/>
  <c r="K111" i="6"/>
  <c r="BZ120" i="1"/>
  <c r="CG120" i="1" s="1"/>
  <c r="CG71" i="1" s="1"/>
  <c r="I45" i="8"/>
  <c r="D13" i="7" s="1"/>
  <c r="CX83" i="3"/>
  <c r="S92" i="6"/>
  <c r="L244" i="9"/>
  <c r="P166" i="1"/>
  <c r="CP166" i="1" s="1"/>
  <c r="O166" i="1" s="1"/>
  <c r="I166" i="1"/>
  <c r="W166" i="1" s="1"/>
  <c r="V238" i="6"/>
  <c r="V236" i="9"/>
  <c r="I237" i="9"/>
  <c r="N54" i="8"/>
  <c r="K54" i="8"/>
  <c r="H239" i="6"/>
  <c r="H238" i="9"/>
  <c r="X238" i="9" s="1"/>
  <c r="G240" i="6"/>
  <c r="GX165" i="1"/>
  <c r="U164" i="1"/>
  <c r="AH171" i="1" s="1"/>
  <c r="CD171" i="1"/>
  <c r="T198" i="9"/>
  <c r="L200" i="9" s="1"/>
  <c r="T200" i="6"/>
  <c r="K202" i="6" s="1"/>
  <c r="J205" i="6" s="1"/>
  <c r="P205" i="6" s="1"/>
  <c r="V194" i="9"/>
  <c r="V196" i="6"/>
  <c r="CR116" i="1"/>
  <c r="Q116" i="1" s="1"/>
  <c r="CY115" i="1"/>
  <c r="X115" i="1" s="1"/>
  <c r="CS112" i="1"/>
  <c r="R112" i="1" s="1"/>
  <c r="CT108" i="1"/>
  <c r="S108" i="1" s="1"/>
  <c r="CY107" i="1"/>
  <c r="X107" i="1" s="1"/>
  <c r="CY104" i="1"/>
  <c r="X104" i="1" s="1"/>
  <c r="H142" i="6"/>
  <c r="U129" i="9"/>
  <c r="S129" i="9"/>
  <c r="S131" i="6"/>
  <c r="U131" i="6"/>
  <c r="AD100" i="1"/>
  <c r="CR100" i="1"/>
  <c r="Q100" i="1" s="1"/>
  <c r="CY98" i="1"/>
  <c r="X98" i="1" s="1"/>
  <c r="V111" i="9"/>
  <c r="V113" i="6"/>
  <c r="AD91" i="1"/>
  <c r="P28" i="8"/>
  <c r="S28" i="8"/>
  <c r="T28" i="8" s="1"/>
  <c r="CR91" i="1"/>
  <c r="Q91" i="1" s="1"/>
  <c r="I88" i="9"/>
  <c r="N22" i="8"/>
  <c r="O22" i="8" s="1"/>
  <c r="F32" i="7" s="1"/>
  <c r="K22" i="8"/>
  <c r="M22" i="8" s="1"/>
  <c r="H89" i="9"/>
  <c r="G91" i="6"/>
  <c r="H90" i="6"/>
  <c r="CQ85" i="1"/>
  <c r="P85" i="1" s="1"/>
  <c r="AD80" i="1"/>
  <c r="CR80" i="1"/>
  <c r="Q80" i="1" s="1"/>
  <c r="U78" i="1"/>
  <c r="G26" i="1"/>
  <c r="AG46" i="9"/>
  <c r="AG48" i="6"/>
  <c r="A48" i="6"/>
  <c r="A46" i="9"/>
  <c r="L188" i="9"/>
  <c r="K190" i="6"/>
  <c r="AD107" i="1"/>
  <c r="CR107" i="1"/>
  <c r="Q107" i="1" s="1"/>
  <c r="CZ81" i="1"/>
  <c r="Y81" i="1" s="1"/>
  <c r="V243" i="9"/>
  <c r="V245" i="6"/>
  <c r="H245" i="9"/>
  <c r="G247" i="6"/>
  <c r="W247" i="6" s="1"/>
  <c r="I244" i="9"/>
  <c r="H246" i="6"/>
  <c r="K56" i="8"/>
  <c r="N56" i="8"/>
  <c r="T239" i="9"/>
  <c r="T241" i="6"/>
  <c r="P168" i="1"/>
  <c r="T236" i="9"/>
  <c r="T238" i="6"/>
  <c r="L237" i="9"/>
  <c r="K239" i="6"/>
  <c r="GX166" i="1"/>
  <c r="U165" i="1"/>
  <c r="C197" i="6"/>
  <c r="F194" i="9"/>
  <c r="D195" i="9"/>
  <c r="E196" i="6"/>
  <c r="I46" i="8"/>
  <c r="U181" i="9"/>
  <c r="S181" i="9"/>
  <c r="U183" i="6"/>
  <c r="S183" i="6"/>
  <c r="L176" i="9"/>
  <c r="K178" i="6"/>
  <c r="H155" i="9"/>
  <c r="Y155" i="9" s="1"/>
  <c r="G157" i="6"/>
  <c r="CQ108" i="1"/>
  <c r="P108" i="1" s="1"/>
  <c r="GL108" i="1" s="1"/>
  <c r="S142" i="9"/>
  <c r="U144" i="6"/>
  <c r="S144" i="6"/>
  <c r="U142" i="9"/>
  <c r="V140" i="9"/>
  <c r="V142" i="6"/>
  <c r="CY100" i="1"/>
  <c r="X100" i="1" s="1"/>
  <c r="L123" i="9"/>
  <c r="K125" i="6"/>
  <c r="CZ96" i="1"/>
  <c r="Y96" i="1" s="1"/>
  <c r="AD94" i="1"/>
  <c r="P31" i="8"/>
  <c r="S31" i="8"/>
  <c r="CR94" i="1"/>
  <c r="Q94" i="1" s="1"/>
  <c r="M101" i="9"/>
  <c r="Q101" i="9" s="1"/>
  <c r="L103" i="6"/>
  <c r="Q103" i="6" s="1"/>
  <c r="M92" i="9"/>
  <c r="Q92" i="9" s="1"/>
  <c r="L94" i="6"/>
  <c r="Q94" i="6" s="1"/>
  <c r="V87" i="9"/>
  <c r="V89" i="6"/>
  <c r="L71" i="9"/>
  <c r="K73" i="6"/>
  <c r="I72" i="9"/>
  <c r="CQ74" i="1"/>
  <c r="P74" i="1" s="1"/>
  <c r="H74" i="6"/>
  <c r="M66" i="9"/>
  <c r="M67" i="9"/>
  <c r="Q67" i="9" s="1"/>
  <c r="L68" i="6"/>
  <c r="L69" i="6"/>
  <c r="Q69" i="6" s="1"/>
  <c r="DF81" i="3"/>
  <c r="DG81" i="3"/>
  <c r="DJ81" i="3" s="1"/>
  <c r="DI81" i="3"/>
  <c r="DH81" i="3"/>
  <c r="V105" i="9"/>
  <c r="V107" i="6"/>
  <c r="I106" i="9"/>
  <c r="N28" i="8"/>
  <c r="E22" i="7" s="1"/>
  <c r="K28" i="8"/>
  <c r="H107" i="9"/>
  <c r="G109" i="6"/>
  <c r="W109" i="6" s="1"/>
  <c r="H108" i="6"/>
  <c r="M95" i="9"/>
  <c r="Q95" i="9" s="1"/>
  <c r="L97" i="6"/>
  <c r="Q97" i="6" s="1"/>
  <c r="CS82" i="1"/>
  <c r="R82" i="1" s="1"/>
  <c r="CZ82" i="1" s="1"/>
  <c r="Y82" i="1" s="1"/>
  <c r="AA85" i="9"/>
  <c r="I85" i="9"/>
  <c r="AA87" i="6"/>
  <c r="H87" i="6"/>
  <c r="CW8" i="3"/>
  <c r="CX8" i="3"/>
  <c r="M119" i="9"/>
  <c r="Q119" i="9" s="1"/>
  <c r="L121" i="6"/>
  <c r="Q121" i="6" s="1"/>
  <c r="S111" i="9"/>
  <c r="U111" i="9"/>
  <c r="S113" i="6"/>
  <c r="U113" i="6"/>
  <c r="AD92" i="1"/>
  <c r="AB92" i="1" s="1"/>
  <c r="S29" i="8"/>
  <c r="P29" i="8"/>
  <c r="T102" i="9"/>
  <c r="T104" i="6"/>
  <c r="S87" i="9"/>
  <c r="U87" i="9"/>
  <c r="S89" i="6"/>
  <c r="R84" i="1"/>
  <c r="R83" i="1"/>
  <c r="CY83" i="1" s="1"/>
  <c r="X83" i="1" s="1"/>
  <c r="R81" i="1"/>
  <c r="CY81" i="1" s="1"/>
  <c r="X81" i="1" s="1"/>
  <c r="V168" i="1"/>
  <c r="V166" i="1"/>
  <c r="V165" i="1"/>
  <c r="V163" i="1"/>
  <c r="G71" i="1"/>
  <c r="A212" i="9"/>
  <c r="AG212" i="9"/>
  <c r="A214" i="6"/>
  <c r="AG214" i="6"/>
  <c r="T118" i="1"/>
  <c r="T196" i="6"/>
  <c r="T194" i="9"/>
  <c r="I192" i="9"/>
  <c r="H194" i="6"/>
  <c r="AA192" i="9"/>
  <c r="H190" i="6"/>
  <c r="I188" i="9"/>
  <c r="AD113" i="1"/>
  <c r="S44" i="8"/>
  <c r="P44" i="8"/>
  <c r="R44" i="8" s="1"/>
  <c r="I176" i="9"/>
  <c r="H178" i="6"/>
  <c r="F157" i="9"/>
  <c r="D158" i="9"/>
  <c r="C160" i="6"/>
  <c r="E159" i="6"/>
  <c r="AD105" i="1"/>
  <c r="S40" i="8"/>
  <c r="T40" i="8" s="1"/>
  <c r="P40" i="8"/>
  <c r="R40" i="8" s="1"/>
  <c r="U140" i="9"/>
  <c r="S140" i="9"/>
  <c r="U142" i="6"/>
  <c r="U132" i="9"/>
  <c r="I138" i="9" s="1"/>
  <c r="S132" i="9"/>
  <c r="I137" i="9" s="1"/>
  <c r="I133" i="9"/>
  <c r="R133" i="9" s="1"/>
  <c r="U134" i="6"/>
  <c r="H140" i="6" s="1"/>
  <c r="H135" i="6"/>
  <c r="R135" i="6" s="1"/>
  <c r="S134" i="6"/>
  <c r="L121" i="9"/>
  <c r="K123" i="6"/>
  <c r="U120" i="9"/>
  <c r="I126" i="9" s="1"/>
  <c r="S120" i="9"/>
  <c r="I125" i="9" s="1"/>
  <c r="U122" i="6"/>
  <c r="H128" i="6" s="1"/>
  <c r="I121" i="9"/>
  <c r="R121" i="9" s="1"/>
  <c r="H123" i="6"/>
  <c r="R123" i="6" s="1"/>
  <c r="S122" i="6"/>
  <c r="H127" i="6" s="1"/>
  <c r="G130" i="6" s="1"/>
  <c r="S114" i="9"/>
  <c r="U114" i="9"/>
  <c r="U116" i="6"/>
  <c r="S116" i="6"/>
  <c r="AD93" i="1"/>
  <c r="P30" i="8"/>
  <c r="R30" i="8" s="1"/>
  <c r="S30" i="8"/>
  <c r="V108" i="9"/>
  <c r="V110" i="6"/>
  <c r="CR92" i="1"/>
  <c r="Q92" i="1" s="1"/>
  <c r="CP92" i="1" s="1"/>
  <c r="O92" i="1" s="1"/>
  <c r="K29" i="8"/>
  <c r="M29" i="8" s="1"/>
  <c r="I109" i="9"/>
  <c r="N29" i="8"/>
  <c r="G112" i="6"/>
  <c r="H111" i="6"/>
  <c r="H110" i="9"/>
  <c r="T105" i="9"/>
  <c r="T107" i="6"/>
  <c r="CQ91" i="1"/>
  <c r="P91" i="1" s="1"/>
  <c r="CP91" i="1" s="1"/>
  <c r="O91" i="1" s="1"/>
  <c r="M98" i="9"/>
  <c r="Q98" i="9" s="1"/>
  <c r="L100" i="6"/>
  <c r="Q100" i="6" s="1"/>
  <c r="S90" i="9"/>
  <c r="U90" i="9"/>
  <c r="U92" i="6"/>
  <c r="AD85" i="1"/>
  <c r="P22" i="8"/>
  <c r="R22" i="8" s="1"/>
  <c r="S22" i="8"/>
  <c r="T22" i="8" s="1"/>
  <c r="CR84" i="1"/>
  <c r="Q84" i="1" s="1"/>
  <c r="CR83" i="1"/>
  <c r="Q83" i="1" s="1"/>
  <c r="CR82" i="1"/>
  <c r="Q82" i="1" s="1"/>
  <c r="CP82" i="1" s="1"/>
  <c r="O82" i="1" s="1"/>
  <c r="CR81" i="1"/>
  <c r="Q81" i="1" s="1"/>
  <c r="CQ80" i="1"/>
  <c r="P80" i="1" s="1"/>
  <c r="GX78" i="1"/>
  <c r="V78" i="1"/>
  <c r="AD74" i="1"/>
  <c r="AB74" i="1" s="1"/>
  <c r="I70" i="9"/>
  <c r="H72" i="6"/>
  <c r="H73" i="6"/>
  <c r="R73" i="6" s="1"/>
  <c r="DF64" i="3"/>
  <c r="DH64" i="3"/>
  <c r="DF42" i="3"/>
  <c r="DH42" i="3"/>
  <c r="G32" i="6"/>
  <c r="E87" i="6"/>
  <c r="K135" i="6"/>
  <c r="M245" i="9"/>
  <c r="Q245" i="9" s="1"/>
  <c r="L247" i="6"/>
  <c r="Q247" i="6" s="1"/>
  <c r="T168" i="1"/>
  <c r="M238" i="9"/>
  <c r="Q238" i="9" s="1"/>
  <c r="L240" i="6"/>
  <c r="Q240" i="6" s="1"/>
  <c r="T166" i="1"/>
  <c r="T165" i="1"/>
  <c r="T163" i="1"/>
  <c r="M203" i="9"/>
  <c r="Q203" i="9" s="1"/>
  <c r="M202" i="9"/>
  <c r="L205" i="6"/>
  <c r="Q205" i="6" s="1"/>
  <c r="L204" i="6"/>
  <c r="V116" i="1"/>
  <c r="GX115" i="1"/>
  <c r="W115" i="1"/>
  <c r="T181" i="9"/>
  <c r="T183" i="6"/>
  <c r="F171" i="9"/>
  <c r="D172" i="9"/>
  <c r="C174" i="6"/>
  <c r="E173" i="6"/>
  <c r="M163" i="9"/>
  <c r="Q163" i="9" s="1"/>
  <c r="L165" i="6"/>
  <c r="Q165" i="6" s="1"/>
  <c r="M162" i="9"/>
  <c r="L164" i="6"/>
  <c r="T154" i="9"/>
  <c r="T156" i="6"/>
  <c r="GX107" i="1"/>
  <c r="W107" i="1"/>
  <c r="AA140" i="9"/>
  <c r="I140" i="9"/>
  <c r="AA142" i="6"/>
  <c r="I136" i="9"/>
  <c r="H138" i="6"/>
  <c r="AD102" i="1"/>
  <c r="S38" i="8"/>
  <c r="T38" i="8" s="1"/>
  <c r="AD95" i="1"/>
  <c r="AB95" i="1" s="1"/>
  <c r="P32" i="8"/>
  <c r="S32" i="8"/>
  <c r="V114" i="9"/>
  <c r="V116" i="6"/>
  <c r="K31" i="8"/>
  <c r="H116" i="9"/>
  <c r="N31" i="8"/>
  <c r="E41" i="7" s="1"/>
  <c r="I115" i="9"/>
  <c r="G118" i="6"/>
  <c r="T111" i="9"/>
  <c r="T113" i="6"/>
  <c r="S96" i="9"/>
  <c r="U96" i="9"/>
  <c r="U98" i="6"/>
  <c r="S98" i="6"/>
  <c r="AD87" i="1"/>
  <c r="AB87" i="1" s="1"/>
  <c r="P24" i="8"/>
  <c r="S24" i="8"/>
  <c r="K23" i="8"/>
  <c r="N23" i="8"/>
  <c r="E30" i="7" s="1"/>
  <c r="H92" i="9"/>
  <c r="I91" i="9"/>
  <c r="G94" i="6"/>
  <c r="H93" i="6"/>
  <c r="T87" i="9"/>
  <c r="T89" i="6"/>
  <c r="GX84" i="1"/>
  <c r="W84" i="1"/>
  <c r="GX83" i="1"/>
  <c r="W83" i="1"/>
  <c r="GX82" i="1"/>
  <c r="W82" i="1"/>
  <c r="GX81" i="1"/>
  <c r="W81" i="1"/>
  <c r="U79" i="1"/>
  <c r="V77" i="9"/>
  <c r="V79" i="6"/>
  <c r="L79" i="9"/>
  <c r="K81" i="6"/>
  <c r="I81" i="9"/>
  <c r="H83" i="6"/>
  <c r="I50" i="8"/>
  <c r="DH47" i="3"/>
  <c r="DI47" i="3"/>
  <c r="G161" i="1"/>
  <c r="AG249" i="6"/>
  <c r="AG247" i="9"/>
  <c r="A247" i="9"/>
  <c r="S168" i="1"/>
  <c r="S239" i="9"/>
  <c r="U241" i="6"/>
  <c r="S241" i="6"/>
  <c r="U239" i="9"/>
  <c r="S166" i="1"/>
  <c r="S165" i="1"/>
  <c r="CP165" i="1" s="1"/>
  <c r="O165" i="1" s="1"/>
  <c r="S164" i="1"/>
  <c r="S163" i="1"/>
  <c r="U226" i="9"/>
  <c r="I233" i="9" s="1"/>
  <c r="S228" i="6"/>
  <c r="H234" i="6" s="1"/>
  <c r="G237" i="6" s="1"/>
  <c r="I228" i="9"/>
  <c r="R228" i="9" s="1"/>
  <c r="H230" i="6"/>
  <c r="R230" i="6" s="1"/>
  <c r="S226" i="9"/>
  <c r="I232" i="9" s="1"/>
  <c r="H235" i="9" s="1"/>
  <c r="U228" i="6"/>
  <c r="H235" i="6" s="1"/>
  <c r="CR118" i="1"/>
  <c r="Q118" i="1" s="1"/>
  <c r="CP118" i="1" s="1"/>
  <c r="O118" i="1" s="1"/>
  <c r="U116" i="1"/>
  <c r="V115" i="1"/>
  <c r="V112" i="1"/>
  <c r="CR111" i="1"/>
  <c r="Q111" i="1" s="1"/>
  <c r="T110" i="1"/>
  <c r="V107" i="1"/>
  <c r="D143" i="9"/>
  <c r="F142" i="9"/>
  <c r="I40" i="8"/>
  <c r="D14" i="7" s="1"/>
  <c r="E144" i="6"/>
  <c r="CQ104" i="1"/>
  <c r="P104" i="1" s="1"/>
  <c r="CP104" i="1" s="1"/>
  <c r="O104" i="1" s="1"/>
  <c r="F140" i="9"/>
  <c r="E142" i="6"/>
  <c r="CY103" i="1"/>
  <c r="X103" i="1" s="1"/>
  <c r="CQ103" i="1"/>
  <c r="P103" i="1" s="1"/>
  <c r="CR102" i="1"/>
  <c r="Q102" i="1" s="1"/>
  <c r="CP102" i="1" s="1"/>
  <c r="O102" i="1" s="1"/>
  <c r="N38" i="8"/>
  <c r="K38" i="8"/>
  <c r="I130" i="9"/>
  <c r="H132" i="6"/>
  <c r="H131" i="9"/>
  <c r="CY96" i="1"/>
  <c r="X96" i="1" s="1"/>
  <c r="CQ96" i="1"/>
  <c r="P96" i="1" s="1"/>
  <c r="CP96" i="1" s="1"/>
  <c r="O96" i="1" s="1"/>
  <c r="GM96" i="1" s="1"/>
  <c r="GN96" i="1" s="1"/>
  <c r="CR95" i="1"/>
  <c r="Q95" i="1" s="1"/>
  <c r="CP95" i="1" s="1"/>
  <c r="O95" i="1" s="1"/>
  <c r="I118" i="9"/>
  <c r="H119" i="9"/>
  <c r="N32" i="8"/>
  <c r="E43" i="7" s="1"/>
  <c r="K32" i="8"/>
  <c r="M32" i="8" s="1"/>
  <c r="T114" i="9"/>
  <c r="T116" i="6"/>
  <c r="CQ94" i="1"/>
  <c r="P94" i="1" s="1"/>
  <c r="M107" i="9"/>
  <c r="Q107" i="9" s="1"/>
  <c r="L109" i="6"/>
  <c r="Q109" i="6" s="1"/>
  <c r="S99" i="9"/>
  <c r="U99" i="9"/>
  <c r="S101" i="6"/>
  <c r="U101" i="6"/>
  <c r="AD88" i="1"/>
  <c r="S25" i="8"/>
  <c r="T25" i="8" s="1"/>
  <c r="P25" i="8"/>
  <c r="R25" i="8" s="1"/>
  <c r="V93" i="9"/>
  <c r="V95" i="6"/>
  <c r="CR87" i="1"/>
  <c r="Q87" i="1" s="1"/>
  <c r="I94" i="9"/>
  <c r="N24" i="8"/>
  <c r="K24" i="8"/>
  <c r="G97" i="6"/>
  <c r="W97" i="6" s="1"/>
  <c r="H96" i="6"/>
  <c r="H95" i="9"/>
  <c r="T90" i="9"/>
  <c r="T92" i="6"/>
  <c r="CQ86" i="1"/>
  <c r="P86" i="1" s="1"/>
  <c r="CP86" i="1" s="1"/>
  <c r="O86" i="1" s="1"/>
  <c r="V84" i="1"/>
  <c r="V83" i="1"/>
  <c r="V82" i="1"/>
  <c r="V81" i="1"/>
  <c r="U80" i="1"/>
  <c r="S78" i="1"/>
  <c r="Q76" i="1"/>
  <c r="CP76" i="1" s="1"/>
  <c r="O76" i="1" s="1"/>
  <c r="T77" i="9"/>
  <c r="T79" i="6"/>
  <c r="CQ75" i="1"/>
  <c r="P75" i="1" s="1"/>
  <c r="F68" i="9"/>
  <c r="E70" i="6"/>
  <c r="CV86" i="3"/>
  <c r="CX86" i="3"/>
  <c r="CW66" i="3"/>
  <c r="CX66" i="3"/>
  <c r="CV62" i="3"/>
  <c r="CX62" i="3"/>
  <c r="DF57" i="3"/>
  <c r="DH57" i="3"/>
  <c r="DI50" i="3"/>
  <c r="DF50" i="3"/>
  <c r="DJ50" i="3" s="1"/>
  <c r="DG47" i="3"/>
  <c r="DG42" i="3"/>
  <c r="CX26" i="3"/>
  <c r="I21" i="8"/>
  <c r="D9" i="7" s="1"/>
  <c r="DF1" i="3"/>
  <c r="DH1" i="3"/>
  <c r="DI1" i="3"/>
  <c r="DJ1" i="3" s="1"/>
  <c r="H117" i="6"/>
  <c r="G121" i="6"/>
  <c r="W121" i="6" s="1"/>
  <c r="H126" i="6"/>
  <c r="T144" i="6"/>
  <c r="P38" i="8"/>
  <c r="G18" i="1"/>
  <c r="A275" i="6"/>
  <c r="A273" i="9"/>
  <c r="A3" i="7"/>
  <c r="AG273" i="9"/>
  <c r="AG275" i="6"/>
  <c r="U243" i="9"/>
  <c r="S245" i="6"/>
  <c r="S243" i="9"/>
  <c r="U245" i="6"/>
  <c r="R168" i="1"/>
  <c r="AD168" i="1"/>
  <c r="P55" i="8"/>
  <c r="S55" i="8"/>
  <c r="T55" i="8" s="1"/>
  <c r="S236" i="9"/>
  <c r="U236" i="9"/>
  <c r="S238" i="6"/>
  <c r="U238" i="6"/>
  <c r="R166" i="1"/>
  <c r="R165" i="1"/>
  <c r="R164" i="1"/>
  <c r="R163" i="1"/>
  <c r="AD163" i="1"/>
  <c r="I230" i="9"/>
  <c r="R230" i="9" s="1"/>
  <c r="H232" i="6"/>
  <c r="R232" i="6" s="1"/>
  <c r="I229" i="9"/>
  <c r="H231" i="6"/>
  <c r="P118" i="1"/>
  <c r="L199" i="9"/>
  <c r="K201" i="6"/>
  <c r="S198" i="9"/>
  <c r="I200" i="9" s="1"/>
  <c r="I199" i="9"/>
  <c r="R199" i="9" s="1"/>
  <c r="U198" i="9"/>
  <c r="I201" i="9" s="1"/>
  <c r="S200" i="6"/>
  <c r="H202" i="6" s="1"/>
  <c r="G205" i="6" s="1"/>
  <c r="O205" i="6" s="1"/>
  <c r="H201" i="6"/>
  <c r="R201" i="6" s="1"/>
  <c r="U200" i="6"/>
  <c r="H203" i="6" s="1"/>
  <c r="T116" i="1"/>
  <c r="U115" i="1"/>
  <c r="M193" i="9"/>
  <c r="Q193" i="9" s="1"/>
  <c r="M191" i="9"/>
  <c r="L193" i="6"/>
  <c r="L195" i="6"/>
  <c r="Q195" i="6" s="1"/>
  <c r="U112" i="1"/>
  <c r="S110" i="1"/>
  <c r="U157" i="9"/>
  <c r="I161" i="9" s="1"/>
  <c r="I159" i="9"/>
  <c r="R159" i="9" s="1"/>
  <c r="S157" i="9"/>
  <c r="I160" i="9" s="1"/>
  <c r="U159" i="6"/>
  <c r="H163" i="6" s="1"/>
  <c r="H161" i="6"/>
  <c r="R161" i="6" s="1"/>
  <c r="S159" i="6"/>
  <c r="H162" i="6" s="1"/>
  <c r="G165" i="6" s="1"/>
  <c r="W165" i="6" s="1"/>
  <c r="U107" i="1"/>
  <c r="M152" i="9"/>
  <c r="L155" i="6"/>
  <c r="Q155" i="6" s="1"/>
  <c r="L154" i="6"/>
  <c r="T129" i="9"/>
  <c r="T131" i="6"/>
  <c r="L130" i="9"/>
  <c r="K132" i="6"/>
  <c r="L118" i="9"/>
  <c r="K120" i="6"/>
  <c r="M110" i="9"/>
  <c r="Q110" i="9" s="1"/>
  <c r="L112" i="6"/>
  <c r="Q112" i="6" s="1"/>
  <c r="S102" i="9"/>
  <c r="U102" i="9"/>
  <c r="U104" i="6"/>
  <c r="S104" i="6"/>
  <c r="AD89" i="1"/>
  <c r="P26" i="8"/>
  <c r="S26" i="8"/>
  <c r="V96" i="9"/>
  <c r="V98" i="6"/>
  <c r="K25" i="8"/>
  <c r="I97" i="9"/>
  <c r="H98" i="9"/>
  <c r="O98" i="9" s="1"/>
  <c r="G100" i="6"/>
  <c r="N25" i="8"/>
  <c r="H99" i="6"/>
  <c r="L94" i="9"/>
  <c r="K96" i="6"/>
  <c r="U84" i="1"/>
  <c r="U83" i="1"/>
  <c r="U82" i="1"/>
  <c r="AH120" i="1" s="1"/>
  <c r="U81" i="1"/>
  <c r="S79" i="1"/>
  <c r="CZ77" i="1"/>
  <c r="Y77" i="1" s="1"/>
  <c r="DI57" i="3"/>
  <c r="DI56" i="3"/>
  <c r="DJ56" i="3" s="1"/>
  <c r="DF56" i="3"/>
  <c r="DH50" i="3"/>
  <c r="DF47" i="3"/>
  <c r="DJ47" i="3" s="1"/>
  <c r="DF39" i="3"/>
  <c r="DJ39" i="3" s="1"/>
  <c r="DG39" i="3"/>
  <c r="DI39" i="3"/>
  <c r="I17" i="8"/>
  <c r="D26" i="7" s="1"/>
  <c r="CX35" i="3"/>
  <c r="I11" i="8"/>
  <c r="D28" i="7" s="1"/>
  <c r="T98" i="6"/>
  <c r="L106" i="6"/>
  <c r="Q106" i="6" s="1"/>
  <c r="S142" i="6"/>
  <c r="C145" i="6"/>
  <c r="AA194" i="6"/>
  <c r="A249" i="6"/>
  <c r="I71" i="9"/>
  <c r="R71" i="9" s="1"/>
  <c r="AD169" i="1"/>
  <c r="P56" i="8"/>
  <c r="R56" i="8" s="1"/>
  <c r="S56" i="8"/>
  <c r="T56" i="8" s="1"/>
  <c r="V241" i="6"/>
  <c r="V239" i="9"/>
  <c r="Q168" i="1"/>
  <c r="H242" i="9"/>
  <c r="K55" i="8"/>
  <c r="H243" i="6"/>
  <c r="I241" i="9"/>
  <c r="G244" i="6"/>
  <c r="O244" i="6" s="1"/>
  <c r="AD167" i="1"/>
  <c r="P54" i="8"/>
  <c r="S54" i="8"/>
  <c r="Q166" i="1"/>
  <c r="Q165" i="1"/>
  <c r="Q163" i="1"/>
  <c r="I231" i="9"/>
  <c r="H233" i="6"/>
  <c r="F204" i="9"/>
  <c r="C207" i="6"/>
  <c r="E206" i="6"/>
  <c r="D205" i="9"/>
  <c r="S116" i="1"/>
  <c r="U194" i="9"/>
  <c r="S194" i="9"/>
  <c r="U196" i="6"/>
  <c r="T115" i="1"/>
  <c r="L185" i="6"/>
  <c r="Q185" i="6" s="1"/>
  <c r="M183" i="9"/>
  <c r="Q183" i="9" s="1"/>
  <c r="T112" i="1"/>
  <c r="F164" i="9"/>
  <c r="E166" i="6"/>
  <c r="C167" i="6"/>
  <c r="D165" i="9"/>
  <c r="R110" i="1"/>
  <c r="T107" i="1"/>
  <c r="M145" i="9"/>
  <c r="Q145" i="9" s="1"/>
  <c r="L147" i="6"/>
  <c r="Q147" i="6" s="1"/>
  <c r="M113" i="9"/>
  <c r="Q113" i="9" s="1"/>
  <c r="L115" i="6"/>
  <c r="Q115" i="6" s="1"/>
  <c r="S105" i="9"/>
  <c r="U105" i="9"/>
  <c r="U107" i="6"/>
  <c r="S107" i="6"/>
  <c r="AD90" i="1"/>
  <c r="AB90" i="1" s="1"/>
  <c r="S27" i="8"/>
  <c r="P27" i="8"/>
  <c r="V101" i="6"/>
  <c r="V99" i="9"/>
  <c r="CR89" i="1"/>
  <c r="Q89" i="1" s="1"/>
  <c r="I100" i="9"/>
  <c r="K26" i="8"/>
  <c r="H101" i="9"/>
  <c r="W101" i="9" s="1"/>
  <c r="G103" i="6"/>
  <c r="H102" i="6"/>
  <c r="N26" i="8"/>
  <c r="O26" i="8" s="1"/>
  <c r="F23" i="7" s="1"/>
  <c r="CQ88" i="1"/>
  <c r="P88" i="1" s="1"/>
  <c r="CP88" i="1" s="1"/>
  <c r="O88" i="1" s="1"/>
  <c r="M89" i="9"/>
  <c r="Q89" i="9" s="1"/>
  <c r="L91" i="6"/>
  <c r="Q91" i="6" s="1"/>
  <c r="T84" i="1"/>
  <c r="T83" i="1"/>
  <c r="T82" i="1"/>
  <c r="T81" i="1"/>
  <c r="S80" i="1"/>
  <c r="CP80" i="1" s="1"/>
  <c r="O80" i="1" s="1"/>
  <c r="S85" i="9"/>
  <c r="U85" i="9"/>
  <c r="U87" i="6"/>
  <c r="S87" i="6"/>
  <c r="H84" i="6" s="1"/>
  <c r="G88" i="6" s="1"/>
  <c r="R79" i="1"/>
  <c r="Q78" i="1"/>
  <c r="GX74" i="1"/>
  <c r="I53" i="8"/>
  <c r="DI80" i="3"/>
  <c r="I43" i="8"/>
  <c r="D18" i="7" s="1"/>
  <c r="DH67" i="3"/>
  <c r="DG57" i="3"/>
  <c r="DJ57" i="3" s="1"/>
  <c r="DH56" i="3"/>
  <c r="DG50" i="3"/>
  <c r="CW44" i="3"/>
  <c r="CX44" i="3"/>
  <c r="T95" i="6"/>
  <c r="V131" i="6"/>
  <c r="L157" i="6"/>
  <c r="Q157" i="6" s="1"/>
  <c r="W80" i="1"/>
  <c r="W79" i="1"/>
  <c r="W78" i="1"/>
  <c r="W77" i="1"/>
  <c r="W76" i="1"/>
  <c r="L61" i="9"/>
  <c r="K63" i="6"/>
  <c r="U60" i="9"/>
  <c r="I65" i="9" s="1"/>
  <c r="S60" i="9"/>
  <c r="I64" i="9" s="1"/>
  <c r="H67" i="9" s="1"/>
  <c r="W67" i="9" s="1"/>
  <c r="I61" i="9"/>
  <c r="R61" i="9" s="1"/>
  <c r="H63" i="6"/>
  <c r="R63" i="6" s="1"/>
  <c r="U62" i="6"/>
  <c r="H67" i="6" s="1"/>
  <c r="S62" i="6"/>
  <c r="H66" i="6" s="1"/>
  <c r="G69" i="6" s="1"/>
  <c r="M44" i="9"/>
  <c r="Q44" i="9" s="1"/>
  <c r="M43" i="9"/>
  <c r="L46" i="6"/>
  <c r="Q46" i="6" s="1"/>
  <c r="L45" i="6"/>
  <c r="I51" i="8"/>
  <c r="D17" i="7" s="1"/>
  <c r="DF34" i="3"/>
  <c r="DJ34" i="3" s="1"/>
  <c r="DH34" i="3"/>
  <c r="DI34" i="3"/>
  <c r="CW4" i="3"/>
  <c r="CX4" i="3"/>
  <c r="K40" i="6"/>
  <c r="M84" i="9"/>
  <c r="L88" i="6"/>
  <c r="Q88" i="6" s="1"/>
  <c r="M86" i="9"/>
  <c r="Q86" i="9" s="1"/>
  <c r="V74" i="1"/>
  <c r="S37" i="9"/>
  <c r="I41" i="9" s="1"/>
  <c r="H44" i="9" s="1"/>
  <c r="O44" i="9" s="1"/>
  <c r="I38" i="9"/>
  <c r="R38" i="9" s="1"/>
  <c r="U39" i="6"/>
  <c r="H44" i="6" s="1"/>
  <c r="DF6" i="3"/>
  <c r="DH6" i="3"/>
  <c r="DI6" i="3"/>
  <c r="DJ6" i="3" s="1"/>
  <c r="S39" i="6"/>
  <c r="H43" i="6" s="1"/>
  <c r="G46" i="6" s="1"/>
  <c r="T80" i="1"/>
  <c r="T79" i="1"/>
  <c r="T78" i="1"/>
  <c r="T77" i="1"/>
  <c r="T76" i="1"/>
  <c r="U74" i="1"/>
  <c r="L40" i="9"/>
  <c r="K42" i="6"/>
  <c r="AD28" i="1"/>
  <c r="AB28" i="1" s="1"/>
  <c r="I40" i="9"/>
  <c r="R40" i="9" s="1"/>
  <c r="I39" i="9"/>
  <c r="DG85" i="3"/>
  <c r="CX82" i="3"/>
  <c r="DG78" i="3"/>
  <c r="I42" i="8"/>
  <c r="D27" i="7" s="1"/>
  <c r="DG65" i="3"/>
  <c r="DJ65" i="3" s="1"/>
  <c r="DG61" i="3"/>
  <c r="DG58" i="3"/>
  <c r="DJ58" i="3" s="1"/>
  <c r="DG54" i="3"/>
  <c r="DG46" i="3"/>
  <c r="D11" i="7"/>
  <c r="DG43" i="3"/>
  <c r="DJ43" i="3" s="1"/>
  <c r="DH33" i="3"/>
  <c r="DH30" i="3"/>
  <c r="DF29" i="3"/>
  <c r="DJ29" i="3" s="1"/>
  <c r="DG29" i="3"/>
  <c r="DI29" i="3"/>
  <c r="DF24" i="3"/>
  <c r="DH24" i="3"/>
  <c r="DI24" i="3"/>
  <c r="DF23" i="3"/>
  <c r="DG23" i="3"/>
  <c r="DI23" i="3"/>
  <c r="DJ23" i="3" s="1"/>
  <c r="H41" i="6"/>
  <c r="S77" i="9"/>
  <c r="I78" i="9"/>
  <c r="R78" i="9" s="1"/>
  <c r="U77" i="9"/>
  <c r="I83" i="9" s="1"/>
  <c r="U79" i="6"/>
  <c r="H85" i="6" s="1"/>
  <c r="T74" i="1"/>
  <c r="AG120" i="1" s="1"/>
  <c r="CZ28" i="1"/>
  <c r="Y28" i="1" s="1"/>
  <c r="L39" i="9"/>
  <c r="K41" i="6"/>
  <c r="I41" i="8"/>
  <c r="CX52" i="3"/>
  <c r="CX40" i="3"/>
  <c r="DG33" i="3"/>
  <c r="DG30" i="3"/>
  <c r="DI28" i="3"/>
  <c r="DF28" i="3"/>
  <c r="DJ28" i="3" s="1"/>
  <c r="DG28" i="3"/>
  <c r="DF9" i="3"/>
  <c r="DG9" i="3"/>
  <c r="DJ9" i="3" s="1"/>
  <c r="DI9" i="3"/>
  <c r="DF2" i="3"/>
  <c r="DH2" i="3"/>
  <c r="DI2" i="3"/>
  <c r="DJ2" i="3" s="1"/>
  <c r="R78" i="1"/>
  <c r="R77" i="1"/>
  <c r="R76" i="1"/>
  <c r="CY76" i="1" s="1"/>
  <c r="X76" i="1" s="1"/>
  <c r="L80" i="9"/>
  <c r="K82" i="6"/>
  <c r="AD75" i="1"/>
  <c r="I80" i="9"/>
  <c r="R80" i="9" s="1"/>
  <c r="I79" i="9"/>
  <c r="S74" i="1"/>
  <c r="I69" i="9"/>
  <c r="R69" i="9" s="1"/>
  <c r="U68" i="9"/>
  <c r="I74" i="9" s="1"/>
  <c r="S68" i="9"/>
  <c r="I73" i="9" s="1"/>
  <c r="H76" i="9" s="1"/>
  <c r="X76" i="9" s="1"/>
  <c r="U70" i="6"/>
  <c r="H76" i="6" s="1"/>
  <c r="G78" i="6" s="1"/>
  <c r="H71" i="6"/>
  <c r="R71" i="6" s="1"/>
  <c r="CY28" i="1"/>
  <c r="X28" i="1" s="1"/>
  <c r="I49" i="8"/>
  <c r="D35" i="7" s="1"/>
  <c r="DF36" i="3"/>
  <c r="DJ36" i="3" s="1"/>
  <c r="DG36" i="3"/>
  <c r="DF30" i="3"/>
  <c r="DJ30" i="3" s="1"/>
  <c r="CX27" i="3"/>
  <c r="I20" i="8"/>
  <c r="D10" i="7" s="1"/>
  <c r="DG6" i="3"/>
  <c r="H80" i="6"/>
  <c r="R80" i="6" s="1"/>
  <c r="U37" i="9"/>
  <c r="I42" i="9" s="1"/>
  <c r="I10" i="8"/>
  <c r="D33" i="7" s="1"/>
  <c r="I9" i="8"/>
  <c r="D42" i="7" s="1"/>
  <c r="I15" i="8"/>
  <c r="D12" i="7" s="1"/>
  <c r="I14" i="8"/>
  <c r="D15" i="7" s="1"/>
  <c r="D20" i="7"/>
  <c r="I12" i="8"/>
  <c r="D19" i="7" s="1"/>
  <c r="O67" i="9"/>
  <c r="W89" i="9"/>
  <c r="O89" i="9"/>
  <c r="W92" i="9"/>
  <c r="O92" i="9"/>
  <c r="W95" i="9"/>
  <c r="O95" i="9"/>
  <c r="X104" i="9"/>
  <c r="O104" i="9"/>
  <c r="W107" i="9"/>
  <c r="O107" i="9"/>
  <c r="X110" i="9"/>
  <c r="O110" i="9"/>
  <c r="W113" i="9"/>
  <c r="O113" i="9"/>
  <c r="X116" i="9"/>
  <c r="O116" i="9"/>
  <c r="W119" i="9"/>
  <c r="O119" i="9"/>
  <c r="W131" i="9"/>
  <c r="O131" i="9"/>
  <c r="W145" i="9"/>
  <c r="O145" i="9"/>
  <c r="W153" i="9"/>
  <c r="O153" i="9"/>
  <c r="W183" i="9"/>
  <c r="O183" i="9"/>
  <c r="W197" i="9"/>
  <c r="O197" i="9"/>
  <c r="W235" i="9"/>
  <c r="O235" i="9"/>
  <c r="X242" i="9"/>
  <c r="O242" i="9"/>
  <c r="W245" i="9"/>
  <c r="O245" i="9"/>
  <c r="W46" i="6"/>
  <c r="O46" i="6"/>
  <c r="L48" i="6"/>
  <c r="W69" i="6"/>
  <c r="O69" i="6"/>
  <c r="W91" i="6"/>
  <c r="O91" i="6"/>
  <c r="W94" i="6"/>
  <c r="O94" i="6"/>
  <c r="W100" i="6"/>
  <c r="O100" i="6"/>
  <c r="W103" i="6"/>
  <c r="O103" i="6"/>
  <c r="X106" i="6"/>
  <c r="O106" i="6"/>
  <c r="X112" i="6"/>
  <c r="O112" i="6"/>
  <c r="W115" i="6"/>
  <c r="O115" i="6"/>
  <c r="X118" i="6"/>
  <c r="O118" i="6"/>
  <c r="W130" i="6"/>
  <c r="O130" i="6"/>
  <c r="W133" i="6"/>
  <c r="O133" i="6"/>
  <c r="W147" i="6"/>
  <c r="O147" i="6"/>
  <c r="Y157" i="6"/>
  <c r="G29" i="6" s="1"/>
  <c r="O157" i="6"/>
  <c r="O165" i="6"/>
  <c r="W185" i="6"/>
  <c r="O185" i="6"/>
  <c r="O195" i="6"/>
  <c r="W199" i="6"/>
  <c r="O199" i="6"/>
  <c r="Z212" i="6"/>
  <c r="O212" i="6"/>
  <c r="W237" i="6"/>
  <c r="O237" i="6"/>
  <c r="X240" i="6"/>
  <c r="O240" i="6"/>
  <c r="O9" i="8"/>
  <c r="M9" i="8"/>
  <c r="T9" i="8"/>
  <c r="R9" i="8"/>
  <c r="O10" i="8"/>
  <c r="F33" i="7" s="1"/>
  <c r="M10" i="8"/>
  <c r="T10" i="8"/>
  <c r="R10" i="8"/>
  <c r="O11" i="8"/>
  <c r="F28" i="7" s="1"/>
  <c r="M11" i="8"/>
  <c r="T11" i="8"/>
  <c r="R11" i="8"/>
  <c r="O12" i="8"/>
  <c r="F19" i="7" s="1"/>
  <c r="M12" i="8"/>
  <c r="T12" i="8"/>
  <c r="R12" i="8"/>
  <c r="O13" i="8"/>
  <c r="M13" i="8"/>
  <c r="T13" i="8"/>
  <c r="R13" i="8"/>
  <c r="O14" i="8"/>
  <c r="F15" i="7" s="1"/>
  <c r="M14" i="8"/>
  <c r="T14" i="8"/>
  <c r="R14" i="8"/>
  <c r="O15" i="8"/>
  <c r="F12" i="7" s="1"/>
  <c r="M15" i="8"/>
  <c r="T15" i="8"/>
  <c r="R15" i="8"/>
  <c r="O16" i="8"/>
  <c r="F37" i="7" s="1"/>
  <c r="M16" i="8"/>
  <c r="T16" i="8"/>
  <c r="R16" i="8"/>
  <c r="O17" i="8"/>
  <c r="M17" i="8"/>
  <c r="T17" i="8"/>
  <c r="R17" i="8"/>
  <c r="O18" i="8"/>
  <c r="M18" i="8"/>
  <c r="T18" i="8"/>
  <c r="R18" i="8"/>
  <c r="O19" i="8"/>
  <c r="M19" i="8"/>
  <c r="T19" i="8"/>
  <c r="R19" i="8"/>
  <c r="O20" i="8"/>
  <c r="M20" i="8"/>
  <c r="T20" i="8"/>
  <c r="R20" i="8"/>
  <c r="O21" i="8"/>
  <c r="F9" i="7" s="1"/>
  <c r="M21" i="8"/>
  <c r="T21" i="8"/>
  <c r="R21" i="8"/>
  <c r="E32" i="7"/>
  <c r="M23" i="8"/>
  <c r="R23" i="8"/>
  <c r="M24" i="8"/>
  <c r="E29" i="7"/>
  <c r="O24" i="8"/>
  <c r="F29" i="7" s="1"/>
  <c r="R24" i="8"/>
  <c r="T24" i="8"/>
  <c r="M25" i="8"/>
  <c r="E31" i="7"/>
  <c r="O25" i="8"/>
  <c r="M26" i="8"/>
  <c r="E23" i="7"/>
  <c r="R26" i="8"/>
  <c r="T26" i="8"/>
  <c r="M27" i="8"/>
  <c r="E38" i="7"/>
  <c r="R27" i="8"/>
  <c r="T27" i="8"/>
  <c r="M28" i="8"/>
  <c r="R28" i="8"/>
  <c r="E39" i="7"/>
  <c r="O29" i="8"/>
  <c r="F39" i="7" s="1"/>
  <c r="R29" i="8"/>
  <c r="T29" i="8"/>
  <c r="M30" i="8"/>
  <c r="E24" i="7"/>
  <c r="O30" i="8"/>
  <c r="F24" i="7" s="1"/>
  <c r="T30" i="8"/>
  <c r="M31" i="8"/>
  <c r="R31" i="8"/>
  <c r="T31" i="8"/>
  <c r="O32" i="8"/>
  <c r="F43" i="7" s="1"/>
  <c r="R32" i="8"/>
  <c r="T32" i="8"/>
  <c r="O33" i="8"/>
  <c r="M33" i="8"/>
  <c r="T33" i="8"/>
  <c r="R33" i="8"/>
  <c r="O34" i="8"/>
  <c r="M34" i="8"/>
  <c r="T34" i="8"/>
  <c r="R34" i="8"/>
  <c r="O35" i="8"/>
  <c r="M35" i="8"/>
  <c r="T35" i="8"/>
  <c r="R35" i="8"/>
  <c r="O36" i="8"/>
  <c r="M36" i="8"/>
  <c r="T36" i="8"/>
  <c r="R36" i="8"/>
  <c r="O37" i="8"/>
  <c r="M37" i="8"/>
  <c r="T37" i="8"/>
  <c r="R37" i="8"/>
  <c r="M38" i="8"/>
  <c r="O38" i="8"/>
  <c r="R38" i="8"/>
  <c r="O39" i="8"/>
  <c r="M39" i="8"/>
  <c r="T39" i="8"/>
  <c r="R39" i="8"/>
  <c r="E14" i="7"/>
  <c r="O40" i="8"/>
  <c r="O41" i="8"/>
  <c r="M41" i="8"/>
  <c r="T41" i="8"/>
  <c r="R41" i="8"/>
  <c r="O42" i="8"/>
  <c r="F27" i="7" s="1"/>
  <c r="M42" i="8"/>
  <c r="T42" i="8"/>
  <c r="R42" i="8"/>
  <c r="O43" i="8"/>
  <c r="M43" i="8"/>
  <c r="T43" i="8"/>
  <c r="R43" i="8"/>
  <c r="E21" i="7"/>
  <c r="O44" i="8"/>
  <c r="F21" i="7" s="1"/>
  <c r="T44" i="8"/>
  <c r="O45" i="8"/>
  <c r="M45" i="8"/>
  <c r="T45" i="8"/>
  <c r="R45" i="8"/>
  <c r="M46" i="8"/>
  <c r="O46" i="8"/>
  <c r="R46" i="8"/>
  <c r="T46" i="8"/>
  <c r="O48" i="8"/>
  <c r="F36" i="7" s="1"/>
  <c r="M48" i="8"/>
  <c r="T48" i="8"/>
  <c r="R48" i="8"/>
  <c r="O49" i="8"/>
  <c r="F35" i="7" s="1"/>
  <c r="M49" i="8"/>
  <c r="T49" i="8"/>
  <c r="R49" i="8"/>
  <c r="O50" i="8"/>
  <c r="M50" i="8"/>
  <c r="T50" i="8"/>
  <c r="R50" i="8"/>
  <c r="O51" i="8"/>
  <c r="M51" i="8"/>
  <c r="T51" i="8"/>
  <c r="R51" i="8"/>
  <c r="O52" i="8"/>
  <c r="F16" i="7" s="1"/>
  <c r="M52" i="8"/>
  <c r="T52" i="8"/>
  <c r="R52" i="8"/>
  <c r="O53" i="8"/>
  <c r="M53" i="8"/>
  <c r="T53" i="8"/>
  <c r="R53" i="8"/>
  <c r="M54" i="8"/>
  <c r="E40" i="7"/>
  <c r="O54" i="8"/>
  <c r="F40" i="7" s="1"/>
  <c r="R54" i="8"/>
  <c r="T54" i="8"/>
  <c r="M55" i="8"/>
  <c r="E34" i="7"/>
  <c r="O55" i="8"/>
  <c r="F34" i="7" s="1"/>
  <c r="R55" i="8"/>
  <c r="M56" i="8"/>
  <c r="E25" i="7"/>
  <c r="O56" i="8"/>
  <c r="F25" i="7" s="1"/>
  <c r="CM161" i="1"/>
  <c r="BD171" i="1"/>
  <c r="CL161" i="1"/>
  <c r="BC171" i="1"/>
  <c r="CK161" i="1"/>
  <c r="BB171" i="1"/>
  <c r="CI161" i="1"/>
  <c r="AZ171" i="1"/>
  <c r="CG161" i="1"/>
  <c r="AX171" i="1"/>
  <c r="CD161" i="1"/>
  <c r="AU171" i="1"/>
  <c r="BZ161" i="1"/>
  <c r="AQ171" i="1"/>
  <c r="BY161" i="1"/>
  <c r="AP171" i="1"/>
  <c r="BX161" i="1"/>
  <c r="AO171" i="1"/>
  <c r="CP169" i="1"/>
  <c r="O169" i="1" s="1"/>
  <c r="AB169" i="1"/>
  <c r="CP168" i="1"/>
  <c r="O168" i="1" s="1"/>
  <c r="AB168" i="1"/>
  <c r="CP167" i="1"/>
  <c r="O167" i="1" s="1"/>
  <c r="AB167" i="1"/>
  <c r="AB166" i="1"/>
  <c r="AB165" i="1"/>
  <c r="AB164" i="1"/>
  <c r="AB163" i="1"/>
  <c r="CU89" i="3"/>
  <c r="CV89" i="3"/>
  <c r="CX89" i="3"/>
  <c r="CX90" i="3"/>
  <c r="CW91" i="3"/>
  <c r="CX91" i="3"/>
  <c r="CW92" i="3"/>
  <c r="CX92" i="3"/>
  <c r="CW93" i="3"/>
  <c r="CX93" i="3"/>
  <c r="CX94" i="3"/>
  <c r="CX95" i="3"/>
  <c r="CX96" i="3"/>
  <c r="CX97" i="3"/>
  <c r="CX98" i="3"/>
  <c r="CX99" i="3"/>
  <c r="CX100" i="3"/>
  <c r="CX101" i="3"/>
  <c r="CX102" i="3"/>
  <c r="CM71" i="1"/>
  <c r="BD120" i="1"/>
  <c r="CL71" i="1"/>
  <c r="BC120" i="1"/>
  <c r="CK71" i="1"/>
  <c r="BB120" i="1"/>
  <c r="AX120" i="1"/>
  <c r="AQ120" i="1"/>
  <c r="BX71" i="1"/>
  <c r="AO120" i="1"/>
  <c r="AB118" i="1"/>
  <c r="CU87" i="3"/>
  <c r="CV87" i="3"/>
  <c r="CX87" i="3"/>
  <c r="CU88" i="3"/>
  <c r="CV88" i="3"/>
  <c r="CX88" i="3"/>
  <c r="CP117" i="1"/>
  <c r="O117" i="1" s="1"/>
  <c r="GM117" i="1" s="1"/>
  <c r="GP117" i="1" s="1"/>
  <c r="AB117" i="1"/>
  <c r="CP116" i="1"/>
  <c r="O116" i="1" s="1"/>
  <c r="AB116" i="1"/>
  <c r="AB115" i="1"/>
  <c r="CP114" i="1"/>
  <c r="O114" i="1" s="1"/>
  <c r="AB114" i="1"/>
  <c r="CP113" i="1"/>
  <c r="O113" i="1" s="1"/>
  <c r="AB113" i="1"/>
  <c r="CP112" i="1"/>
  <c r="O112" i="1" s="1"/>
  <c r="AB112" i="1"/>
  <c r="CU70" i="3"/>
  <c r="CV70" i="3"/>
  <c r="CX70" i="3"/>
  <c r="CX71" i="3"/>
  <c r="CW72" i="3"/>
  <c r="CX72" i="3"/>
  <c r="CW73" i="3"/>
  <c r="CX73" i="3"/>
  <c r="CW74" i="3"/>
  <c r="CX74" i="3"/>
  <c r="CX75" i="3"/>
  <c r="CX76" i="3"/>
  <c r="CX77" i="3"/>
  <c r="CP111" i="1"/>
  <c r="O111" i="1" s="1"/>
  <c r="AB111" i="1"/>
  <c r="CU69" i="3"/>
  <c r="CV69" i="3"/>
  <c r="CX69" i="3"/>
  <c r="CP110" i="1"/>
  <c r="O110" i="1" s="1"/>
  <c r="AB110" i="1"/>
  <c r="CU68" i="3"/>
  <c r="CV68" i="3"/>
  <c r="CX68" i="3"/>
  <c r="CP108" i="1"/>
  <c r="O108" i="1" s="1"/>
  <c r="AB108" i="1"/>
  <c r="CP107" i="1"/>
  <c r="O107" i="1" s="1"/>
  <c r="GM107" i="1" s="1"/>
  <c r="GN107" i="1" s="1"/>
  <c r="AB107" i="1"/>
  <c r="CP105" i="1"/>
  <c r="O105" i="1" s="1"/>
  <c r="AB105" i="1"/>
  <c r="CP103" i="1"/>
  <c r="O103" i="1" s="1"/>
  <c r="GM103" i="1" s="1"/>
  <c r="GN103" i="1" s="1"/>
  <c r="AB103" i="1"/>
  <c r="AB102" i="1"/>
  <c r="CP101" i="1"/>
  <c r="O101" i="1" s="1"/>
  <c r="GM101" i="1" s="1"/>
  <c r="GN101" i="1" s="1"/>
  <c r="AB101" i="1"/>
  <c r="CP100" i="1"/>
  <c r="O100" i="1" s="1"/>
  <c r="GM100" i="1" s="1"/>
  <c r="GN100" i="1" s="1"/>
  <c r="AB100" i="1"/>
  <c r="CP99" i="1"/>
  <c r="O99" i="1" s="1"/>
  <c r="GM99" i="1" s="1"/>
  <c r="GN99" i="1" s="1"/>
  <c r="AB99" i="1"/>
  <c r="CP98" i="1"/>
  <c r="O98" i="1" s="1"/>
  <c r="AB98" i="1"/>
  <c r="AB97" i="1"/>
  <c r="AB94" i="1"/>
  <c r="CP93" i="1"/>
  <c r="O93" i="1" s="1"/>
  <c r="AB93" i="1"/>
  <c r="AB91" i="1"/>
  <c r="CP90" i="1"/>
  <c r="O90" i="1" s="1"/>
  <c r="CP89" i="1"/>
  <c r="O89" i="1" s="1"/>
  <c r="AB89" i="1"/>
  <c r="AB88" i="1"/>
  <c r="CP87" i="1"/>
  <c r="O87" i="1" s="1"/>
  <c r="AB86" i="1"/>
  <c r="CP85" i="1"/>
  <c r="O85" i="1" s="1"/>
  <c r="AB85" i="1"/>
  <c r="CP84" i="1"/>
  <c r="O84" i="1" s="1"/>
  <c r="AB84" i="1"/>
  <c r="CP83" i="1"/>
  <c r="O83" i="1" s="1"/>
  <c r="AB83" i="1"/>
  <c r="AB82" i="1"/>
  <c r="CP81" i="1"/>
  <c r="O81" i="1" s="1"/>
  <c r="AB81" i="1"/>
  <c r="AB80" i="1"/>
  <c r="CP79" i="1"/>
  <c r="O79" i="1" s="1"/>
  <c r="AB79" i="1"/>
  <c r="CP78" i="1"/>
  <c r="O78" i="1" s="1"/>
  <c r="AB78" i="1"/>
  <c r="CP77" i="1"/>
  <c r="O77" i="1" s="1"/>
  <c r="GM77" i="1" s="1"/>
  <c r="GN77" i="1" s="1"/>
  <c r="AB77" i="1"/>
  <c r="AB76" i="1"/>
  <c r="CP75" i="1"/>
  <c r="O75" i="1" s="1"/>
  <c r="GM75" i="1" s="1"/>
  <c r="GN75" i="1" s="1"/>
  <c r="AB75" i="1"/>
  <c r="CP74" i="1"/>
  <c r="O74" i="1" s="1"/>
  <c r="CU10" i="3"/>
  <c r="CV10" i="3"/>
  <c r="CX10" i="3"/>
  <c r="CX11" i="3"/>
  <c r="CW12" i="3"/>
  <c r="CX12" i="3"/>
  <c r="CW13" i="3"/>
  <c r="CX13" i="3"/>
  <c r="CW14" i="3"/>
  <c r="CX14" i="3"/>
  <c r="CX15" i="3"/>
  <c r="CX16" i="3"/>
  <c r="CX17" i="3"/>
  <c r="CX18" i="3"/>
  <c r="CX19" i="3"/>
  <c r="CX20" i="3"/>
  <c r="CX21" i="3"/>
  <c r="CP73" i="1"/>
  <c r="O73" i="1" s="1"/>
  <c r="AB73" i="1"/>
  <c r="CM26" i="1"/>
  <c r="BD30" i="1"/>
  <c r="CL26" i="1"/>
  <c r="BC30" i="1"/>
  <c r="CK26" i="1"/>
  <c r="BB30" i="1"/>
  <c r="CJ26" i="1"/>
  <c r="BA30" i="1"/>
  <c r="CI26" i="1"/>
  <c r="AZ30" i="1"/>
  <c r="CH26" i="1"/>
  <c r="CG26" i="1"/>
  <c r="AX30" i="1"/>
  <c r="CF26" i="1"/>
  <c r="AW30" i="1"/>
  <c r="CE26" i="1"/>
  <c r="AV30" i="1"/>
  <c r="CD26" i="1"/>
  <c r="AU30" i="1"/>
  <c r="CC26" i="1"/>
  <c r="AT30" i="1"/>
  <c r="BZ26" i="1"/>
  <c r="AQ30" i="1"/>
  <c r="BY26" i="1"/>
  <c r="AP30" i="1"/>
  <c r="BX26" i="1"/>
  <c r="AO30" i="1"/>
  <c r="AJ26" i="1"/>
  <c r="W30" i="1"/>
  <c r="AI26" i="1"/>
  <c r="V30" i="1"/>
  <c r="AH26" i="1"/>
  <c r="U30" i="1"/>
  <c r="AG26" i="1"/>
  <c r="T30" i="1"/>
  <c r="AF26" i="1"/>
  <c r="S30" i="1"/>
  <c r="AE26" i="1"/>
  <c r="R30" i="1"/>
  <c r="AD26" i="1"/>
  <c r="Q30" i="1"/>
  <c r="AC26" i="1"/>
  <c r="P30" i="1"/>
  <c r="CP28" i="1"/>
  <c r="O28" i="1" s="1"/>
  <c r="AG71" i="1" l="1"/>
  <c r="T120" i="1"/>
  <c r="GM104" i="1"/>
  <c r="GN104" i="1" s="1"/>
  <c r="AB140" i="9"/>
  <c r="L140" i="9"/>
  <c r="K142" i="6"/>
  <c r="AB142" i="6"/>
  <c r="AB85" i="9"/>
  <c r="L85" i="9"/>
  <c r="K87" i="6"/>
  <c r="AB87" i="6"/>
  <c r="GM86" i="1"/>
  <c r="GN86" i="1" s="1"/>
  <c r="K92" i="9"/>
  <c r="P92" i="9" s="1"/>
  <c r="J94" i="6"/>
  <c r="P94" i="6" s="1"/>
  <c r="O88" i="6"/>
  <c r="W88" i="6"/>
  <c r="GM91" i="1"/>
  <c r="GN91" i="1" s="1"/>
  <c r="K107" i="9"/>
  <c r="P107" i="9" s="1"/>
  <c r="J109" i="6"/>
  <c r="P109" i="6" s="1"/>
  <c r="AH161" i="1"/>
  <c r="U171" i="1"/>
  <c r="AH71" i="1"/>
  <c r="U120" i="1"/>
  <c r="GM95" i="1"/>
  <c r="GN95" i="1" s="1"/>
  <c r="J121" i="6"/>
  <c r="P121" i="6" s="1"/>
  <c r="K119" i="9"/>
  <c r="P119" i="9" s="1"/>
  <c r="GM102" i="1"/>
  <c r="GN102" i="1" s="1"/>
  <c r="K131" i="9"/>
  <c r="P131" i="9" s="1"/>
  <c r="J133" i="6"/>
  <c r="P133" i="6" s="1"/>
  <c r="GM92" i="1"/>
  <c r="GO92" i="1" s="1"/>
  <c r="K110" i="9"/>
  <c r="P110" i="9" s="1"/>
  <c r="J112" i="6"/>
  <c r="P112" i="6" s="1"/>
  <c r="GM88" i="1"/>
  <c r="GN88" i="1" s="1"/>
  <c r="J100" i="6"/>
  <c r="P100" i="6" s="1"/>
  <c r="K98" i="9"/>
  <c r="P98" i="9" s="1"/>
  <c r="V186" i="6"/>
  <c r="V184" i="9"/>
  <c r="GM115" i="1"/>
  <c r="GN115" i="1" s="1"/>
  <c r="L192" i="9"/>
  <c r="AB194" i="6"/>
  <c r="K194" i="6"/>
  <c r="AB192" i="9"/>
  <c r="X78" i="6"/>
  <c r="O78" i="6"/>
  <c r="GM114" i="1"/>
  <c r="GN114" i="1" s="1"/>
  <c r="GM83" i="1"/>
  <c r="GN83" i="1" s="1"/>
  <c r="GM168" i="1"/>
  <c r="GO168" i="1" s="1"/>
  <c r="K242" i="9"/>
  <c r="P242" i="9" s="1"/>
  <c r="J244" i="6"/>
  <c r="P244" i="6" s="1"/>
  <c r="O28" i="8"/>
  <c r="F22" i="7" s="1"/>
  <c r="Z205" i="6"/>
  <c r="DG52" i="3"/>
  <c r="DH52" i="3"/>
  <c r="DI52" i="3"/>
  <c r="DF52" i="3"/>
  <c r="DJ52" i="3" s="1"/>
  <c r="T194" i="6"/>
  <c r="T192" i="9"/>
  <c r="DG59" i="3"/>
  <c r="DJ59" i="3" s="1"/>
  <c r="DH59" i="3"/>
  <c r="DI59" i="3"/>
  <c r="DF59" i="3"/>
  <c r="L63" i="9"/>
  <c r="K65" i="6"/>
  <c r="CZ73" i="1"/>
  <c r="Y73" i="1" s="1"/>
  <c r="AE120" i="1"/>
  <c r="L206" i="9"/>
  <c r="K208" i="6"/>
  <c r="CY118" i="1"/>
  <c r="X118" i="1" s="1"/>
  <c r="CZ118" i="1"/>
  <c r="Y118" i="1" s="1"/>
  <c r="K188" i="6"/>
  <c r="L186" i="9"/>
  <c r="BA171" i="1"/>
  <c r="O31" i="8"/>
  <c r="F41" i="7" s="1"/>
  <c r="O23" i="8"/>
  <c r="F30" i="7" s="1"/>
  <c r="O172" i="6"/>
  <c r="O121" i="6"/>
  <c r="O109" i="6"/>
  <c r="O97" i="6"/>
  <c r="O238" i="9"/>
  <c r="O170" i="9"/>
  <c r="O76" i="9"/>
  <c r="I82" i="9"/>
  <c r="H86" i="9" s="1"/>
  <c r="DG4" i="3"/>
  <c r="DJ4" i="3" s="1"/>
  <c r="DH4" i="3"/>
  <c r="DF4" i="3"/>
  <c r="DI4" i="3"/>
  <c r="CY79" i="1"/>
  <c r="X79" i="1" s="1"/>
  <c r="CZ79" i="1"/>
  <c r="Y79" i="1" s="1"/>
  <c r="GM79" i="1" s="1"/>
  <c r="GN79" i="1" s="1"/>
  <c r="L159" i="9"/>
  <c r="K161" i="6"/>
  <c r="CZ110" i="1"/>
  <c r="Y110" i="1" s="1"/>
  <c r="CY110" i="1"/>
  <c r="X110" i="1" s="1"/>
  <c r="DF86" i="3"/>
  <c r="DG86" i="3"/>
  <c r="DH86" i="3"/>
  <c r="DI86" i="3"/>
  <c r="DJ86" i="3" s="1"/>
  <c r="CZ78" i="1"/>
  <c r="Y78" i="1" s="1"/>
  <c r="CY78" i="1"/>
  <c r="X78" i="1" s="1"/>
  <c r="T164" i="1"/>
  <c r="V164" i="1"/>
  <c r="L72" i="9"/>
  <c r="K74" i="6"/>
  <c r="AC120" i="1"/>
  <c r="L166" i="9"/>
  <c r="K168" i="6"/>
  <c r="CY111" i="1"/>
  <c r="X111" i="1" s="1"/>
  <c r="CZ111" i="1"/>
  <c r="Y111" i="1" s="1"/>
  <c r="L62" i="9"/>
  <c r="K64" i="6"/>
  <c r="AD120" i="1"/>
  <c r="K233" i="6"/>
  <c r="L231" i="9"/>
  <c r="AC171" i="1"/>
  <c r="G155" i="6"/>
  <c r="L182" i="9"/>
  <c r="K184" i="6"/>
  <c r="GM87" i="1"/>
  <c r="GN87" i="1" s="1"/>
  <c r="K95" i="9"/>
  <c r="P95" i="9" s="1"/>
  <c r="J97" i="6"/>
  <c r="P97" i="6" s="1"/>
  <c r="X244" i="6"/>
  <c r="W98" i="9"/>
  <c r="AG171" i="1"/>
  <c r="AI171" i="1"/>
  <c r="DF48" i="3"/>
  <c r="DJ48" i="3" s="1"/>
  <c r="DH48" i="3"/>
  <c r="DG48" i="3"/>
  <c r="DI48" i="3"/>
  <c r="GM108" i="1"/>
  <c r="FR108" i="1" s="1"/>
  <c r="BY120" i="1" s="1"/>
  <c r="J157" i="6"/>
  <c r="P157" i="6" s="1"/>
  <c r="K155" i="9"/>
  <c r="P155" i="9" s="1"/>
  <c r="GM169" i="1"/>
  <c r="GN169" i="1" s="1"/>
  <c r="J247" i="6"/>
  <c r="P247" i="6" s="1"/>
  <c r="K245" i="9"/>
  <c r="P245" i="9" s="1"/>
  <c r="L69" i="9"/>
  <c r="K71" i="6"/>
  <c r="CY74" i="1"/>
  <c r="X74" i="1" s="1"/>
  <c r="AF120" i="1"/>
  <c r="CZ74" i="1"/>
  <c r="Y74" i="1" s="1"/>
  <c r="M179" i="9"/>
  <c r="M180" i="9"/>
  <c r="Q180" i="9" s="1"/>
  <c r="L181" i="6"/>
  <c r="L182" i="6"/>
  <c r="Q182" i="6" s="1"/>
  <c r="M197" i="9"/>
  <c r="Q197" i="9" s="1"/>
  <c r="L199" i="6"/>
  <c r="Q199" i="6" s="1"/>
  <c r="L228" i="9"/>
  <c r="K230" i="6"/>
  <c r="CZ163" i="1"/>
  <c r="Y163" i="1" s="1"/>
  <c r="AF171" i="1"/>
  <c r="CY163" i="1"/>
  <c r="X163" i="1" s="1"/>
  <c r="H128" i="9"/>
  <c r="H141" i="9"/>
  <c r="G182" i="6"/>
  <c r="M242" i="9"/>
  <c r="Q242" i="9" s="1"/>
  <c r="M247" i="9" s="1"/>
  <c r="L244" i="6"/>
  <c r="Q244" i="6" s="1"/>
  <c r="L249" i="6" s="1"/>
  <c r="CY114" i="1"/>
  <c r="X114" i="1" s="1"/>
  <c r="CZ164" i="1"/>
  <c r="Y164" i="1" s="1"/>
  <c r="CY164" i="1"/>
  <c r="X164" i="1" s="1"/>
  <c r="GM164" i="1" s="1"/>
  <c r="GN164" i="1" s="1"/>
  <c r="L173" i="9"/>
  <c r="K175" i="6"/>
  <c r="CZ112" i="1"/>
  <c r="Y112" i="1" s="1"/>
  <c r="CY112" i="1"/>
  <c r="X112" i="1" s="1"/>
  <c r="GM112" i="1" s="1"/>
  <c r="GO112" i="1" s="1"/>
  <c r="L148" i="9"/>
  <c r="K150" i="6"/>
  <c r="GM85" i="1"/>
  <c r="GN85" i="1" s="1"/>
  <c r="K89" i="9"/>
  <c r="P89" i="9" s="1"/>
  <c r="J91" i="6"/>
  <c r="P91" i="6" s="1"/>
  <c r="GM93" i="1"/>
  <c r="GN93" i="1" s="1"/>
  <c r="K113" i="9"/>
  <c r="P113" i="9" s="1"/>
  <c r="J115" i="6"/>
  <c r="P115" i="6" s="1"/>
  <c r="GM105" i="1"/>
  <c r="GN105" i="1" s="1"/>
  <c r="K145" i="9"/>
  <c r="P145" i="9" s="1"/>
  <c r="J147" i="6"/>
  <c r="P147" i="6" s="1"/>
  <c r="W44" i="9"/>
  <c r="T37" i="9"/>
  <c r="L41" i="9" s="1"/>
  <c r="T39" i="6"/>
  <c r="K43" i="6" s="1"/>
  <c r="AK30" i="1"/>
  <c r="L115" i="9"/>
  <c r="K117" i="6"/>
  <c r="L124" i="9"/>
  <c r="K126" i="6"/>
  <c r="L136" i="9"/>
  <c r="K138" i="6"/>
  <c r="L103" i="9"/>
  <c r="K105" i="6"/>
  <c r="V117" i="9"/>
  <c r="V119" i="6"/>
  <c r="H210" i="9"/>
  <c r="L144" i="9"/>
  <c r="K146" i="6"/>
  <c r="T146" i="9"/>
  <c r="L150" i="9" s="1"/>
  <c r="T148" i="6"/>
  <c r="K152" i="6" s="1"/>
  <c r="GM116" i="1"/>
  <c r="GN116" i="1" s="1"/>
  <c r="K197" i="9"/>
  <c r="P197" i="9" s="1"/>
  <c r="J199" i="6"/>
  <c r="P199" i="6" s="1"/>
  <c r="L106" i="9"/>
  <c r="K108" i="6"/>
  <c r="V132" i="9"/>
  <c r="L138" i="9" s="1"/>
  <c r="V134" i="6"/>
  <c r="K140" i="6" s="1"/>
  <c r="L187" i="9"/>
  <c r="K189" i="6"/>
  <c r="DI22" i="3"/>
  <c r="DJ22" i="3" s="1"/>
  <c r="DF22" i="3"/>
  <c r="DG22" i="3"/>
  <c r="DH22" i="3"/>
  <c r="GM89" i="1"/>
  <c r="GN89" i="1" s="1"/>
  <c r="K101" i="9"/>
  <c r="P101" i="9" s="1"/>
  <c r="J103" i="6"/>
  <c r="P103" i="6" s="1"/>
  <c r="AI120" i="1"/>
  <c r="DG44" i="3"/>
  <c r="DJ44" i="3" s="1"/>
  <c r="DH44" i="3"/>
  <c r="DI44" i="3"/>
  <c r="DF44" i="3"/>
  <c r="T140" i="9"/>
  <c r="T142" i="6"/>
  <c r="GM113" i="1"/>
  <c r="GN113" i="1" s="1"/>
  <c r="K183" i="9"/>
  <c r="P183" i="9" s="1"/>
  <c r="J185" i="6"/>
  <c r="P185" i="6" s="1"/>
  <c r="BZ71" i="1"/>
  <c r="O247" i="6"/>
  <c r="O155" i="9"/>
  <c r="O101" i="9"/>
  <c r="M46" i="9"/>
  <c r="CJ120" i="1"/>
  <c r="DF62" i="3"/>
  <c r="DG62" i="3"/>
  <c r="DH62" i="3"/>
  <c r="DI62" i="3"/>
  <c r="DJ62" i="3" s="1"/>
  <c r="L81" i="9"/>
  <c r="K83" i="6"/>
  <c r="T120" i="9"/>
  <c r="L125" i="9" s="1"/>
  <c r="K128" i="9" s="1"/>
  <c r="P128" i="9" s="1"/>
  <c r="T122" i="6"/>
  <c r="K127" i="6" s="1"/>
  <c r="J130" i="6" s="1"/>
  <c r="P130" i="6" s="1"/>
  <c r="T132" i="9"/>
  <c r="L137" i="9" s="1"/>
  <c r="K141" i="9" s="1"/>
  <c r="P141" i="9" s="1"/>
  <c r="T134" i="6"/>
  <c r="K139" i="6" s="1"/>
  <c r="J143" i="6" s="1"/>
  <c r="P143" i="6" s="1"/>
  <c r="CZ166" i="1"/>
  <c r="Y166" i="1" s="1"/>
  <c r="GM166" i="1" s="1"/>
  <c r="GN166" i="1" s="1"/>
  <c r="CY166" i="1"/>
  <c r="X166" i="1" s="1"/>
  <c r="K243" i="6"/>
  <c r="L241" i="9"/>
  <c r="K203" i="9"/>
  <c r="P203" i="9" s="1"/>
  <c r="L174" i="9"/>
  <c r="K176" i="6"/>
  <c r="L112" i="9"/>
  <c r="K114" i="6"/>
  <c r="H180" i="9"/>
  <c r="T117" i="9"/>
  <c r="T119" i="6"/>
  <c r="CZ76" i="1"/>
  <c r="Y76" i="1" s="1"/>
  <c r="GM76" i="1" s="1"/>
  <c r="GN76" i="1" s="1"/>
  <c r="V146" i="9"/>
  <c r="L151" i="9" s="1"/>
  <c r="V148" i="6"/>
  <c r="K153" i="6" s="1"/>
  <c r="GM81" i="1"/>
  <c r="GN81" i="1" s="1"/>
  <c r="GM111" i="1"/>
  <c r="GN111" i="1" s="1"/>
  <c r="V37" i="9"/>
  <c r="L42" i="9" s="1"/>
  <c r="V39" i="6"/>
  <c r="K44" i="6" s="1"/>
  <c r="AL30" i="1"/>
  <c r="AJ120" i="1"/>
  <c r="CY80" i="1"/>
  <c r="X80" i="1" s="1"/>
  <c r="CZ80" i="1"/>
  <c r="Y80" i="1" s="1"/>
  <c r="L229" i="9"/>
  <c r="K231" i="6"/>
  <c r="AD171" i="1"/>
  <c r="CZ165" i="1"/>
  <c r="Y165" i="1" s="1"/>
  <c r="CY165" i="1"/>
  <c r="X165" i="1" s="1"/>
  <c r="GM165" i="1" s="1"/>
  <c r="GN165" i="1" s="1"/>
  <c r="GM74" i="1"/>
  <c r="GO74" i="1" s="1"/>
  <c r="GM78" i="1"/>
  <c r="GN78" i="1" s="1"/>
  <c r="GM90" i="1"/>
  <c r="GO90" i="1" s="1"/>
  <c r="K104" i="9"/>
  <c r="P104" i="9" s="1"/>
  <c r="J106" i="6"/>
  <c r="P106" i="6" s="1"/>
  <c r="CP94" i="1"/>
  <c r="O94" i="1" s="1"/>
  <c r="GM98" i="1"/>
  <c r="GN98" i="1" s="1"/>
  <c r="CP106" i="1"/>
  <c r="O106" i="1" s="1"/>
  <c r="GM106" i="1" s="1"/>
  <c r="GN106" i="1" s="1"/>
  <c r="CP163" i="1"/>
  <c r="O163" i="1" s="1"/>
  <c r="GM163" i="1" s="1"/>
  <c r="GM167" i="1"/>
  <c r="GO167" i="1" s="1"/>
  <c r="CC171" i="1" s="1"/>
  <c r="K238" i="9"/>
  <c r="P238" i="9" s="1"/>
  <c r="J240" i="6"/>
  <c r="P240" i="6" s="1"/>
  <c r="CY73" i="1"/>
  <c r="X73" i="1" s="1"/>
  <c r="DH35" i="3"/>
  <c r="DI35" i="3"/>
  <c r="DF35" i="3"/>
  <c r="DJ35" i="3" s="1"/>
  <c r="DG35" i="3"/>
  <c r="H163" i="9"/>
  <c r="H203" i="9"/>
  <c r="DF26" i="3"/>
  <c r="DJ26" i="3" s="1"/>
  <c r="DH26" i="3"/>
  <c r="DI26" i="3"/>
  <c r="DG26" i="3"/>
  <c r="H139" i="6"/>
  <c r="G143" i="6" s="1"/>
  <c r="DG8" i="3"/>
  <c r="DJ8" i="3" s="1"/>
  <c r="DH8" i="3"/>
  <c r="DI8" i="3"/>
  <c r="DF8" i="3"/>
  <c r="M212" i="9"/>
  <c r="DI83" i="3"/>
  <c r="DF83" i="3"/>
  <c r="DJ83" i="3" s="1"/>
  <c r="DG83" i="3"/>
  <c r="DH83" i="3"/>
  <c r="H193" i="9"/>
  <c r="DF55" i="3"/>
  <c r="DG55" i="3"/>
  <c r="DH55" i="3"/>
  <c r="DI55" i="3"/>
  <c r="DJ55" i="3" s="1"/>
  <c r="L196" i="9"/>
  <c r="K198" i="6"/>
  <c r="V192" i="9"/>
  <c r="V194" i="6"/>
  <c r="CY82" i="1"/>
  <c r="X82" i="1" s="1"/>
  <c r="GM82" i="1" s="1"/>
  <c r="GN82" i="1" s="1"/>
  <c r="L97" i="9"/>
  <c r="K99" i="6"/>
  <c r="GM110" i="1"/>
  <c r="GN110" i="1" s="1"/>
  <c r="DF27" i="3"/>
  <c r="DJ27" i="3" s="1"/>
  <c r="DH27" i="3"/>
  <c r="DI27" i="3"/>
  <c r="DG27" i="3"/>
  <c r="DG40" i="3"/>
  <c r="DH40" i="3"/>
  <c r="DI40" i="3"/>
  <c r="DF40" i="3"/>
  <c r="DJ40" i="3" s="1"/>
  <c r="DF82" i="3"/>
  <c r="DG82" i="3"/>
  <c r="DJ82" i="3" s="1"/>
  <c r="DH82" i="3"/>
  <c r="DI82" i="3"/>
  <c r="M75" i="9"/>
  <c r="M76" i="9"/>
  <c r="Q76" i="9" s="1"/>
  <c r="M260" i="9" s="1"/>
  <c r="L78" i="6"/>
  <c r="Q78" i="6" s="1"/>
  <c r="L275" i="6" s="1"/>
  <c r="L77" i="6"/>
  <c r="L230" i="9"/>
  <c r="K232" i="6"/>
  <c r="AE171" i="1"/>
  <c r="DG66" i="3"/>
  <c r="DJ66" i="3" s="1"/>
  <c r="DH66" i="3"/>
  <c r="DI66" i="3"/>
  <c r="DF66" i="3"/>
  <c r="L91" i="9"/>
  <c r="K93" i="6"/>
  <c r="V120" i="9"/>
  <c r="L126" i="9" s="1"/>
  <c r="V122" i="6"/>
  <c r="K128" i="6" s="1"/>
  <c r="L88" i="9"/>
  <c r="K90" i="6"/>
  <c r="L175" i="9"/>
  <c r="K177" i="6"/>
  <c r="L122" i="9"/>
  <c r="K124" i="6"/>
  <c r="AJ171" i="1"/>
  <c r="CZ84" i="1"/>
  <c r="Y84" i="1" s="1"/>
  <c r="CY84" i="1"/>
  <c r="X84" i="1" s="1"/>
  <c r="GM84" i="1" s="1"/>
  <c r="GN84" i="1" s="1"/>
  <c r="L134" i="9"/>
  <c r="K136" i="6"/>
  <c r="H247" i="9"/>
  <c r="H46" i="9"/>
  <c r="F14" i="7"/>
  <c r="F13" i="7"/>
  <c r="F11" i="7"/>
  <c r="F31" i="7"/>
  <c r="F10" i="7"/>
  <c r="F17" i="7"/>
  <c r="F20" i="7"/>
  <c r="F26" i="7"/>
  <c r="F18" i="7"/>
  <c r="F42" i="7"/>
  <c r="G249" i="6"/>
  <c r="G30" i="6"/>
  <c r="G48" i="6"/>
  <c r="GM28" i="1"/>
  <c r="AB30" i="1"/>
  <c r="P26" i="1"/>
  <c r="F33" i="1"/>
  <c r="F62" i="1" s="1"/>
  <c r="Q26" i="1"/>
  <c r="F42" i="1"/>
  <c r="F60" i="1" s="1"/>
  <c r="R26" i="1"/>
  <c r="F44" i="1"/>
  <c r="F61" i="1" s="1"/>
  <c r="S26" i="1"/>
  <c r="F45" i="1"/>
  <c r="F59" i="1" s="1"/>
  <c r="T26" i="1"/>
  <c r="F51" i="1"/>
  <c r="U26" i="1"/>
  <c r="F52" i="1"/>
  <c r="U210" i="1"/>
  <c r="V26" i="1"/>
  <c r="F53" i="1"/>
  <c r="W26" i="1"/>
  <c r="F54" i="1"/>
  <c r="AO26" i="1"/>
  <c r="F34" i="1"/>
  <c r="AO210" i="1"/>
  <c r="AP26" i="1"/>
  <c r="F39" i="1"/>
  <c r="AQ26" i="1"/>
  <c r="F40" i="1"/>
  <c r="AQ210" i="1"/>
  <c r="AT26" i="1"/>
  <c r="F48" i="1"/>
  <c r="AU26" i="1"/>
  <c r="F49" i="1"/>
  <c r="AV26" i="1"/>
  <c r="F35" i="1"/>
  <c r="AW26" i="1"/>
  <c r="F36" i="1"/>
  <c r="AX26" i="1"/>
  <c r="F37" i="1"/>
  <c r="AX210" i="1"/>
  <c r="AY26" i="1"/>
  <c r="F38" i="1"/>
  <c r="AZ26" i="1"/>
  <c r="F41" i="1"/>
  <c r="BA26" i="1"/>
  <c r="F50" i="1"/>
  <c r="BB26" i="1"/>
  <c r="F43" i="1"/>
  <c r="BB210" i="1"/>
  <c r="BC26" i="1"/>
  <c r="F46" i="1"/>
  <c r="BC210" i="1"/>
  <c r="BD26" i="1"/>
  <c r="F55" i="1"/>
  <c r="BD210" i="1"/>
  <c r="AB120" i="1"/>
  <c r="DF21" i="3"/>
  <c r="DJ21" i="3" s="1"/>
  <c r="DG21" i="3"/>
  <c r="DH21" i="3"/>
  <c r="DI21" i="3"/>
  <c r="DF20" i="3"/>
  <c r="DJ20" i="3" s="1"/>
  <c r="DG20" i="3"/>
  <c r="DH20" i="3"/>
  <c r="DI20" i="3"/>
  <c r="DF19" i="3"/>
  <c r="DJ19" i="3" s="1"/>
  <c r="DG19" i="3"/>
  <c r="DH19" i="3"/>
  <c r="DI19" i="3"/>
  <c r="DF18" i="3"/>
  <c r="DJ18" i="3" s="1"/>
  <c r="DG18" i="3"/>
  <c r="DH18" i="3"/>
  <c r="DI18" i="3"/>
  <c r="DF17" i="3"/>
  <c r="DJ17" i="3" s="1"/>
  <c r="DG17" i="3"/>
  <c r="DH17" i="3"/>
  <c r="DI17" i="3"/>
  <c r="DF16" i="3"/>
  <c r="DJ16" i="3" s="1"/>
  <c r="DG16" i="3"/>
  <c r="DH16" i="3"/>
  <c r="DI16" i="3"/>
  <c r="DF15" i="3"/>
  <c r="DJ15" i="3" s="1"/>
  <c r="DG15" i="3"/>
  <c r="DH15" i="3"/>
  <c r="DI15" i="3"/>
  <c r="DF14" i="3"/>
  <c r="DG14" i="3"/>
  <c r="DJ14" i="3" s="1"/>
  <c r="DH14" i="3"/>
  <c r="DI14" i="3"/>
  <c r="DF13" i="3"/>
  <c r="DG13" i="3"/>
  <c r="DJ13" i="3" s="1"/>
  <c r="DH13" i="3"/>
  <c r="DI13" i="3"/>
  <c r="DF12" i="3"/>
  <c r="DG12" i="3"/>
  <c r="DJ12" i="3" s="1"/>
  <c r="DH12" i="3"/>
  <c r="DI12" i="3"/>
  <c r="DF11" i="3"/>
  <c r="DG11" i="3"/>
  <c r="DH11" i="3"/>
  <c r="DI11" i="3"/>
  <c r="DJ11" i="3" s="1"/>
  <c r="DF10" i="3"/>
  <c r="DG10" i="3"/>
  <c r="DH10" i="3"/>
  <c r="DI10" i="3"/>
  <c r="DJ10" i="3" s="1"/>
  <c r="BY71" i="1"/>
  <c r="AP120" i="1"/>
  <c r="CF120" i="1"/>
  <c r="CH120" i="1"/>
  <c r="CI120" i="1"/>
  <c r="DF68" i="3"/>
  <c r="DG68" i="3"/>
  <c r="DH68" i="3"/>
  <c r="DI68" i="3"/>
  <c r="DJ68" i="3" s="1"/>
  <c r="DF69" i="3"/>
  <c r="DG69" i="3"/>
  <c r="DH69" i="3"/>
  <c r="DI69" i="3"/>
  <c r="DJ69" i="3" s="1"/>
  <c r="DF77" i="3"/>
  <c r="DJ77" i="3" s="1"/>
  <c r="DG77" i="3"/>
  <c r="DH77" i="3"/>
  <c r="DI77" i="3"/>
  <c r="DF76" i="3"/>
  <c r="DJ76" i="3" s="1"/>
  <c r="DG76" i="3"/>
  <c r="DH76" i="3"/>
  <c r="DI76" i="3"/>
  <c r="DF75" i="3"/>
  <c r="DJ75" i="3" s="1"/>
  <c r="DG75" i="3"/>
  <c r="DH75" i="3"/>
  <c r="DI75" i="3"/>
  <c r="DF74" i="3"/>
  <c r="DG74" i="3"/>
  <c r="DJ74" i="3" s="1"/>
  <c r="DH74" i="3"/>
  <c r="DI74" i="3"/>
  <c r="DF73" i="3"/>
  <c r="DG73" i="3"/>
  <c r="DJ73" i="3" s="1"/>
  <c r="DH73" i="3"/>
  <c r="DI73" i="3"/>
  <c r="DF72" i="3"/>
  <c r="DG72" i="3"/>
  <c r="DJ72" i="3" s="1"/>
  <c r="DH72" i="3"/>
  <c r="DI72" i="3"/>
  <c r="DF71" i="3"/>
  <c r="DG71" i="3"/>
  <c r="DH71" i="3"/>
  <c r="DI71" i="3"/>
  <c r="DJ71" i="3" s="1"/>
  <c r="DF70" i="3"/>
  <c r="DG70" i="3"/>
  <c r="DH70" i="3"/>
  <c r="DI70" i="3"/>
  <c r="DJ70" i="3" s="1"/>
  <c r="DF88" i="3"/>
  <c r="DG88" i="3"/>
  <c r="DH88" i="3"/>
  <c r="DI88" i="3"/>
  <c r="DJ88" i="3" s="1"/>
  <c r="DF87" i="3"/>
  <c r="DG87" i="3"/>
  <c r="DH87" i="3"/>
  <c r="DI87" i="3"/>
  <c r="DJ87" i="3" s="1"/>
  <c r="T71" i="1"/>
  <c r="F141" i="1"/>
  <c r="U71" i="1"/>
  <c r="F142" i="1"/>
  <c r="AO71" i="1"/>
  <c r="F124" i="1"/>
  <c r="AQ71" i="1"/>
  <c r="F130" i="1"/>
  <c r="AX71" i="1"/>
  <c r="F127" i="1"/>
  <c r="BB71" i="1"/>
  <c r="F133" i="1"/>
  <c r="BC71" i="1"/>
  <c r="F136" i="1"/>
  <c r="BD71" i="1"/>
  <c r="F145" i="1"/>
  <c r="DF102" i="3"/>
  <c r="DJ102" i="3" s="1"/>
  <c r="DG102" i="3"/>
  <c r="DH102" i="3"/>
  <c r="DI102" i="3"/>
  <c r="DF101" i="3"/>
  <c r="DJ101" i="3" s="1"/>
  <c r="DG101" i="3"/>
  <c r="DH101" i="3"/>
  <c r="DI101" i="3"/>
  <c r="DF100" i="3"/>
  <c r="DJ100" i="3" s="1"/>
  <c r="DG100" i="3"/>
  <c r="DH100" i="3"/>
  <c r="DI100" i="3"/>
  <c r="DF99" i="3"/>
  <c r="DJ99" i="3" s="1"/>
  <c r="DG99" i="3"/>
  <c r="DH99" i="3"/>
  <c r="DI99" i="3"/>
  <c r="DF98" i="3"/>
  <c r="DJ98" i="3" s="1"/>
  <c r="DG98" i="3"/>
  <c r="DH98" i="3"/>
  <c r="DI98" i="3"/>
  <c r="DF97" i="3"/>
  <c r="DJ97" i="3" s="1"/>
  <c r="DG97" i="3"/>
  <c r="DH97" i="3"/>
  <c r="DI97" i="3"/>
  <c r="DF96" i="3"/>
  <c r="DJ96" i="3" s="1"/>
  <c r="DG96" i="3"/>
  <c r="DH96" i="3"/>
  <c r="DI96" i="3"/>
  <c r="DF95" i="3"/>
  <c r="DJ95" i="3" s="1"/>
  <c r="DG95" i="3"/>
  <c r="DH95" i="3"/>
  <c r="DI95" i="3"/>
  <c r="DF94" i="3"/>
  <c r="DJ94" i="3" s="1"/>
  <c r="DG94" i="3"/>
  <c r="DH94" i="3"/>
  <c r="DI94" i="3"/>
  <c r="DF93" i="3"/>
  <c r="DG93" i="3"/>
  <c r="DJ93" i="3" s="1"/>
  <c r="DH93" i="3"/>
  <c r="DI93" i="3"/>
  <c r="DF92" i="3"/>
  <c r="DG92" i="3"/>
  <c r="DJ92" i="3" s="1"/>
  <c r="DH92" i="3"/>
  <c r="DI92" i="3"/>
  <c r="DF91" i="3"/>
  <c r="DG91" i="3"/>
  <c r="DJ91" i="3" s="1"/>
  <c r="DH91" i="3"/>
  <c r="DI91" i="3"/>
  <c r="DF90" i="3"/>
  <c r="DG90" i="3"/>
  <c r="DH90" i="3"/>
  <c r="DI90" i="3"/>
  <c r="DJ90" i="3" s="1"/>
  <c r="DF89" i="3"/>
  <c r="DG89" i="3"/>
  <c r="DH89" i="3"/>
  <c r="DI89" i="3"/>
  <c r="DJ89" i="3" s="1"/>
  <c r="CC161" i="1"/>
  <c r="AT171" i="1"/>
  <c r="U161" i="1"/>
  <c r="F193" i="1"/>
  <c r="AO161" i="1"/>
  <c r="F175" i="1"/>
  <c r="AP161" i="1"/>
  <c r="F180" i="1"/>
  <c r="AQ161" i="1"/>
  <c r="F181" i="1"/>
  <c r="AU161" i="1"/>
  <c r="F190" i="1"/>
  <c r="AX161" i="1"/>
  <c r="F178" i="1"/>
  <c r="AZ161" i="1"/>
  <c r="F182" i="1"/>
  <c r="BA161" i="1"/>
  <c r="F191" i="1"/>
  <c r="BB161" i="1"/>
  <c r="F184" i="1"/>
  <c r="BC161" i="1"/>
  <c r="F187" i="1"/>
  <c r="BD161" i="1"/>
  <c r="F196" i="1"/>
  <c r="K50" i="9" l="1"/>
  <c r="J52" i="6"/>
  <c r="O163" i="9"/>
  <c r="W163" i="9"/>
  <c r="T228" i="6"/>
  <c r="K234" i="6" s="1"/>
  <c r="T226" i="9"/>
  <c r="L232" i="9" s="1"/>
  <c r="AK171" i="1"/>
  <c r="V60" i="9"/>
  <c r="L65" i="9" s="1"/>
  <c r="V62" i="6"/>
  <c r="K67" i="6" s="1"/>
  <c r="AL120" i="1"/>
  <c r="V85" i="9"/>
  <c r="L83" i="9" s="1"/>
  <c r="V87" i="6"/>
  <c r="K85" i="6" s="1"/>
  <c r="Z210" i="9"/>
  <c r="O210" i="9"/>
  <c r="AF161" i="1"/>
  <c r="S171" i="1"/>
  <c r="CE120" i="1"/>
  <c r="AC71" i="1"/>
  <c r="P120" i="1"/>
  <c r="O143" i="6"/>
  <c r="G214" i="6" s="1"/>
  <c r="W143" i="6"/>
  <c r="T85" i="9"/>
  <c r="L82" i="9" s="1"/>
  <c r="K86" i="9" s="1"/>
  <c r="P86" i="9" s="1"/>
  <c r="T87" i="6"/>
  <c r="K84" i="6" s="1"/>
  <c r="T186" i="6"/>
  <c r="K191" i="6" s="1"/>
  <c r="J195" i="6" s="1"/>
  <c r="P195" i="6" s="1"/>
  <c r="T184" i="9"/>
  <c r="L189" i="9" s="1"/>
  <c r="V226" i="9"/>
  <c r="L233" i="9" s="1"/>
  <c r="V228" i="6"/>
  <c r="K235" i="6" s="1"/>
  <c r="AL171" i="1"/>
  <c r="AD71" i="1"/>
  <c r="Q120" i="1"/>
  <c r="M273" i="9"/>
  <c r="V68" i="9"/>
  <c r="L74" i="9" s="1"/>
  <c r="V70" i="6"/>
  <c r="K76" i="6" s="1"/>
  <c r="V204" i="9"/>
  <c r="L208" i="9" s="1"/>
  <c r="V206" i="6"/>
  <c r="K210" i="6" s="1"/>
  <c r="AL26" i="1"/>
  <c r="Y30" i="1"/>
  <c r="AI71" i="1"/>
  <c r="V120" i="1"/>
  <c r="AK26" i="1"/>
  <c r="X30" i="1"/>
  <c r="V171" i="9"/>
  <c r="L178" i="9" s="1"/>
  <c r="V173" i="6"/>
  <c r="K180" i="6" s="1"/>
  <c r="S120" i="1"/>
  <c r="AF71" i="1"/>
  <c r="AG161" i="1"/>
  <c r="T171" i="1"/>
  <c r="T157" i="9"/>
  <c r="L160" i="9" s="1"/>
  <c r="T159" i="6"/>
  <c r="K162" i="6" s="1"/>
  <c r="T206" i="6"/>
  <c r="K209" i="6" s="1"/>
  <c r="J212" i="6" s="1"/>
  <c r="P212" i="6" s="1"/>
  <c r="T204" i="9"/>
  <c r="L207" i="9" s="1"/>
  <c r="L190" i="9"/>
  <c r="CJ71" i="1"/>
  <c r="BA120" i="1"/>
  <c r="AB171" i="1"/>
  <c r="AB161" i="1" s="1"/>
  <c r="GM73" i="1"/>
  <c r="K48" i="9"/>
  <c r="J50" i="6"/>
  <c r="T60" i="9"/>
  <c r="L64" i="9" s="1"/>
  <c r="T62" i="6"/>
  <c r="K66" i="6" s="1"/>
  <c r="J69" i="6" s="1"/>
  <c r="P69" i="6" s="1"/>
  <c r="AK120" i="1"/>
  <c r="J155" i="6"/>
  <c r="P155" i="6" s="1"/>
  <c r="J46" i="6"/>
  <c r="P46" i="6" s="1"/>
  <c r="O182" i="6"/>
  <c r="X182" i="6"/>
  <c r="G28" i="6" s="1"/>
  <c r="T68" i="9"/>
  <c r="L73" i="9" s="1"/>
  <c r="K76" i="9" s="1"/>
  <c r="P76" i="9" s="1"/>
  <c r="T70" i="6"/>
  <c r="K75" i="6" s="1"/>
  <c r="J78" i="6" s="1"/>
  <c r="P78" i="6" s="1"/>
  <c r="V164" i="9"/>
  <c r="L168" i="9" s="1"/>
  <c r="V166" i="6"/>
  <c r="K170" i="6" s="1"/>
  <c r="V157" i="9"/>
  <c r="L161" i="9" s="1"/>
  <c r="V159" i="6"/>
  <c r="K163" i="6" s="1"/>
  <c r="K192" i="6"/>
  <c r="GM80" i="1"/>
  <c r="GN80" i="1" s="1"/>
  <c r="AJ71" i="1"/>
  <c r="W120" i="1"/>
  <c r="V171" i="1"/>
  <c r="AI161" i="1"/>
  <c r="K51" i="9"/>
  <c r="J53" i="6"/>
  <c r="AJ161" i="1"/>
  <c r="W171" i="1"/>
  <c r="W193" i="9"/>
  <c r="O193" i="9"/>
  <c r="GM94" i="1"/>
  <c r="GO94" i="1" s="1"/>
  <c r="CC120" i="1" s="1"/>
  <c r="K116" i="9"/>
  <c r="P116" i="9" s="1"/>
  <c r="J118" i="6"/>
  <c r="P118" i="6" s="1"/>
  <c r="AD161" i="1"/>
  <c r="Q171" i="1"/>
  <c r="K153" i="9"/>
  <c r="P153" i="9" s="1"/>
  <c r="K44" i="9"/>
  <c r="P44" i="9" s="1"/>
  <c r="O141" i="9"/>
  <c r="W141" i="9"/>
  <c r="O155" i="6"/>
  <c r="W155" i="6"/>
  <c r="T164" i="9"/>
  <c r="L167" i="9" s="1"/>
  <c r="T166" i="6"/>
  <c r="K169" i="6" s="1"/>
  <c r="J172" i="6" s="1"/>
  <c r="P172" i="6" s="1"/>
  <c r="O86" i="9"/>
  <c r="W86" i="9"/>
  <c r="GM118" i="1"/>
  <c r="GP118" i="1" s="1"/>
  <c r="CD120" i="1" s="1"/>
  <c r="J51" i="6"/>
  <c r="K49" i="9"/>
  <c r="T171" i="9"/>
  <c r="L177" i="9" s="1"/>
  <c r="T173" i="6"/>
  <c r="K179" i="6" s="1"/>
  <c r="J182" i="6" s="1"/>
  <c r="P182" i="6" s="1"/>
  <c r="R171" i="1"/>
  <c r="AE161" i="1"/>
  <c r="O203" i="9"/>
  <c r="Z203" i="9"/>
  <c r="L262" i="6"/>
  <c r="O180" i="9"/>
  <c r="X180" i="9"/>
  <c r="L214" i="6"/>
  <c r="O128" i="9"/>
  <c r="W128" i="9"/>
  <c r="CE171" i="1"/>
  <c r="CF171" i="1"/>
  <c r="CH171" i="1"/>
  <c r="P171" i="1"/>
  <c r="AC161" i="1"/>
  <c r="R120" i="1"/>
  <c r="AE71" i="1"/>
  <c r="E44" i="7"/>
  <c r="AT161" i="1"/>
  <c r="F189" i="1"/>
  <c r="GN163" i="1"/>
  <c r="CB171" i="1" s="1"/>
  <c r="CA171" i="1"/>
  <c r="CI71" i="1"/>
  <c r="AZ120" i="1"/>
  <c r="CH71" i="1"/>
  <c r="AY120" i="1"/>
  <c r="CF71" i="1"/>
  <c r="AW120" i="1"/>
  <c r="AP71" i="1"/>
  <c r="F129" i="1"/>
  <c r="AP210" i="1"/>
  <c r="AB71" i="1"/>
  <c r="O120" i="1"/>
  <c r="GN73" i="1"/>
  <c r="CA120" i="1"/>
  <c r="BD22" i="1"/>
  <c r="F235" i="1"/>
  <c r="BD249" i="1"/>
  <c r="BC22" i="1"/>
  <c r="F226" i="1"/>
  <c r="BC249" i="1"/>
  <c r="BB22" i="1"/>
  <c r="F223" i="1"/>
  <c r="BB249" i="1"/>
  <c r="AX22" i="1"/>
  <c r="F217" i="1"/>
  <c r="AX249" i="1"/>
  <c r="AQ22" i="1"/>
  <c r="F220" i="1"/>
  <c r="AQ249" i="1"/>
  <c r="AO22" i="1"/>
  <c r="F214" i="1"/>
  <c r="AO249" i="1"/>
  <c r="U22" i="1"/>
  <c r="F232" i="1"/>
  <c r="U249" i="1"/>
  <c r="AB26" i="1"/>
  <c r="O30" i="1"/>
  <c r="GN28" i="1"/>
  <c r="CB30" i="1" s="1"/>
  <c r="CA30" i="1"/>
  <c r="CC71" i="1" l="1"/>
  <c r="AT120" i="1"/>
  <c r="R210" i="1"/>
  <c r="R71" i="1"/>
  <c r="F134" i="1"/>
  <c r="F151" i="1" s="1"/>
  <c r="F183" i="1"/>
  <c r="F201" i="1" s="1"/>
  <c r="Q161" i="1"/>
  <c r="O171" i="1"/>
  <c r="O161" i="1" s="1"/>
  <c r="K180" i="9"/>
  <c r="P180" i="9" s="1"/>
  <c r="K170" i="9"/>
  <c r="P170" i="9" s="1"/>
  <c r="G275" i="6"/>
  <c r="BA210" i="1"/>
  <c r="BA71" i="1"/>
  <c r="F140" i="1"/>
  <c r="F132" i="1"/>
  <c r="F150" i="1" s="1"/>
  <c r="Q210" i="1"/>
  <c r="Q71" i="1"/>
  <c r="K235" i="9"/>
  <c r="P235" i="9" s="1"/>
  <c r="K247" i="9" s="1"/>
  <c r="G262" i="6"/>
  <c r="T161" i="1"/>
  <c r="T210" i="1"/>
  <c r="F192" i="1"/>
  <c r="V71" i="1"/>
  <c r="F143" i="1"/>
  <c r="V210" i="1"/>
  <c r="J88" i="6"/>
  <c r="P88" i="6" s="1"/>
  <c r="X171" i="1"/>
  <c r="AK161" i="1"/>
  <c r="P161" i="1"/>
  <c r="F174" i="1"/>
  <c r="F203" i="1" s="1"/>
  <c r="J48" i="6"/>
  <c r="F57" i="1"/>
  <c r="F64" i="1" s="1"/>
  <c r="Y26" i="1"/>
  <c r="Y210" i="1"/>
  <c r="G27" i="6"/>
  <c r="J237" i="6"/>
  <c r="P237" i="6" s="1"/>
  <c r="J249" i="6" s="1"/>
  <c r="CH161" i="1"/>
  <c r="AY171" i="1"/>
  <c r="S71" i="1"/>
  <c r="S210" i="1"/>
  <c r="F135" i="1"/>
  <c r="F149" i="1" s="1"/>
  <c r="CB120" i="1"/>
  <c r="AS120" i="1" s="1"/>
  <c r="CF161" i="1"/>
  <c r="AW171" i="1"/>
  <c r="X120" i="1"/>
  <c r="AK71" i="1"/>
  <c r="K210" i="9"/>
  <c r="P210" i="9" s="1"/>
  <c r="P210" i="1"/>
  <c r="P71" i="1"/>
  <c r="F123" i="1"/>
  <c r="F152" i="1" s="1"/>
  <c r="AL161" i="1"/>
  <c r="Y171" i="1"/>
  <c r="AU120" i="1"/>
  <c r="CD71" i="1"/>
  <c r="V161" i="1"/>
  <c r="F194" i="1"/>
  <c r="AL71" i="1"/>
  <c r="Y120" i="1"/>
  <c r="AV171" i="1"/>
  <c r="CE161" i="1"/>
  <c r="K46" i="9"/>
  <c r="F144" i="1"/>
  <c r="W71" i="1"/>
  <c r="W210" i="1"/>
  <c r="K67" i="9"/>
  <c r="P67" i="9" s="1"/>
  <c r="J165" i="6"/>
  <c r="P165" i="6" s="1"/>
  <c r="J214" i="6" s="1"/>
  <c r="X26" i="1"/>
  <c r="F56" i="1"/>
  <c r="F63" i="1" s="1"/>
  <c r="K193" i="9"/>
  <c r="P193" i="9" s="1"/>
  <c r="CE71" i="1"/>
  <c r="AV120" i="1"/>
  <c r="R161" i="1"/>
  <c r="F185" i="1"/>
  <c r="F202" i="1" s="1"/>
  <c r="H273" i="9"/>
  <c r="H260" i="9"/>
  <c r="H212" i="9"/>
  <c r="F195" i="1"/>
  <c r="W161" i="1"/>
  <c r="G26" i="6"/>
  <c r="K163" i="9"/>
  <c r="P163" i="9" s="1"/>
  <c r="S161" i="1"/>
  <c r="F186" i="1"/>
  <c r="F200" i="1" s="1"/>
  <c r="CA26" i="1"/>
  <c r="AR30" i="1"/>
  <c r="CB26" i="1"/>
  <c r="AS30" i="1"/>
  <c r="O26" i="1"/>
  <c r="F32" i="1"/>
  <c r="O210" i="1"/>
  <c r="U18" i="1"/>
  <c r="F271" i="1"/>
  <c r="AO18" i="1"/>
  <c r="F253" i="1"/>
  <c r="AQ18" i="1"/>
  <c r="F259" i="1"/>
  <c r="AX18" i="1"/>
  <c r="F256" i="1"/>
  <c r="BB18" i="1"/>
  <c r="F262" i="1"/>
  <c r="BC18" i="1"/>
  <c r="F265" i="1"/>
  <c r="BD18" i="1"/>
  <c r="F274" i="1"/>
  <c r="CA71" i="1"/>
  <c r="AR120" i="1"/>
  <c r="O71" i="1"/>
  <c r="F122" i="1"/>
  <c r="AP22" i="1"/>
  <c r="F219" i="1"/>
  <c r="AP249" i="1"/>
  <c r="AW71" i="1"/>
  <c r="F126" i="1"/>
  <c r="AW210" i="1"/>
  <c r="AY71" i="1"/>
  <c r="F128" i="1"/>
  <c r="AZ71" i="1"/>
  <c r="F131" i="1"/>
  <c r="AZ210" i="1"/>
  <c r="CA161" i="1"/>
  <c r="AR171" i="1"/>
  <c r="CB161" i="1"/>
  <c r="AS171" i="1"/>
  <c r="F173" i="1"/>
  <c r="K212" i="9" l="1"/>
  <c r="AV161" i="1"/>
  <c r="F176" i="1"/>
  <c r="AU71" i="1"/>
  <c r="F139" i="1"/>
  <c r="AU210" i="1"/>
  <c r="X71" i="1"/>
  <c r="F146" i="1"/>
  <c r="F153" i="1" s="1"/>
  <c r="E220" i="9" s="1"/>
  <c r="J275" i="6"/>
  <c r="J217" i="6"/>
  <c r="K215" i="9"/>
  <c r="J262" i="6"/>
  <c r="F234" i="1"/>
  <c r="W22" i="1"/>
  <c r="W249" i="1"/>
  <c r="F198" i="1"/>
  <c r="F205" i="1" s="1"/>
  <c r="Y161" i="1"/>
  <c r="J254" i="6"/>
  <c r="K252" i="9"/>
  <c r="J252" i="6"/>
  <c r="K250" i="9"/>
  <c r="Q249" i="1"/>
  <c r="F222" i="1"/>
  <c r="F240" i="1" s="1"/>
  <c r="Q22" i="1"/>
  <c r="AV210" i="1"/>
  <c r="AV71" i="1"/>
  <c r="F125" i="1"/>
  <c r="AW161" i="1"/>
  <c r="F177" i="1"/>
  <c r="F147" i="1"/>
  <c r="F154" i="1" s="1"/>
  <c r="Y71" i="1"/>
  <c r="T22" i="1"/>
  <c r="F231" i="1"/>
  <c r="T249" i="1"/>
  <c r="K216" i="9"/>
  <c r="J218" i="6"/>
  <c r="G16" i="2"/>
  <c r="G18" i="2" s="1"/>
  <c r="I29" i="6"/>
  <c r="CB71" i="1"/>
  <c r="X210" i="1"/>
  <c r="K260" i="9"/>
  <c r="J216" i="6"/>
  <c r="K214" i="9"/>
  <c r="F155" i="1"/>
  <c r="X161" i="1"/>
  <c r="F197" i="1"/>
  <c r="F204" i="1" s="1"/>
  <c r="R22" i="1"/>
  <c r="F224" i="1"/>
  <c r="F241" i="1" s="1"/>
  <c r="R249" i="1"/>
  <c r="F179" i="1"/>
  <c r="AY161" i="1"/>
  <c r="K217" i="9"/>
  <c r="J219" i="6"/>
  <c r="F230" i="1"/>
  <c r="BA249" i="1"/>
  <c r="BA22" i="1"/>
  <c r="K52" i="9"/>
  <c r="J54" i="6"/>
  <c r="D56" i="6"/>
  <c r="F65" i="1"/>
  <c r="E54" i="9"/>
  <c r="AM54" i="9"/>
  <c r="AM56" i="6"/>
  <c r="P22" i="1"/>
  <c r="F213" i="1"/>
  <c r="F242" i="1" s="1"/>
  <c r="P249" i="1"/>
  <c r="S249" i="1"/>
  <c r="F225" i="1"/>
  <c r="F239" i="1" s="1"/>
  <c r="S22" i="1"/>
  <c r="J55" i="6"/>
  <c r="K53" i="9"/>
  <c r="AT210" i="1"/>
  <c r="F138" i="1"/>
  <c r="AT71" i="1"/>
  <c r="K251" i="9"/>
  <c r="J253" i="6"/>
  <c r="Y22" i="1"/>
  <c r="Y249" i="1"/>
  <c r="F237" i="1"/>
  <c r="F244" i="1" s="1"/>
  <c r="AY210" i="1"/>
  <c r="AY22" i="1" s="1"/>
  <c r="J251" i="6"/>
  <c r="E255" i="9"/>
  <c r="K249" i="9"/>
  <c r="K273" i="9"/>
  <c r="F233" i="1"/>
  <c r="I31" i="6" s="1"/>
  <c r="G31" i="6" s="1"/>
  <c r="V249" i="1"/>
  <c r="V22" i="1"/>
  <c r="AS161" i="1"/>
  <c r="F188" i="1"/>
  <c r="AR161" i="1"/>
  <c r="F199" i="1"/>
  <c r="AZ22" i="1"/>
  <c r="F221" i="1"/>
  <c r="AZ249" i="1"/>
  <c r="AW22" i="1"/>
  <c r="F216" i="1"/>
  <c r="AW249" i="1"/>
  <c r="AP18" i="1"/>
  <c r="F258" i="1"/>
  <c r="AS71" i="1"/>
  <c r="F137" i="1"/>
  <c r="AR71" i="1"/>
  <c r="F148" i="1"/>
  <c r="O22" i="1"/>
  <c r="F212" i="1"/>
  <c r="O249" i="1"/>
  <c r="AS26" i="1"/>
  <c r="F47" i="1"/>
  <c r="AS210" i="1"/>
  <c r="AR26" i="1"/>
  <c r="F58" i="1"/>
  <c r="AR210" i="1"/>
  <c r="AM221" i="9" l="1"/>
  <c r="D223" i="6"/>
  <c r="AM223" i="6"/>
  <c r="K220" i="9"/>
  <c r="J222" i="6"/>
  <c r="E221" i="9"/>
  <c r="F156" i="1"/>
  <c r="E222" i="9" s="1"/>
  <c r="J256" i="6"/>
  <c r="K254" i="9"/>
  <c r="AM255" i="9"/>
  <c r="S18" i="1"/>
  <c r="F264" i="1"/>
  <c r="F278" i="1" s="1"/>
  <c r="K263" i="9"/>
  <c r="J265" i="6"/>
  <c r="W18" i="1"/>
  <c r="F273" i="1"/>
  <c r="X22" i="1"/>
  <c r="F236" i="1"/>
  <c r="F243" i="1" s="1"/>
  <c r="X249" i="1"/>
  <c r="J220" i="6"/>
  <c r="K218" i="9"/>
  <c r="V18" i="1"/>
  <c r="F272" i="1"/>
  <c r="D257" i="6"/>
  <c r="P18" i="1"/>
  <c r="F252" i="1"/>
  <c r="F281" i="1" s="1"/>
  <c r="J221" i="6"/>
  <c r="K219" i="9"/>
  <c r="F261" i="1"/>
  <c r="F279" i="1" s="1"/>
  <c r="Q18" i="1"/>
  <c r="AU249" i="1"/>
  <c r="AU22" i="1"/>
  <c r="F229" i="1"/>
  <c r="K265" i="9"/>
  <c r="J267" i="6"/>
  <c r="R18" i="1"/>
  <c r="F263" i="1"/>
  <c r="F280" i="1" s="1"/>
  <c r="J264" i="6"/>
  <c r="I32" i="6"/>
  <c r="E268" i="9"/>
  <c r="D270" i="6"/>
  <c r="K262" i="9"/>
  <c r="J16" i="2"/>
  <c r="J18" i="2" s="1"/>
  <c r="AT249" i="1"/>
  <c r="F228" i="1"/>
  <c r="AT22" i="1"/>
  <c r="K264" i="9"/>
  <c r="J266" i="6"/>
  <c r="D222" i="6"/>
  <c r="AM55" i="9"/>
  <c r="E55" i="9"/>
  <c r="K54" i="9"/>
  <c r="J56" i="6"/>
  <c r="D58" i="6"/>
  <c r="AM57" i="6"/>
  <c r="D57" i="6"/>
  <c r="F66" i="1"/>
  <c r="E56" i="9" s="1"/>
  <c r="AY249" i="1"/>
  <c r="F206" i="1"/>
  <c r="K267" i="9"/>
  <c r="J269" i="6"/>
  <c r="BA18" i="1"/>
  <c r="F269" i="1"/>
  <c r="AM222" i="6"/>
  <c r="F218" i="1"/>
  <c r="AM257" i="6"/>
  <c r="F276" i="1"/>
  <c r="F283" i="1" s="1"/>
  <c r="Y18" i="1"/>
  <c r="J255" i="6"/>
  <c r="K253" i="9"/>
  <c r="AM220" i="9"/>
  <c r="T18" i="1"/>
  <c r="F270" i="1"/>
  <c r="AV22" i="1"/>
  <c r="F215" i="1"/>
  <c r="AV249" i="1"/>
  <c r="AR22" i="1"/>
  <c r="F238" i="1"/>
  <c r="AR249" i="1"/>
  <c r="AS22" i="1"/>
  <c r="F227" i="1"/>
  <c r="AS249" i="1"/>
  <c r="O18" i="1"/>
  <c r="F251" i="1"/>
  <c r="AW18" i="1"/>
  <c r="F255" i="1"/>
  <c r="AY18" i="1"/>
  <c r="F257" i="1"/>
  <c r="AZ18" i="1"/>
  <c r="F260" i="1"/>
  <c r="K278" i="9" l="1"/>
  <c r="J280" i="6"/>
  <c r="J268" i="6"/>
  <c r="K266" i="9"/>
  <c r="H16" i="2"/>
  <c r="H18" i="2" s="1"/>
  <c r="I30" i="6"/>
  <c r="AV18" i="1"/>
  <c r="F254" i="1"/>
  <c r="X18" i="1"/>
  <c r="F275" i="1"/>
  <c r="F282" i="1" s="1"/>
  <c r="K55" i="9"/>
  <c r="J57" i="6"/>
  <c r="AM56" i="9"/>
  <c r="F16" i="2"/>
  <c r="F18" i="2" s="1"/>
  <c r="I28" i="6"/>
  <c r="AM224" i="6"/>
  <c r="D258" i="6"/>
  <c r="AM256" i="9"/>
  <c r="J257" i="6"/>
  <c r="K255" i="9"/>
  <c r="AM259" i="6"/>
  <c r="D259" i="6"/>
  <c r="AM257" i="9"/>
  <c r="AM258" i="6"/>
  <c r="E256" i="9"/>
  <c r="E257" i="9"/>
  <c r="F207" i="1"/>
  <c r="F208" i="1"/>
  <c r="F67" i="1"/>
  <c r="AT18" i="1"/>
  <c r="F267" i="1"/>
  <c r="AM270" i="6"/>
  <c r="AU18" i="1"/>
  <c r="F268" i="1"/>
  <c r="F157" i="1"/>
  <c r="AM58" i="6"/>
  <c r="F245" i="1"/>
  <c r="AM268" i="9"/>
  <c r="J223" i="6"/>
  <c r="K221" i="9"/>
  <c r="K277" i="9"/>
  <c r="J279" i="6"/>
  <c r="J278" i="6"/>
  <c r="K276" i="9"/>
  <c r="D224" i="6"/>
  <c r="AM222" i="9"/>
  <c r="K280" i="9"/>
  <c r="J282" i="6"/>
  <c r="E16" i="2"/>
  <c r="I27" i="6"/>
  <c r="AM283" i="6"/>
  <c r="AM281" i="9"/>
  <c r="K275" i="9"/>
  <c r="J277" i="6"/>
  <c r="E281" i="9"/>
  <c r="D283" i="6"/>
  <c r="F284" i="1"/>
  <c r="AS18" i="1"/>
  <c r="F266" i="1"/>
  <c r="I16" i="2"/>
  <c r="I18" i="2" s="1"/>
  <c r="E18" i="2"/>
  <c r="AR18" i="1"/>
  <c r="F277" i="1"/>
  <c r="J259" i="6" l="1"/>
  <c r="K257" i="9"/>
  <c r="AM269" i="9"/>
  <c r="E269" i="9"/>
  <c r="AM271" i="6"/>
  <c r="D271" i="6"/>
  <c r="K268" i="9"/>
  <c r="I26" i="6"/>
  <c r="J270" i="6"/>
  <c r="F246" i="1"/>
  <c r="J58" i="6"/>
  <c r="K56" i="9"/>
  <c r="K222" i="9"/>
  <c r="J224" i="6"/>
  <c r="K256" i="9"/>
  <c r="J258" i="6"/>
  <c r="K279" i="9"/>
  <c r="J281" i="6"/>
  <c r="AM285" i="6"/>
  <c r="AM282" i="9"/>
  <c r="AM284" i="6"/>
  <c r="E282" i="9"/>
  <c r="D284" i="6"/>
  <c r="E283" i="9"/>
  <c r="D285" i="6"/>
  <c r="K281" i="9"/>
  <c r="J283" i="6"/>
  <c r="F285" i="1"/>
  <c r="F286" i="1"/>
  <c r="K269" i="9" l="1"/>
  <c r="J271" i="6"/>
  <c r="AM272" i="6"/>
  <c r="D272" i="6"/>
  <c r="AM270" i="9"/>
  <c r="F247" i="1"/>
  <c r="K283" i="9"/>
  <c r="J285" i="6"/>
  <c r="E270" i="9"/>
  <c r="K282" i="9"/>
  <c r="J284" i="6"/>
  <c r="AM283" i="9"/>
  <c r="K270" i="9" l="1"/>
  <c r="J272" i="6"/>
</calcChain>
</file>

<file path=xl/sharedStrings.xml><?xml version="1.0" encoding="utf-8"?>
<sst xmlns="http://schemas.openxmlformats.org/spreadsheetml/2006/main" count="5727" uniqueCount="666">
  <si>
    <t>Smeta.RU  (495) 974-1589</t>
  </si>
  <si>
    <t>_PS_</t>
  </si>
  <si>
    <t>Smeta.RU</t>
  </si>
  <si>
    <t/>
  </si>
  <si>
    <t>ТЕР</t>
  </si>
  <si>
    <t>Установка реклоузеров на КЛ-6 кВ на линии №15 в п. Сосновка, Заволжье</t>
  </si>
  <si>
    <t>Сметные нормы списания</t>
  </si>
  <si>
    <t>Коды ценников</t>
  </si>
  <si>
    <t>Чувашская Республика (редакция 2014)</t>
  </si>
  <si>
    <t>Версия 1.7.1 ГСН (ГЭСН, ФЕР) и ТЕР (Методики НР (812/пр, 636/пр, 611/пр) и СП (774/пр и 317/пр) применять с 08.01.2023 г.)</t>
  </si>
  <si>
    <t>Поправки для НБ 2014 года от 15.06.2021 г. Строительство</t>
  </si>
  <si>
    <t>Территориальные единичные расценки Чувашской Республики, утвержденные приказом Минстроя России от  05.05.2015 № 337/пр</t>
  </si>
  <si>
    <t>Новый раздел</t>
  </si>
  <si>
    <t>Демонтажные работы</t>
  </si>
  <si>
    <t>1</t>
  </si>
  <si>
    <t>33-04-040-3</t>
  </si>
  <si>
    <t>Демонтаж 3-х проводов ВЛ 6-10 кВ</t>
  </si>
  <si>
    <t>1 опора (3 провода)</t>
  </si>
  <si>
    <t>ТЕР Чувашская республика (редакция 2014), 33-04-040-3, Приказ Минстроя России от 05.05.2015 № 337/пр</t>
  </si>
  <si>
    <t>Общестроительные работы</t>
  </si>
  <si>
    <t>Линии электропередачи</t>
  </si>
  <si>
    <t>ФЕР-33</t>
  </si>
  <si>
    <t>Пр/812-027.0-1</t>
  </si>
  <si>
    <t>Пр/774-027.0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</si>
  <si>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</si>
  <si>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</si>
  <si>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</si>
  <si>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</si>
  <si>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</si>
  <si>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</si>
  <si>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</si>
  <si>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</si>
  <si>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</si>
  <si>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</si>
  <si>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</si>
  <si>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</si>
  <si>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</si>
  <si>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</si>
  <si>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</si>
  <si>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</si>
  <si>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</si>
  <si>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</si>
  <si>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</si>
  <si>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</si>
  <si>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</si>
  <si>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</si>
  <si>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</si>
  <si>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</si>
  <si>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</si>
  <si>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</si>
  <si>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</si>
  <si>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</si>
  <si>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</si>
  <si>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</si>
  <si>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</si>
  <si>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</si>
  <si>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</si>
  <si>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</si>
  <si>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</si>
  <si>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</si>
  <si>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</si>
  <si>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</si>
  <si>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</si>
  <si>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</si>
  <si>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</si>
  <si>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</si>
  <si>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</si>
  <si>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</si>
  <si>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</si>
  <si>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</si>
  <si>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</si>
  <si>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</si>
  <si>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</si>
  <si>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</si>
  <si>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</si>
  <si>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</si>
  <si>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</si>
  <si>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</si>
  <si>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З</t>
  </si>
  <si>
    <t>Э</t>
  </si>
  <si>
    <t>ЭММ, в т.ч. ЗПМ</t>
  </si>
  <si>
    <t>О</t>
  </si>
  <si>
    <t>ЗПМ (справочно)</t>
  </si>
  <si>
    <t>М</t>
  </si>
  <si>
    <t>Стоимость материалов</t>
  </si>
  <si>
    <t>Н</t>
  </si>
  <si>
    <t>С</t>
  </si>
  <si>
    <t>СП</t>
  </si>
  <si>
    <t>И</t>
  </si>
  <si>
    <t>Итого</t>
  </si>
  <si>
    <t>НДС</t>
  </si>
  <si>
    <t>НДС 20%</t>
  </si>
  <si>
    <t>В</t>
  </si>
  <si>
    <t>Всего с НДС</t>
  </si>
  <si>
    <t>Монтаж реклоузера</t>
  </si>
  <si>
    <t>2</t>
  </si>
  <si>
    <t>33-04-016-2</t>
  </si>
  <si>
    <t>Развозка конструкций и материалов опор ВЛ 0,38-10 кВ по трассе одностоечных железобетонных опор</t>
  </si>
  <si>
    <t>1 ОПОРА</t>
  </si>
  <si>
    <t>ТЕР Чувашская республика (редакция 2014), 33-04-016-2, Приказ Минстроя России от 05.05.2015 № 337/пр</t>
  </si>
  <si>
    <t>3</t>
  </si>
  <si>
    <t>м08-01-087-3</t>
  </si>
  <si>
    <t>Металлические конструкции</t>
  </si>
  <si>
    <t>1 Т</t>
  </si>
  <si>
    <t>ТЕРм Чувашская республика (редакция 2014), м08-01-087-3, Приказ Минстроя России от 05.05.2015 № 337/пр</t>
  </si>
  <si>
    <t>Монтажные работы</t>
  </si>
  <si>
    <t>Электротехнические установки: на других объектах</t>
  </si>
  <si>
    <t>мФЕР-08</t>
  </si>
  <si>
    <t>Пр/812-049.3-1</t>
  </si>
  <si>
    <t>Пр/774-049.3</t>
  </si>
  <si>
    <t>4</t>
  </si>
  <si>
    <t>33-04-003-2</t>
  </si>
  <si>
    <t>Установка железобетонных опор ВЛ 0,38; 6-10 кВ с траверсами без приставок: одностоечных с одним подкосом</t>
  </si>
  <si>
    <t>ТЕР Чувашская республика (редакция 2014), 33-04-003-2, Приказ Минстроя России от 05.05.2015 № 337/пр</t>
  </si>
  <si>
    <t>4,1</t>
  </si>
  <si>
    <t>101-1714</t>
  </si>
  <si>
    <t>Болты с гайками и шайбами строительные</t>
  </si>
  <si>
    <t>т</t>
  </si>
  <si>
    <t>ТССЦ Чувашская республика (редакция 2014), 101-1714, Приказ Минстроя России от 05.05.2015 № 337/пр</t>
  </si>
  <si>
    <t>4,2</t>
  </si>
  <si>
    <t>101-9341</t>
  </si>
  <si>
    <t>Сталь стержневая диаметром до 10 мм</t>
  </si>
  <si>
    <t>ТССЦ Чувашская республика (редакция 2014), 101-9341, Приказ Минстроя России от 05.05.2015 № 337/пр</t>
  </si>
  <si>
    <t>4,3</t>
  </si>
  <si>
    <t>110-9030</t>
  </si>
  <si>
    <t>Изоляторы штыревые</t>
  </si>
  <si>
    <t>шт.</t>
  </si>
  <si>
    <t>ТССЦ Чувашская республика (редакция 2014), 110-9030, Приказ Минстроя России от 05.05.2015 № 337/пр</t>
  </si>
  <si>
    <t>4,4</t>
  </si>
  <si>
    <t>110-9091</t>
  </si>
  <si>
    <t>Штыри</t>
  </si>
  <si>
    <t>ТССЦ Чувашская республика (редакция 2014), 110-9091, Приказ Минстроя России от 05.05.2015 № 337/пр</t>
  </si>
  <si>
    <t>4,5</t>
  </si>
  <si>
    <t>110-9126</t>
  </si>
  <si>
    <t>Металлические плакаты</t>
  </si>
  <si>
    <t>ТССЦ Чувашская республика (редакция 2014), 110-9126, Приказ Минстроя России от 05.05.2015 № 337/пр</t>
  </si>
  <si>
    <t>4,6</t>
  </si>
  <si>
    <t>201-9261</t>
  </si>
  <si>
    <t>Детали крепления стальные</t>
  </si>
  <si>
    <t>кг</t>
  </si>
  <si>
    <t>ТССЦ Чувашская республика (редакция 2014), 201-9261, Приказ Минстроя России от 05.05.2015 № 337/пр</t>
  </si>
  <si>
    <t>4,7</t>
  </si>
  <si>
    <t>201-9266</t>
  </si>
  <si>
    <t>Хомуты стальные</t>
  </si>
  <si>
    <t>ТССЦ Чувашская республика (редакция 2014), 201-9266, Приказ Минстроя России от 05.05.2015 № 337/пр</t>
  </si>
  <si>
    <t>4,8</t>
  </si>
  <si>
    <t>201-9285</t>
  </si>
  <si>
    <t>Траверсы стальные</t>
  </si>
  <si>
    <t>ТССЦ Чувашская республика (редакция 2014), 201-9285, Приказ Минстроя России от 05.05.2015 № 337/пр</t>
  </si>
  <si>
    <t>4,9</t>
  </si>
  <si>
    <t>403-1180</t>
  </si>
  <si>
    <t>Стойка железобетонная вибрированная для опор</t>
  </si>
  <si>
    <t>ТССЦ Чувашская республика (редакция 2014), 403-1180, Приказ Минстроя России от 05.05.2015 № 337/пр</t>
  </si>
  <si>
    <t>5</t>
  </si>
  <si>
    <t>403-2127</t>
  </si>
  <si>
    <t>Стойка опоры СВ 110-3,5 /бетон В30 (М400), объем 0,45 м3, расход ар-ры 66,8 кг/ (серия 3.407.1-143 вып.7)</t>
  </si>
  <si>
    <t>ТССЦ Чувашская республика (редакция 2014), 403-2127, Приказ Минстроя России от 05.05.2015 № 337/пр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</si>
  <si>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</si>
  <si>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</si>
  <si>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</si>
  <si>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6</t>
  </si>
  <si>
    <t>201-8113</t>
  </si>
  <si>
    <t>Траверсы стальные (Траверса ТМ-71 21,76 кг и траверса ТМ-66 6,7 кг)</t>
  </si>
  <si>
    <t>ТССЦ Чувашская республика (редакция 2014), 201-8113, Приказ Минстроя России от 05.05.2015 № 337/пр</t>
  </si>
  <si>
    <t>7</t>
  </si>
  <si>
    <t>201-0856</t>
  </si>
  <si>
    <t>Хомуты стальные (Хомут Х-12 1,18 кг)</t>
  </si>
  <si>
    <t>ТССЦ Чувашская республика (редакция 2014), 201-0856, Приказ Минстроя России от 05.05.2015 № 337/пр</t>
  </si>
  <si>
    <t>8</t>
  </si>
  <si>
    <t>204-0003</t>
  </si>
  <si>
    <t>Горячекатаная арматурная сталь гладкая класса А-I, диаметром 10 мм</t>
  </si>
  <si>
    <t>ТССЦ Чувашская республика (редакция 2014), 204-0003, Приказ Минстроя России от 05.05.2015 № 337/пр</t>
  </si>
  <si>
    <t>9</t>
  </si>
  <si>
    <t>110-0318</t>
  </si>
  <si>
    <t>Изоляторы линейные штыревые высоковольтные ШФ 20-Г (прим. Изолятор ШФ-20)</t>
  </si>
  <si>
    <t>ТССЦ Чувашская республика (редакция 2014), 110-0318, Приказ Минстроя России от 05.05.2015 № 337/пр</t>
  </si>
  <si>
    <t>10</t>
  </si>
  <si>
    <t>509-1714</t>
  </si>
  <si>
    <t>Зажим натяжной болтовый НБ-2-6</t>
  </si>
  <si>
    <t>ТССЦ Чувашская республика (редакция 2014), 509-1714, Приказ Минстроя России от 05.05.2015 № 337/пр</t>
  </si>
  <si>
    <t>Материалы монтажные</t>
  </si>
  <si>
    <t>Материалы и конструкции ( монтажные )  по ценникам и каталогам</t>
  </si>
  <si>
    <t>ФССЦм</t>
  </si>
  <si>
    <t>11</t>
  </si>
  <si>
    <t>110-0316</t>
  </si>
  <si>
    <t>Звено промежуточное трехлапчатое ПРТ-7-1</t>
  </si>
  <si>
    <t>ТССЦ Чувашская республика (редакция 2014), 110-0316, Приказ Минстроя России от 05.05.2015 № 337/пр</t>
  </si>
  <si>
    <t>12</t>
  </si>
  <si>
    <t>509-1771</t>
  </si>
  <si>
    <t>Ушко однолапчатое У1-7-16</t>
  </si>
  <si>
    <t>ТССЦ Чувашская республика (редакция 2014), 509-1771, Приказ Минстроя России от 05.05.2015 № 337/пр</t>
  </si>
  <si>
    <t>13</t>
  </si>
  <si>
    <t>110-0345</t>
  </si>
  <si>
    <t>Изоляторы линейные подвесные стеклянные ПСД-70Е  (прим. Изолятор ПС-70)</t>
  </si>
  <si>
    <t>ТССЦ Чувашская республика (редакция 2014), 110-0345, Приказ Минстроя России от 05.05.2015 № 337/пр</t>
  </si>
  <si>
    <t>14</t>
  </si>
  <si>
    <t>509-5944</t>
  </si>
  <si>
    <t>Зажим аппаратный прессуемый А1А-70-2</t>
  </si>
  <si>
    <t>ТССЦ Чувашская республика (редакция 2014), 509-5944, Приказ Минстроя России от 05.05.2015 № 337/пр</t>
  </si>
  <si>
    <t>15</t>
  </si>
  <si>
    <t>Прайс-лист</t>
  </si>
  <si>
    <t>Узел крепления У-1</t>
  </si>
  <si>
    <t>Материалы, изделия и конструкции</t>
  </si>
  <si>
    <t>материалы (03)</t>
  </si>
  <si>
    <t>[700 / 1,2]</t>
  </si>
  <si>
    <t>0</t>
  </si>
  <si>
    <t>16</t>
  </si>
  <si>
    <t>33-04-030-1</t>
  </si>
  <si>
    <t>Установка разрядников с помощью механизмов</t>
  </si>
  <si>
    <t>1 КОМПЛ.</t>
  </si>
  <si>
    <t>ТЕР Чувашская республика (редакция 2014), 33-04-030-1, Приказ Минстроя России от 05.05.2015 № 337/пр</t>
  </si>
  <si>
    <t>16,1</t>
  </si>
  <si>
    <t>16,2</t>
  </si>
  <si>
    <t>16,3</t>
  </si>
  <si>
    <t>16,4</t>
  </si>
  <si>
    <t>16,5</t>
  </si>
  <si>
    <t>17</t>
  </si>
  <si>
    <t>18</t>
  </si>
  <si>
    <t>33-03-004-1</t>
  </si>
  <si>
    <t>Забивка вертикальных заземлителей механизированная на глубину до 5 м</t>
  </si>
  <si>
    <t>1 заземлитель</t>
  </si>
  <si>
    <t>ТЕР Чувашская республика (редакция 2014), 33-03-004-1, Приказ Минстроя России от 05.05.2015 № 337/пр</t>
  </si>
  <si>
    <t>18,1</t>
  </si>
  <si>
    <t>204-0004</t>
  </si>
  <si>
    <t>Горячекатаная арматурная сталь гладкая класса А-I, диаметром 12 мм</t>
  </si>
  <si>
    <t>ТССЦ Чувашская республика (редакция 2014), 204-0004, Приказ Минстроя России от 05.05.2015 № 337/пр</t>
  </si>
  <si>
    <t>19</t>
  </si>
  <si>
    <t>101-1641</t>
  </si>
  <si>
    <t>Сталь угловая равнополочная, марка стали ВСт3кп2, размером 50x50x5 мм</t>
  </si>
  <si>
    <t>ТССЦ Чувашская республика (редакция 2014), 101-1641, Приказ Минстроя России от 05.05.2015 № 337/пр</t>
  </si>
  <si>
    <t>20</t>
  </si>
  <si>
    <t>33-04-031-3</t>
  </si>
  <si>
    <t>Установка оборудования пунктов секционирования на железобетонных стойках опор ВЛ</t>
  </si>
  <si>
    <t>1 ПУНКТ</t>
  </si>
  <si>
    <t>ТЕР Чувашская республика (редакция 2014), 33-04-031-3, Приказ Минстроя России от 05.05.2015 № 337/пр</t>
  </si>
  <si>
    <t>20,1</t>
  </si>
  <si>
    <t>21</t>
  </si>
  <si>
    <t>Оборудование Заказчика</t>
  </si>
  <si>
    <t>Комплект вакуумного реклоузера</t>
  </si>
  <si>
    <t>компл.</t>
  </si>
  <si>
    <t>оборудование</t>
  </si>
  <si>
    <t>Оборудование</t>
  </si>
  <si>
    <t>оборудование (03)</t>
  </si>
  <si>
    <t>Устройство контура заземления</t>
  </si>
  <si>
    <t>22</t>
  </si>
  <si>
    <t>01-02-057-2</t>
  </si>
  <si>
    <t>Разработка грунта вручную в траншеях глубиной до 2 м без креплений с откосами, группа грунтов 2</t>
  </si>
  <si>
    <t>100 м3 грунта</t>
  </si>
  <si>
    <t>ТЕР Чувашская республика (редакция 2014), 01-02-057-2, Приказ Минстроя России от 05.05.2015 № 337/пр</t>
  </si>
  <si>
    <t>Земляные работы</t>
  </si>
  <si>
    <t>Земляные работы, выполняемые: ручным способом</t>
  </si>
  <si>
    <t>ФЕР-01</t>
  </si>
  <si>
    <t>Пр/812-001.2-1</t>
  </si>
  <si>
    <t>Пр/774-001.2</t>
  </si>
  <si>
    <t>23</t>
  </si>
  <si>
    <t>01-02-061-2</t>
  </si>
  <si>
    <t>Засыпка вручную траншей, пазух котлованов и ям, группа грунтов 2</t>
  </si>
  <si>
    <t>ТЕР Чувашская республика (редакция 2014), 01-02-061-2, Приказ Минстроя России от 05.05.2015 № 337/пр</t>
  </si>
  <si>
    <t>24</t>
  </si>
  <si>
    <t>м08-02-472-2</t>
  </si>
  <si>
    <t>Заземлитель горизонтальный из стали полосовой сечением 160 мм2</t>
  </si>
  <si>
    <t>100 м</t>
  </si>
  <si>
    <t>ТЕРм Чувашская республика (редакция 2014), м08-02-472-2, Приказ Минстроя России от 05.05.2015 № 337/пр</t>
  </si>
  <si>
    <t>25</t>
  </si>
  <si>
    <t>101-2548</t>
  </si>
  <si>
    <t>Сталь полосовая 40х4 мм</t>
  </si>
  <si>
    <t>ТССЦ Чувашская республика (редакция 2014), 101-2548, Приказ Минстроя России от 05.05.2015 № 337/пр</t>
  </si>
  <si>
    <t>26</t>
  </si>
  <si>
    <t>26,1</t>
  </si>
  <si>
    <t>27</t>
  </si>
  <si>
    <t>28</t>
  </si>
  <si>
    <t>п01-11-010-1</t>
  </si>
  <si>
    <t>Измерение сопротивления растеканию тока заземлителя</t>
  </si>
  <si>
    <t>1 измерение</t>
  </si>
  <si>
    <t>ТЕРп Чувашская республика (редакция 2014), п01-11-010-1, Приказ Минстроя России от 05.05.2015 № 337/пр</t>
  </si>
  <si>
    <t>Пусконаладочные работы</t>
  </si>
  <si>
    <t>Пусконаладочные работы Электротехнические устройства</t>
  </si>
  <si>
    <t>ФЕРп</t>
  </si>
  <si>
    <t>Пр/812-083.0-1</t>
  </si>
  <si>
    <t>Пр/774-083.0</t>
  </si>
  <si>
    <t>29</t>
  </si>
  <si>
    <t>п01-11-011-1</t>
  </si>
  <si>
    <t>Проверка наличия цепи между заземлителями и заземленными элементами</t>
  </si>
  <si>
    <t>100 точек</t>
  </si>
  <si>
    <t>ТЕРп Чувашская республика (редакция 2014), п01-11-011-1, Приказ Минстроя России от 05.05.2015 № 337/пр</t>
  </si>
  <si>
    <t>Подвеска провода</t>
  </si>
  <si>
    <t>30</t>
  </si>
  <si>
    <t>33-04-009-2</t>
  </si>
  <si>
    <t>Подвеска проводов ВЛ 6-10 кВ в ненаселенной местности сечением свыше 35 мм2 с помощью механизмов</t>
  </si>
  <si>
    <t>1 км линии (3 провода) при 10 опорах</t>
  </si>
  <si>
    <t>ТЕР Чувашская республика (редакция 2014), 33-04-009-2, Приказ Минстроя России от 05.05.2015 № 337/пр</t>
  </si>
  <si>
    <t>30,1</t>
  </si>
  <si>
    <t>110-9009</t>
  </si>
  <si>
    <t>Арматура линейная</t>
  </si>
  <si>
    <t>ТССЦ Чувашская республика (редакция 2014), 110-9009, Приказ Минстроя России от 05.05.2015 № 337/пр</t>
  </si>
  <si>
    <t>30,2</t>
  </si>
  <si>
    <t>110-9032</t>
  </si>
  <si>
    <t>Изоляторы линейные подвесные тарельчатые</t>
  </si>
  <si>
    <t>ТССЦ Чувашская республика (редакция 2014), 110-9032, Приказ Минстроя России от 05.05.2015 № 337/пр</t>
  </si>
  <si>
    <t>30,3</t>
  </si>
  <si>
    <t>502-9079</t>
  </si>
  <si>
    <t>Провода неизолированные</t>
  </si>
  <si>
    <t>ТССЦ Чувашская республика (редакция 2014), 502-9079, Приказ Минстроя России от 05.05.2015 № 337/пр</t>
  </si>
  <si>
    <t>31</t>
  </si>
  <si>
    <t>509-5892</t>
  </si>
  <si>
    <t>Зажим плашечный соединительный ПА 2-2</t>
  </si>
  <si>
    <t>ТССЦ Чувашская республика (редакция 2014), 509-5892, Приказ Минстроя России от 05.05.2015 № 337/пр</t>
  </si>
  <si>
    <t>32</t>
  </si>
  <si>
    <t>502-0860</t>
  </si>
  <si>
    <t>Провода самонесущие изолированные для воздушных линий электропередачи с алюминиевыми жилами марки СИП-3 1х70-20</t>
  </si>
  <si>
    <t>1000 м</t>
  </si>
  <si>
    <t>ТССЦ Чувашская республика (редакция 2014), 502-0860, Приказ Минстроя России от 05.05.2015 № 337/пр</t>
  </si>
  <si>
    <t>1000 М</t>
  </si>
  <si>
    <t>33</t>
  </si>
  <si>
    <t>111-3249</t>
  </si>
  <si>
    <t>Наконечник изолированный алюминиевый с медной клеммой (СИП) CPTAU 70</t>
  </si>
  <si>
    <t>ТССЦ Чувашская республика (редакция 2014), 111-3249, Приказ Минстроя России от 05.05.2015 № 337/пр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</si>
  <si>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</si>
  <si>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</si>
  <si>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</si>
  <si>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</si>
  <si>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</si>
  <si>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</si>
  <si>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</si>
  <si>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</si>
  <si>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</si>
  <si>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</si>
  <si>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</si>
  <si>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</si>
  <si>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</si>
  <si>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</si>
  <si>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</si>
  <si>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</si>
  <si>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</si>
  <si>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</si>
  <si>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</si>
  <si>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</si>
  <si>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</si>
  <si>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</si>
  <si>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</si>
  <si>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</si>
  <si>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</si>
  <si>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</si>
  <si>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</si>
  <si>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</si>
  <si>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</si>
  <si>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</si>
  <si>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</si>
  <si>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</si>
  <si>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</si>
  <si>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</si>
  <si>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</si>
  <si>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</si>
  <si>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</si>
  <si>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</si>
  <si>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</si>
  <si>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</si>
  <si>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</si>
  <si>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</si>
  <si>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</si>
  <si>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</si>
  <si>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</si>
  <si>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</si>
  <si>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</si>
  <si>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</si>
  <si>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</si>
  <si>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</si>
  <si>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</si>
  <si>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</si>
  <si>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</si>
  <si>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</si>
  <si>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</si>
  <si>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</si>
  <si>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</si>
  <si>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</si>
  <si>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</si>
  <si>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</si>
  <si>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</si>
  <si>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</si>
  <si>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</si>
  <si>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</si>
  <si>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</si>
  <si>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</si>
  <si>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Сборник индексов</t>
  </si>
  <si>
    <t>ТСН Чувашской республики (редакция 2014 г)</t>
  </si>
  <si>
    <t>_OBSM_</t>
  </si>
  <si>
    <t>1-1030-21</t>
  </si>
  <si>
    <t>Рабочий строитель среднего разряда 3</t>
  </si>
  <si>
    <t>чел.-ч</t>
  </si>
  <si>
    <t>Затраты труда машинистов</t>
  </si>
  <si>
    <t>чел.час</t>
  </si>
  <si>
    <t>031001</t>
  </si>
  <si>
    <t>ТСЭМ Чувашская республика (редакция 2014), 031001, Приказ Минстроя России от 05.05.2015 № 337/пр</t>
  </si>
  <si>
    <t>Автогидроподъемники высотой подъема 12 м</t>
  </si>
  <si>
    <t>маш.-ч</t>
  </si>
  <si>
    <t>400001</t>
  </si>
  <si>
    <t>ТСЭМ Чувашская республика (редакция 2014), 400001, Приказ Минстроя России от 05.05.2015 № 337/пр</t>
  </si>
  <si>
    <t>Автомобили бортовые, грузоподъемность до 5 т</t>
  </si>
  <si>
    <t>1-1025-21</t>
  </si>
  <si>
    <t>Рабочий строитель среднего разряда 2,5</t>
  </si>
  <si>
    <t>010201</t>
  </si>
  <si>
    <t>ТСЭМ Чувашская республика (редакция 2014), 010201, Приказ Минстроя России от 05.05.2015 № 337/пр</t>
  </si>
  <si>
    <t>Прицепы тракторные 2 т</t>
  </si>
  <si>
    <t>010410</t>
  </si>
  <si>
    <t>ТСЭМ Чувашская республика (редакция 2014), 010410, Приказ Минстроя России от 05.05.2015 № 337/пр</t>
  </si>
  <si>
    <t>Тракторы на пневмоколесном ходу при работе на других видах строительства 59 кВт (80 л.с.)</t>
  </si>
  <si>
    <t>021141</t>
  </si>
  <si>
    <t>ТСЭМ Чувашская республика (редакция 2014), 021141, Приказ Минстроя России от 05.05.2015 № 337/пр</t>
  </si>
  <si>
    <t>Краны на автомобильном ходу при работе на других видах строительства 10 т</t>
  </si>
  <si>
    <t>1-2040-21</t>
  </si>
  <si>
    <t>Рабочий монтажник среднего разряда 4</t>
  </si>
  <si>
    <t>021102</t>
  </si>
  <si>
    <t>ТСЭМ Чувашская республика (редакция 2014), 021102, Приказ Минстроя России от 05.05.2015 № 337/пр</t>
  </si>
  <si>
    <t>Краны на автомобильном ходу при работе на монтаже технологического оборудования 10 т</t>
  </si>
  <si>
    <t>040502</t>
  </si>
  <si>
    <t>ТСЭМ Чувашская республика (редакция 2014), 040502, Приказ Минстроя России от 05.05.2015 № 337/пр</t>
  </si>
  <si>
    <t>Установки для сварки ручной дуговой (постоянного тока)</t>
  </si>
  <si>
    <t>101-1306</t>
  </si>
  <si>
    <t>ТССЦ Чувашская республика (редакция 2014), 101-1306, Приказ Минстроя России от 05.05.2015 № 337/пр</t>
  </si>
  <si>
    <t>Портландцемент общестроительного назначения бездобавочный, марки 500</t>
  </si>
  <si>
    <t>101-1728</t>
  </si>
  <si>
    <t>ТССЦ Чувашская республика (редакция 2014), 101-1728, Приказ Минстроя России от 05.05.2015 № 337/пр</t>
  </si>
  <si>
    <t>Дюбели распорные с гайкой</t>
  </si>
  <si>
    <t>100 шт.</t>
  </si>
  <si>
    <t>101-1924</t>
  </si>
  <si>
    <t>ТССЦ Чувашская республика (редакция 2014), 101-1924, Приказ Минстроя России от 05.05.2015 № 337/пр</t>
  </si>
  <si>
    <t>Электроды диаметром 4 мм Э42А</t>
  </si>
  <si>
    <t>101-1977</t>
  </si>
  <si>
    <t>ТССЦ Чувашская республика (редакция 2014), 101-1977, Приказ Минстроя России от 05.05.2015 № 337/пр</t>
  </si>
  <si>
    <t>201-0843</t>
  </si>
  <si>
    <t>ТССЦ Чувашская республика (редакция 2014), 201-0843, Приказ Минстроя России от 05.05.2015 № 337/пр</t>
  </si>
  <si>
    <t>Конструкции стальные индивидуальные решетчатые сварные массой до 0,1 т</t>
  </si>
  <si>
    <t>408-0141</t>
  </si>
  <si>
    <t>ТССЦ Чувашская республика (редакция 2014), 408-0141, Приказ Минстроя России от 05.05.2015 № 337/пр</t>
  </si>
  <si>
    <t>Песок природный для строительных растворов средний</t>
  </si>
  <si>
    <t>м3</t>
  </si>
  <si>
    <t>999-9950</t>
  </si>
  <si>
    <t>ТССЦ Чувашская республика (редакция 2014), 999-9950, Приказ Минстроя России от 05.05.2015 № 337/пр</t>
  </si>
  <si>
    <t>Вспомогательные ненормируемые материалы (2% от ОЗП)</t>
  </si>
  <si>
    <t>РУБ</t>
  </si>
  <si>
    <t>1-1033-21</t>
  </si>
  <si>
    <t>Рабочий строитель среднего разряда 3,3</t>
  </si>
  <si>
    <t>160402</t>
  </si>
  <si>
    <t>ТСЭМ Чувашская республика (редакция 2014), 160402, Приказ Минстроя России от 05.05.2015 № 337/пр</t>
  </si>
  <si>
    <t>Машины бурильно-крановые на автомобиле, глубина бурения 3,5 м</t>
  </si>
  <si>
    <t>101-0404</t>
  </si>
  <si>
    <t>ТССЦ Чувашская республика (редакция 2014), 101-0404, Приказ Минстроя России от 05.05.2015 № 337/пр</t>
  </si>
  <si>
    <t>Краска для наружных работ черная, марок МА-015, ПФ-014</t>
  </si>
  <si>
    <t>101-0962</t>
  </si>
  <si>
    <t>ТССЦ Чувашская республика (редакция 2014), 101-0962, Приказ Минстроя России от 05.05.2015 № 337/пр</t>
  </si>
  <si>
    <t>Смазка солидол жировой марки «Ж»</t>
  </si>
  <si>
    <t>101-1757</t>
  </si>
  <si>
    <t>ТССЦ Чувашская республика (редакция 2014), 101-1757, Приказ Минстроя России от 05.05.2015 № 337/пр</t>
  </si>
  <si>
    <t>Ветошь</t>
  </si>
  <si>
    <t>101-2349</t>
  </si>
  <si>
    <t>ТССЦ Чувашская республика (редакция 2014), 101-2349, Приказ Минстроя России от 05.05.2015 № 337/пр</t>
  </si>
  <si>
    <t>Смазка ЗЭС</t>
  </si>
  <si>
    <t>113-0079</t>
  </si>
  <si>
    <t>ТССЦ Чувашская республика (редакция 2014), 113-0079, Приказ Минстроя России от 05.05.2015 № 337/пр</t>
  </si>
  <si>
    <t>Лак БТ-577</t>
  </si>
  <si>
    <t>509-1073</t>
  </si>
  <si>
    <t>ТССЦ Чувашская республика (редакция 2014), 509-1073, Приказ Минстроя России от 05.05.2015 № 337/пр</t>
  </si>
  <si>
    <t>Колпачки полиэтиленовые</t>
  </si>
  <si>
    <t>101-1292</t>
  </si>
  <si>
    <t>ТССЦ Чувашская республика (редакция 2014), 101-1292, Приказ Минстроя России от 05.05.2015 № 337/пр</t>
  </si>
  <si>
    <t>Уайт-спирит</t>
  </si>
  <si>
    <t>1-1029-21</t>
  </si>
  <si>
    <t>Рабочий строитель среднего разряда 2,9</t>
  </si>
  <si>
    <t>040202</t>
  </si>
  <si>
    <t>ТСЭМ Чувашская республика (редакция 2014), 040202, Приказ Минстроя России от 05.05.2015 № 337/пр</t>
  </si>
  <si>
    <t>Агрегаты сварочные передвижные с номинальным сварочным током 250-400 А с дизельным двигателем</t>
  </si>
  <si>
    <t>050101</t>
  </si>
  <si>
    <t>ТСЭМ Чувашская республика (редакция 2014), 050101, Приказ Минстроя России от 05.05.2015 № 337/пр</t>
  </si>
  <si>
    <t>Компрессоры передвижные с двигателем внутреннего сгорания давлением до 686 кПа (7 ат), производительность  до 5 м3/мин</t>
  </si>
  <si>
    <t>331481</t>
  </si>
  <si>
    <t>ТСЭМ Чувашская республика (редакция 2014), 331481, Приказ Минстроя России от 05.05.2015 № 337/пр</t>
  </si>
  <si>
    <t>Машины пневматические ПУМ-3</t>
  </si>
  <si>
    <t>101-1513</t>
  </si>
  <si>
    <t>ТССЦ Чувашская республика (редакция 2014), 101-1513, Приказ Минстроя России от 05.05.2015 № 337/пр</t>
  </si>
  <si>
    <t>Электроды диаметром 4 мм Э42</t>
  </si>
  <si>
    <t>1-1040-21</t>
  </si>
  <si>
    <t>Рабочий строитель среднего разряда 4</t>
  </si>
  <si>
    <t>1-1020-21</t>
  </si>
  <si>
    <t>Рабочий строитель среднего разряда 2</t>
  </si>
  <si>
    <t>1-1015-21</t>
  </si>
  <si>
    <t>Рабочий строитель среднего разряда 1,5</t>
  </si>
  <si>
    <t>1-2038-21</t>
  </si>
  <si>
    <t>Рабочий монтажник среднего разряда 3,8</t>
  </si>
  <si>
    <t>113-1786</t>
  </si>
  <si>
    <t>ТССЦ Чувашская республика (редакция 2014), 113-1786, Приказ Минстроя России от 05.05.2015 № 337/пр</t>
  </si>
  <si>
    <t>Лак битумный БТ-123</t>
  </si>
  <si>
    <t>0-3306-21</t>
  </si>
  <si>
    <t>Электромонтажник-наладчик 6 разряда</t>
  </si>
  <si>
    <t>2-0023-21</t>
  </si>
  <si>
    <t>Инженер по наладке и испытаниям III категории</t>
  </si>
  <si>
    <t>1-1037-21</t>
  </si>
  <si>
    <t>Рабочий строитель среднего разряда 3,7</t>
  </si>
  <si>
    <t>101-1745</t>
  </si>
  <si>
    <t>ТССЦ Чувашская республика (редакция 2014), 101-1745, Приказ Минстроя России от 05.05.2015 № 337/пр</t>
  </si>
  <si>
    <t>Бензин растворитель</t>
  </si>
  <si>
    <t>506-0853</t>
  </si>
  <si>
    <t>ТССЦ Чувашская республика (редакция 2014), 506-0853, Приказ Минстроя России от 05.05.2015 № 337/пр</t>
  </si>
  <si>
    <t>Проволока из алюминия диаметром 3 мм</t>
  </si>
  <si>
    <t>509-0455</t>
  </si>
  <si>
    <t>ТССЦ Чувашская республика (редакция 2014), 509-0455, Приказ Минстроя России от 05.05.2015 № 337/пр</t>
  </si>
  <si>
    <t>Соединитель алюминиевых и сталеалюминиевых проводов (СОАС) 062-3</t>
  </si>
  <si>
    <t>"_____"________________ 2024 г.</t>
  </si>
  <si>
    <t xml:space="preserve">Номер заказа   </t>
  </si>
  <si>
    <t xml:space="preserve">  на</t>
  </si>
  <si>
    <t>(наименование работ и затрат, наименование объекта)</t>
  </si>
  <si>
    <t>базовая цена</t>
  </si>
  <si>
    <t>текущая цена</t>
  </si>
  <si>
    <t>Сметная стоимость</t>
  </si>
  <si>
    <t>тыс.руб</t>
  </si>
  <si>
    <t xml:space="preserve">     Строительные работы</t>
  </si>
  <si>
    <t xml:space="preserve">     Монтажные работы</t>
  </si>
  <si>
    <t xml:space="preserve">     Оборудование</t>
  </si>
  <si>
    <t xml:space="preserve">     Прочие работы</t>
  </si>
  <si>
    <t>Нормативная трудоемкость</t>
  </si>
  <si>
    <t>Средства на оплату труда</t>
  </si>
  <si>
    <t>№ п/п</t>
  </si>
  <si>
    <t>Шифр расценки и коды ресурсов</t>
  </si>
  <si>
    <t>Наименование работ и затрат</t>
  </si>
  <si>
    <t>Единица изме-рения</t>
  </si>
  <si>
    <t>Кол-во единиц</t>
  </si>
  <si>
    <t>Цена на ед. изм. руб.</t>
  </si>
  <si>
    <t>попра-вочные коэффиц.</t>
  </si>
  <si>
    <t>Стоимость в ценах 2001г.</t>
  </si>
  <si>
    <t>Пункт коэффиц. пересчета</t>
  </si>
  <si>
    <t>Коэфф. пересчета</t>
  </si>
  <si>
    <t>Стоимость в текущих ценах</t>
  </si>
  <si>
    <t>ЗТР всего чел.-час</t>
  </si>
  <si>
    <t>Составлена в ценах ТСН Чувашской республики (редакция 2014 г) июнь 2024 года</t>
  </si>
  <si>
    <t>Зарплата</t>
  </si>
  <si>
    <t>в т.ч. зарплата машинистов</t>
  </si>
  <si>
    <t>НР от ФОТ</t>
  </si>
  <si>
    <t>%</t>
  </si>
  <si>
    <t>СП от ФОТ</t>
  </si>
  <si>
    <t>Затраты труда</t>
  </si>
  <si>
    <t>чел-ч</t>
  </si>
  <si>
    <t>Материальные ресурсы</t>
  </si>
  <si>
    <r>
      <t>Узел крепления У-1</t>
    </r>
    <r>
      <rPr>
        <i/>
        <sz val="10"/>
        <rFont val="Arial"/>
        <family val="2"/>
        <charset val="204"/>
      </rPr>
      <t xml:space="preserve">
583,33 = [700 / 1,2]</t>
    </r>
  </si>
  <si>
    <t>Исключен
Горячекатаная арматурная сталь гладкая класса А-I, диаметром 12 мм</t>
  </si>
  <si>
    <t>Составил</t>
  </si>
  <si>
    <t>Должность</t>
  </si>
  <si>
    <t>Подпись</t>
  </si>
  <si>
    <t>Ф.И.О.</t>
  </si>
  <si>
    <t>М.П.</t>
  </si>
  <si>
    <t>Проверил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</si>
  <si>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</si>
  <si>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</si>
  <si>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</si>
  <si>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</si>
  <si>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</si>
  <si>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</si>
  <si>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</si>
  <si>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</si>
  <si>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</si>
  <si>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</si>
  <si>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</si>
  <si>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</si>
  <si>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</si>
  <si>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</si>
  <si>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</si>
  <si>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</si>
  <si>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</si>
  <si>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</si>
  <si>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</si>
  <si>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</si>
  <si>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</si>
  <si>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</si>
  <si>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</si>
  <si>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</si>
  <si>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</si>
  <si>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</si>
  <si>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</si>
  <si>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</si>
  <si>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</si>
  <si>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</si>
  <si>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</si>
  <si>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</si>
  <si>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</si>
  <si>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</si>
  <si>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</si>
  <si>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</si>
  <si>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</si>
  <si>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</si>
  <si>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</si>
  <si>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</si>
  <si>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</si>
  <si>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</si>
  <si>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</si>
  <si>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Ресурсная ведомость на</t>
  </si>
  <si>
    <t>Объект: Установка реклоузеров на КЛ-6 кВ на линии №15 в п. Сосновка, Заволжье</t>
  </si>
  <si>
    <t>Обоснование</t>
  </si>
  <si>
    <t>Наименование</t>
  </si>
  <si>
    <t>Единица измерения</t>
  </si>
  <si>
    <t>Объем</t>
  </si>
  <si>
    <t>Текущая</t>
  </si>
  <si>
    <t>цена</t>
  </si>
  <si>
    <t>стоимость</t>
  </si>
  <si>
    <t xml:space="preserve">Материальные ресурсы </t>
  </si>
  <si>
    <t xml:space="preserve">Итого материальные ресурсы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</si>
  <si>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</si>
  <si>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</si>
  <si>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</si>
  <si>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</si>
  <si>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</si>
  <si>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</si>
  <si>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</si>
  <si>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</si>
  <si>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</si>
  <si>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</si>
  <si>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</si>
  <si>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</si>
  <si>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</si>
  <si>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</si>
  <si>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</si>
  <si>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</si>
  <si>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</si>
  <si>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</si>
  <si>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</si>
  <si>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</si>
  <si>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</si>
  <si>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</si>
  <si>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</si>
  <si>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</si>
  <si>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</si>
  <si>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</si>
  <si>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</si>
  <si>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Номер</t>
  </si>
  <si>
    <t>поз. по сме-те</t>
  </si>
  <si>
    <t>Составлен(а) в ценах 2001 г. с учетом коэффициентов пересчета к базисной стоимости СМР в текущий уровень цен базисно-индексным методом за ТСН Чувашской республики (редакция 2014 г) июнь 2024 года</t>
  </si>
  <si>
    <t>Сдал</t>
  </si>
  <si>
    <t>Принял</t>
  </si>
  <si>
    <t>Унифицированная форма № КС-3</t>
  </si>
  <si>
    <t>Коды</t>
  </si>
  <si>
    <t xml:space="preserve">Инвестор </t>
  </si>
  <si>
    <t xml:space="preserve">Заказчик (генподрядчик) </t>
  </si>
  <si>
    <t xml:space="preserve">Подрядчик (субподрядчик) </t>
  </si>
  <si>
    <t xml:space="preserve">Стройка </t>
  </si>
  <si>
    <t>Вид деятельности  по ОКДП</t>
  </si>
  <si>
    <t xml:space="preserve">Договор подряда (контракт) </t>
  </si>
  <si>
    <t>Вид операции</t>
  </si>
  <si>
    <t>СПРАВКА</t>
  </si>
  <si>
    <t>СТОИМОСТИ ВЫПОЛНЕННЫХ РАБОТ И ЗАТРАТ</t>
  </si>
  <si>
    <t>Наименование пусковых комплексов, объектов, видов работ, оборудования, затрат</t>
  </si>
  <si>
    <t>Стоимость выполненных работ и затрат</t>
  </si>
  <si>
    <t>с начала проведения работ</t>
  </si>
  <si>
    <t>с начала года по отчетный период включительно</t>
  </si>
  <si>
    <t>в том числе за отчетный месяц</t>
  </si>
  <si>
    <t>Всего работ и затрат, включаемых в стоимость</t>
  </si>
  <si>
    <t>В том числе:</t>
  </si>
  <si>
    <t xml:space="preserve">Сумма НДС </t>
  </si>
  <si>
    <t xml:space="preserve">Всего с учетом НДС </t>
  </si>
  <si>
    <t>должность</t>
  </si>
  <si>
    <t>подпись</t>
  </si>
  <si>
    <t>расшифровка подпись</t>
  </si>
  <si>
    <t>МП</t>
  </si>
  <si>
    <t>Установка реклоузеров на ВЛ-6 кВ на линии №15 в п. Сосновка, Заволжье</t>
  </si>
  <si>
    <t>Зам. директора по инвестиционной деятельности</t>
  </si>
  <si>
    <t>и учету электрической энергии</t>
  </si>
  <si>
    <t xml:space="preserve">ГУП Чувашской Республики "ЧГЭС" </t>
  </si>
  <si>
    <t>Минпромэнерго Чувашии</t>
  </si>
  <si>
    <t>_______________________ П.Н. Порфирьев</t>
  </si>
  <si>
    <t>Приложение № 3 к Сводной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</si>
</sst>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\-\ #,##0.00"/>
  </numFmts>
  <fonts count="27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u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2"/>
      <name val="Arial"/>
      <family val="2"/>
      <charset val="204"/>
    </font>
    <font>
      <b/>
      <sz val="14"/>
      <name val="Arial"/>
      <family val="2"/>
      <charset val="204"/>
    </font>
    <font>
      <sz val="13"/>
      <name val="Arial"/>
      <family val="2"/>
      <charset val="204"/>
    </font>
    <font>
      <i/>
      <sz val="11"/>
      <name val="Arial"/>
      <family val="2"/>
      <charset val="204"/>
    </font>
    <font>
      <b/>
      <sz val="9"/>
      <name val="Arial"/>
      <family val="2"/>
      <charset val="204"/>
    </font>
    <font>
      <i/>
      <sz val="11"/>
      <color rgb="FFFF0000"/>
      <name val="Arial"/>
      <family val="2"/>
      <charset val="204"/>
    </font>
    <font>
      <i/>
      <sz val="11"/>
      <color rgb="FF008000"/>
      <name val="Arial"/>
      <family val="2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1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right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center" wrapText="1"/>
    </xf>
    <xf numFmtId="0" fontId="17" fillId="0" borderId="2" xfId="0" applyFont="1" applyBorder="1" applyAlignment="1">
      <alignment horizontal="center" wrapText="1"/>
    </xf>
    <xf numFmtId="0" fontId="15" fillId="0" borderId="0" xfId="0" applyFont="1" applyAlignment="1">
      <alignment wrapText="1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right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164" fontId="9" fillId="0" borderId="0" xfId="0" applyNumberFormat="1" applyFont="1" applyAlignment="1">
      <alignment horizontal="left"/>
    </xf>
    <xf numFmtId="0" fontId="9" fillId="0" borderId="0" xfId="0" applyFont="1" applyAlignment="1">
      <alignment horizontal="right" wrapText="1"/>
    </xf>
    <xf numFmtId="164" fontId="10" fillId="0" borderId="0" xfId="0" applyNumberFormat="1" applyFont="1" applyAlignment="1">
      <alignment horizontal="right"/>
    </xf>
    <xf numFmtId="164" fontId="0" fillId="0" borderId="0" xfId="0" applyNumberFormat="1"/>
    <xf numFmtId="164" fontId="20" fillId="0" borderId="0" xfId="0" applyNumberFormat="1" applyFont="1" applyAlignment="1">
      <alignment horizontal="right"/>
    </xf>
    <xf numFmtId="0" fontId="11" fillId="0" borderId="2" xfId="0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wrapText="1"/>
    </xf>
    <xf numFmtId="0" fontId="19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right"/>
    </xf>
    <xf numFmtId="164" fontId="11" fillId="0" borderId="2" xfId="0" applyNumberFormat="1" applyFont="1" applyBorder="1" applyAlignment="1">
      <alignment horizontal="right"/>
    </xf>
    <xf numFmtId="0" fontId="11" fillId="0" borderId="2" xfId="0" applyFont="1" applyBorder="1" applyAlignment="1">
      <alignment horizontal="right" wrapText="1"/>
    </xf>
    <xf numFmtId="164" fontId="10" fillId="0" borderId="2" xfId="0" applyNumberFormat="1" applyFont="1" applyBorder="1" applyAlignment="1">
      <alignment horizontal="right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2" fillId="0" borderId="2" xfId="0" applyFont="1" applyBorder="1" applyAlignment="1">
      <alignment horizontal="left" wrapText="1"/>
    </xf>
    <xf numFmtId="0" fontId="22" fillId="0" borderId="2" xfId="0" applyFont="1" applyBorder="1" applyAlignment="1">
      <alignment horizontal="right" wrapText="1"/>
    </xf>
    <xf numFmtId="0" fontId="22" fillId="0" borderId="2" xfId="0" applyFont="1" applyBorder="1" applyAlignment="1">
      <alignment horizontal="right"/>
    </xf>
    <xf numFmtId="164" fontId="22" fillId="0" borderId="2" xfId="0" applyNumberFormat="1" applyFont="1" applyBorder="1" applyAlignment="1">
      <alignment horizontal="right"/>
    </xf>
    <xf numFmtId="0" fontId="22" fillId="0" borderId="2" xfId="0" quotePrefix="1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0" fontId="9" fillId="0" borderId="0" xfId="0" applyFont="1" applyAlignment="1">
      <alignment vertical="top" wrapText="1"/>
    </xf>
    <xf numFmtId="0" fontId="11" fillId="0" borderId="2" xfId="0" applyFont="1" applyBorder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2" fillId="0" borderId="3" xfId="0" quotePrefix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3" xfId="0" applyFont="1" applyBorder="1" applyAlignment="1">
      <alignment horizontal="right" wrapText="1"/>
    </xf>
    <xf numFmtId="164" fontId="11" fillId="0" borderId="3" xfId="0" applyNumberFormat="1" applyFont="1" applyBorder="1" applyAlignment="1">
      <alignment horizontal="right" wrapText="1"/>
    </xf>
    <xf numFmtId="0" fontId="11" fillId="0" borderId="6" xfId="0" applyFont="1" applyBorder="1" applyAlignment="1">
      <alignment horizontal="center"/>
    </xf>
    <xf numFmtId="14" fontId="11" fillId="0" borderId="4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24" fillId="0" borderId="0" xfId="0" applyFont="1"/>
    <xf numFmtId="0" fontId="24" fillId="0" borderId="2" xfId="0" applyFont="1" applyBorder="1"/>
    <xf numFmtId="0" fontId="24" fillId="0" borderId="0" xfId="0" applyFont="1" applyAlignment="1">
      <alignment horizontal="right"/>
    </xf>
    <xf numFmtId="0" fontId="11" fillId="0" borderId="13" xfId="0" applyFont="1" applyBorder="1" applyAlignment="1">
      <alignment horizontal="center"/>
    </xf>
    <xf numFmtId="14" fontId="11" fillId="0" borderId="0" xfId="0" applyNumberFormat="1" applyFont="1"/>
    <xf numFmtId="0" fontId="11" fillId="0" borderId="6" xfId="0" applyFont="1" applyBorder="1" applyAlignment="1">
      <alignment horizontal="center" vertical="center" wrapText="1" shrinkToFit="1"/>
    </xf>
    <xf numFmtId="0" fontId="11" fillId="0" borderId="6" xfId="0" applyFont="1" applyBorder="1" applyAlignment="1">
      <alignment horizontal="center" wrapText="1" shrinkToFit="1"/>
    </xf>
    <xf numFmtId="0" fontId="11" fillId="0" borderId="4" xfId="0" applyFont="1" applyBorder="1" applyAlignment="1">
      <alignment horizontal="center" vertical="center" wrapText="1" shrinkToFit="1"/>
    </xf>
    <xf numFmtId="0" fontId="25" fillId="0" borderId="0" xfId="0" applyFont="1"/>
    <xf numFmtId="0" fontId="26" fillId="0" borderId="0" xfId="0" applyFont="1" applyAlignment="1">
      <alignment horizontal="left" wrapText="1"/>
    </xf>
    <xf numFmtId="0" fontId="9" fillId="0" borderId="0" xfId="0" applyFont="1"/>
    <xf numFmtId="0" fontId="0" fillId="0" borderId="0" xfId="0" applyAlignment="1">
      <alignment horizontal="left"/>
    </xf>
    <xf numFmtId="0" fontId="14" fillId="0" borderId="0" xfId="0" applyFont="1"/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164" fontId="11" fillId="0" borderId="0" xfId="0" applyNumberFormat="1" applyFont="1" applyAlignment="1">
      <alignment horizontal="right"/>
    </xf>
    <xf numFmtId="0" fontId="26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164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19" fillId="0" borderId="0" xfId="0" applyFont="1" applyAlignment="1">
      <alignment horizontal="left" wrapText="1"/>
    </xf>
    <xf numFmtId="0" fontId="11" fillId="0" borderId="0" xfId="0" applyFont="1"/>
    <xf numFmtId="0" fontId="11" fillId="0" borderId="2" xfId="0" applyFont="1" applyBorder="1" applyAlignment="1">
      <alignment horizontal="lef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right" wrapText="1"/>
    </xf>
    <xf numFmtId="0" fontId="1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center" wrapText="1"/>
    </xf>
    <xf numFmtId="0" fontId="17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right"/>
    </xf>
    <xf numFmtId="164" fontId="15" fillId="0" borderId="3" xfId="0" applyNumberFormat="1" applyFont="1" applyBorder="1" applyAlignment="1">
      <alignment horizontal="right"/>
    </xf>
    <xf numFmtId="0" fontId="12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0" fillId="0" borderId="2" xfId="0" applyFont="1" applyBorder="1" applyAlignment="1">
      <alignment horizontal="left"/>
    </xf>
    <xf numFmtId="0" fontId="11" fillId="0" borderId="15" xfId="0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14" fontId="11" fillId="0" borderId="3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/>
    </xf>
    <xf numFmtId="0" fontId="11" fillId="0" borderId="2" xfId="0" applyFont="1" applyBorder="1" applyAlignment="1">
      <alignment horizontal="left" wrapText="1"/>
    </xf>
    <xf numFmtId="0" fontId="9" fillId="0" borderId="0" xfId="0" applyFont="1" applyAlignment="1">
      <alignment horizontal="right" vertical="center"/>
    </xf>
    <xf numFmtId="0" fontId="0" fillId="0" borderId="0" xfId="0"/>
    <xf numFmtId="0" fontId="11" fillId="0" borderId="3" xfId="0" quotePrefix="1" applyFont="1" applyBorder="1" applyAlignment="1">
      <alignment horizontal="center"/>
    </xf>
    <xf numFmtId="0" fontId="11" fillId="0" borderId="0" xfId="0" applyFont="1" applyAlignment="1">
      <alignment horizontal="right" vertical="center" shrinkToFit="1"/>
    </xf>
    <xf numFmtId="0" fontId="11" fillId="0" borderId="2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top" shrinkToFit="1"/>
    </xf>
    <xf numFmtId="0" fontId="11" fillId="0" borderId="0" xfId="0" applyFont="1" applyAlignment="1">
      <alignment horizontal="right" vertical="center" wrapText="1" shrinkToFit="1"/>
    </xf>
    <xf numFmtId="164" fontId="11" fillId="0" borderId="4" xfId="0" applyNumberFormat="1" applyFont="1" applyBorder="1" applyAlignment="1">
      <alignment horizontal="right" vertical="center" wrapText="1" shrinkToFit="1"/>
    </xf>
    <xf numFmtId="0" fontId="11" fillId="0" borderId="8" xfId="0" applyFont="1" applyBorder="1" applyAlignment="1">
      <alignment horizontal="right" vertical="center" wrapText="1" shrinkToFit="1"/>
    </xf>
    <xf numFmtId="0" fontId="11" fillId="0" borderId="6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6" xfId="0" applyFont="1" applyBorder="1" applyAlignment="1">
      <alignment horizontal="justify" vertical="top" wrapText="1" shrinkToFit="1"/>
    </xf>
    <xf numFmtId="0" fontId="11" fillId="0" borderId="1" xfId="0" applyFont="1" applyBorder="1" applyAlignment="1">
      <alignment horizontal="justify" vertical="top" wrapText="1" shrinkToFit="1"/>
    </xf>
    <xf numFmtId="164" fontId="11" fillId="0" borderId="6" xfId="0" applyNumberFormat="1" applyFont="1" applyBorder="1" applyAlignment="1">
      <alignment horizontal="right" wrapText="1" shrinkToFit="1"/>
    </xf>
    <xf numFmtId="0" fontId="11" fillId="0" borderId="1" xfId="0" applyFont="1" applyBorder="1" applyAlignment="1">
      <alignment horizontal="right" wrapText="1" shrinkToFit="1"/>
    </xf>
    <xf numFmtId="0" fontId="11" fillId="0" borderId="13" xfId="0" applyFont="1" applyBorder="1" applyAlignment="1">
      <alignment horizontal="right" wrapText="1" shrinkToFit="1"/>
    </xf>
    <xf numFmtId="0" fontId="11" fillId="0" borderId="4" xfId="0" applyFont="1" applyBorder="1" applyAlignment="1">
      <alignment horizontal="justify" vertical="top" wrapText="1" shrinkToFit="1"/>
    </xf>
    <xf numFmtId="0" fontId="11" fillId="0" borderId="7" xfId="0" applyFont="1" applyBorder="1" applyAlignment="1">
      <alignment horizontal="justify" vertical="top" wrapText="1" shrinkToFit="1"/>
    </xf>
    <xf numFmtId="0" fontId="11" fillId="0" borderId="13" xfId="0" applyFont="1" applyBorder="1" applyAlignment="1">
      <alignment horizontal="justify" vertical="top" wrapText="1" shrinkToFit="1"/>
    </xf>
    <xf numFmtId="0" fontId="11" fillId="0" borderId="1" xfId="0" applyFont="1" applyBorder="1" applyAlignment="1">
      <alignment horizontal="right"/>
    </xf>
    <xf numFmtId="0" fontId="11" fillId="0" borderId="13" xfId="0" applyFont="1" applyBorder="1" applyAlignment="1">
      <alignment horizontal="right"/>
    </xf>
    <xf numFmtId="164" fontId="11" fillId="0" borderId="6" xfId="0" applyNumberFormat="1" applyFont="1" applyBorder="1" applyAlignment="1">
      <alignment horizontal="right"/>
    </xf>
    <xf numFmtId="164" fontId="11" fillId="0" borderId="6" xfId="0" applyNumberFormat="1" applyFont="1" applyBorder="1" applyAlignment="1">
      <alignment horizontal="right" vertical="center" wrapText="1" shrinkToFit="1"/>
    </xf>
    <xf numFmtId="0" fontId="11" fillId="0" borderId="13" xfId="0" applyFont="1" applyBorder="1" applyAlignment="1">
      <alignment horizontal="right" vertical="center" wrapText="1" shrinkToFit="1"/>
    </xf>
    <xf numFmtId="0" fontId="11" fillId="0" borderId="6" xfId="0" applyFont="1" applyBorder="1" applyAlignment="1">
      <alignment horizontal="center" vertical="center" wrapText="1" shrinkToFit="1"/>
    </xf>
    <xf numFmtId="0" fontId="11" fillId="0" borderId="5" xfId="0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wrapText="1" shrinkToFit="1"/>
    </xf>
    <xf numFmtId="0" fontId="11" fillId="0" borderId="0" xfId="0" applyFont="1" applyAlignment="1">
      <alignment horizontal="center" vertical="center" wrapText="1" shrinkToFit="1"/>
    </xf>
    <xf numFmtId="0" fontId="11" fillId="0" borderId="13" xfId="0" applyFont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 wrapText="1" shrinkToFit="1"/>
    </xf>
    <xf numFmtId="0" fontId="11" fillId="0" borderId="4" xfId="0" applyFont="1" applyBorder="1" applyAlignment="1">
      <alignment horizontal="right"/>
    </xf>
    <xf numFmtId="0" fontId="11" fillId="0" borderId="7" xfId="0" applyFont="1" applyBorder="1" applyAlignment="1">
      <alignment horizontal="right"/>
    </xf>
    <xf numFmtId="14" fontId="11" fillId="0" borderId="6" xfId="0" applyNumberFormat="1" applyFont="1" applyBorder="1" applyAlignment="1">
      <alignment horizontal="center"/>
    </xf>
    <xf numFmtId="14" fontId="11" fillId="0" borderId="13" xfId="0" applyNumberFormat="1" applyFont="1" applyBorder="1" applyAlignment="1">
      <alignment horizontal="center"/>
    </xf>
    <xf numFmtId="0" fontId="11" fillId="0" borderId="4" xfId="0" applyFont="1" applyBorder="1"/>
    <xf numFmtId="0" fontId="11" fillId="0" borderId="8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14" fontId="11" fillId="0" borderId="4" xfId="0" applyNumberFormat="1" applyFont="1" applyBorder="1" applyAlignment="1">
      <alignment horizontal="center"/>
    </xf>
    <xf numFmtId="14" fontId="11" fillId="0" borderId="8" xfId="0" applyNumberFormat="1" applyFont="1" applyBorder="1" applyAlignment="1">
      <alignment horizontal="center"/>
    </xf>
    <xf numFmtId="14" fontId="11" fillId="0" borderId="7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6" xfId="0" applyFont="1" applyBorder="1" applyAlignment="1">
      <alignment horizontal="right"/>
    </xf>
    <xf numFmtId="0" fontId="11" fillId="0" borderId="2" xfId="0" applyFont="1" applyBorder="1"/>
    <xf numFmtId="0" fontId="11" fillId="0" borderId="5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57;%20&#8470;1%20&#1059;&#1089;&#1090;&#1072;&#1085;&#1086;&#1074;&#1082;&#1072;%20&#1088;&#1077;&#1082;&#1083;&#1086;&#1091;&#1079;&#1077;&#1088;&#1086;&#1074;%20&#1085;&#1072;%20&#1042;&#1051;-6%20&#1082;&#1042;%20&#1085;&#1072;%20&#1083;&#1080;&#1085;&#1080;&#1080;%20&#8470;1%20&#1074;%20&#1087;.%20&#1057;&#1086;&#1089;&#1085;&#1086;&#1074;&#1082;&#1072;,%20&#1047;&#1072;&#1074;&#1086;&#1083;&#1078;&#110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для ТЕР ЧР"/>
      <sheetName val="RV_DATA"/>
      <sheetName val="Расчет стоимости ресурсов"/>
      <sheetName val="Акт КС-2 для ТЕР ЧР"/>
      <sheetName val="Макет форма-3"/>
      <sheetName val="Source"/>
      <sheetName val="SourceObSm"/>
      <sheetName val="SmtRes"/>
      <sheetName val="EtalonRes"/>
      <sheetName val="SrcKA"/>
    </sheetNames>
    <sheetDataSet>
      <sheetData sheetId="0"/>
      <sheetData sheetId="1"/>
      <sheetData sheetId="2"/>
      <sheetData sheetId="3"/>
      <sheetData sheetId="4"/>
      <sheetData sheetId="5">
        <row r="12">
          <cell r="AL12" t="str">
            <v/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512C1-5012-44F6-84C6-C73FB07D5C95}">
  <dimension ref="A1:AM295"/>
  <sheetViews>
    <sheetView tabSelected="1" view="pageBreakPreview" zoomScaleNormal="98" zoomScaleSheetLayoutView="100" workbookViewId="0">
      <selection activeCell="B3" sqref="B3:E3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0.7109375" customWidth="1"/>
    <col min="6" max="8" width="12.7109375" customWidth="1"/>
    <col min="9" max="9" width="17.7109375" customWidth="1"/>
    <col min="10" max="10" width="8.7109375" customWidth="1"/>
    <col min="11" max="11" width="12.7109375" customWidth="1"/>
    <col min="12" max="12" width="8.7109375" customWidth="1"/>
    <col min="15" max="29" width="0" hidden="1" customWidth="1"/>
    <col min="30" max="30" width="147.7109375" hidden="1" customWidth="1"/>
    <col min="31" max="31" width="160.7109375" hidden="1" customWidth="1"/>
    <col min="32" max="32" width="144.7109375" hidden="1" customWidth="1"/>
    <col min="33" max="33" width="91.7109375" hidden="1" customWidth="1"/>
    <col min="34" max="38" width="0" hidden="1" customWidth="1"/>
    <col min="39" max="39" width="76.7109375" hidden="1" customWidth="1"/>
  </cols>
  <sheetData>
    <row r="1" spans="1:12" x14ac:dyDescent="0.2">
      <c r="A1" s="9"/>
      <c r="H1" s="79" t="s">
        <v>665</v>
      </c>
    </row>
    <row r="2" spans="1:12" ht="14.25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1"/>
      <c r="L2" s="11"/>
    </row>
    <row r="3" spans="1:12" ht="16.5" x14ac:dyDescent="0.25">
      <c r="A3" s="12"/>
      <c r="B3" s="102" t="s">
        <v>613</v>
      </c>
      <c r="C3" s="102"/>
      <c r="D3" s="102"/>
      <c r="E3" s="102"/>
      <c r="F3" s="11"/>
      <c r="G3" s="11"/>
      <c r="H3" s="102" t="s">
        <v>612</v>
      </c>
      <c r="I3" s="102"/>
      <c r="J3" s="102"/>
      <c r="K3" s="102"/>
      <c r="L3" s="102"/>
    </row>
    <row r="4" spans="1:12" ht="14.25" x14ac:dyDescent="0.2">
      <c r="A4" s="11"/>
      <c r="B4" s="98"/>
      <c r="C4" s="98"/>
      <c r="D4" s="98"/>
      <c r="E4" s="98"/>
      <c r="F4" s="11"/>
      <c r="G4" s="11"/>
      <c r="H4" s="98" t="s">
        <v>660</v>
      </c>
      <c r="I4" s="98"/>
      <c r="J4" s="98"/>
      <c r="K4" s="98"/>
      <c r="L4" s="98"/>
    </row>
    <row r="5" spans="1:12" ht="14.25" x14ac:dyDescent="0.2">
      <c r="A5" s="11"/>
      <c r="B5" s="11"/>
      <c r="C5" s="13"/>
      <c r="D5" s="13"/>
      <c r="E5" s="13"/>
      <c r="F5" s="11"/>
      <c r="G5" s="11"/>
      <c r="H5" s="98" t="s">
        <v>661</v>
      </c>
      <c r="I5" s="99"/>
      <c r="J5" s="99"/>
      <c r="K5" s="99"/>
      <c r="L5" s="99"/>
    </row>
    <row r="6" spans="1:12" ht="14.25" x14ac:dyDescent="0.2">
      <c r="A6" s="13"/>
      <c r="B6" s="11"/>
      <c r="C6" s="13"/>
      <c r="D6" s="13"/>
      <c r="E6" s="13"/>
      <c r="F6" s="11"/>
      <c r="G6" s="11"/>
      <c r="H6" s="98" t="s">
        <v>662</v>
      </c>
      <c r="I6" s="99"/>
      <c r="J6" s="99"/>
      <c r="K6" s="99"/>
      <c r="L6" s="99"/>
    </row>
    <row r="7" spans="1:12" ht="14.25" customHeight="1" x14ac:dyDescent="0.2">
      <c r="A7" s="14"/>
      <c r="B7" s="11"/>
      <c r="C7" s="13"/>
      <c r="D7" s="13"/>
      <c r="E7" s="13"/>
      <c r="F7" s="11"/>
      <c r="G7" s="11"/>
      <c r="H7" s="98" t="s">
        <v>663</v>
      </c>
      <c r="I7" s="99"/>
      <c r="J7" s="99"/>
      <c r="K7" s="99"/>
      <c r="L7" s="99"/>
    </row>
    <row r="8" spans="1:12" ht="14.25" x14ac:dyDescent="0.2">
      <c r="B8" s="11"/>
      <c r="C8" s="13"/>
      <c r="D8" s="13"/>
      <c r="E8" s="13"/>
      <c r="F8" s="11"/>
      <c r="G8" s="11"/>
      <c r="H8" s="13"/>
      <c r="I8" s="80"/>
      <c r="J8" s="80"/>
      <c r="K8" s="80"/>
      <c r="L8" s="80"/>
    </row>
    <row r="9" spans="1:12" ht="14.25" x14ac:dyDescent="0.2">
      <c r="B9" s="98" t="str">
        <f>CONCATENATE("______________________ ", IF([1]Source!AL12&lt;&gt;"", [1]Source!AL12, ""))</f>
        <v xml:space="preserve">______________________ </v>
      </c>
      <c r="C9" s="98"/>
      <c r="D9" s="98"/>
      <c r="E9" s="98"/>
      <c r="F9" s="11"/>
      <c r="G9" s="11"/>
      <c r="H9" s="98" t="s">
        <v>664</v>
      </c>
      <c r="I9" s="98"/>
      <c r="J9" s="98"/>
      <c r="K9" s="98"/>
      <c r="L9" s="98"/>
    </row>
    <row r="10" spans="1:12" ht="14.25" x14ac:dyDescent="0.2">
      <c r="A10" s="14"/>
      <c r="B10" s="101" t="s">
        <v>506</v>
      </c>
      <c r="C10" s="101"/>
      <c r="D10" s="101"/>
      <c r="E10" s="101"/>
      <c r="F10" s="81"/>
      <c r="G10" s="81"/>
      <c r="H10" s="101" t="s">
        <v>506</v>
      </c>
      <c r="I10" s="101"/>
      <c r="J10" s="101"/>
      <c r="K10" s="101"/>
      <c r="L10" s="101"/>
    </row>
    <row r="11" spans="1:12" ht="14.25" x14ac:dyDescent="0.2">
      <c r="A11" s="11"/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14"/>
    </row>
    <row r="12" spans="1:12" ht="14.25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spans="1:12" ht="14.25" hidden="1" x14ac:dyDescent="0.2">
      <c r="A13" s="11"/>
      <c r="B13" s="11"/>
      <c r="C13" s="11"/>
      <c r="D13" s="11"/>
      <c r="E13" s="11"/>
      <c r="F13" s="100" t="s">
        <v>507</v>
      </c>
      <c r="G13" s="100"/>
      <c r="H13" s="101" t="str">
        <f>Source!F12</f>
        <v>ТЕР</v>
      </c>
      <c r="I13" s="101"/>
      <c r="J13" s="101"/>
      <c r="K13" s="101"/>
      <c r="L13" s="14"/>
    </row>
    <row r="14" spans="1:12" ht="14.25" hidden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spans="1:12" ht="15.75" x14ac:dyDescent="0.25">
      <c r="A15" s="17"/>
      <c r="B15" s="103" t="str">
        <f>CONCATENATE("ЛОКАЛЬНАЯ СМЕТА № 3", Source!F20)</f>
        <v>ЛОКАЛЬНАЯ СМЕТА № 3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7"/>
    </row>
    <row r="16" spans="1:12" ht="14.25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31" ht="15.75" hidden="1" x14ac:dyDescent="0.25">
      <c r="A17" s="11"/>
      <c r="B17" s="103" t="str">
        <f>Source!G20</f>
        <v/>
      </c>
      <c r="C17" s="103"/>
      <c r="D17" s="103"/>
      <c r="E17" s="103"/>
      <c r="F17" s="103"/>
      <c r="G17" s="103"/>
      <c r="H17" s="103"/>
      <c r="I17" s="103"/>
      <c r="J17" s="103"/>
      <c r="K17" s="103"/>
      <c r="L17" s="14"/>
      <c r="AD17" s="18" t="str">
        <f>Source!G20</f>
        <v/>
      </c>
    </row>
    <row r="18" spans="1:31" ht="14.25" hidden="1" x14ac:dyDescent="0.2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pans="1:31" ht="18" x14ac:dyDescent="0.25">
      <c r="A19" s="11" t="s">
        <v>508</v>
      </c>
      <c r="B19" s="104" t="str">
        <f>Source!G12</f>
        <v>Установка реклоузеров на ВЛ-6 кВ на линии №15 в п. Сосновка, Заволжье</v>
      </c>
      <c r="C19" s="104"/>
      <c r="D19" s="104"/>
      <c r="E19" s="104"/>
      <c r="F19" s="104"/>
      <c r="G19" s="104"/>
      <c r="H19" s="104"/>
      <c r="I19" s="104"/>
      <c r="J19" s="104"/>
      <c r="K19" s="104"/>
      <c r="L19" s="20"/>
      <c r="AD19" s="19" t="str">
        <f>Source!G12</f>
        <v>Установка реклоузеров на ВЛ-6 кВ на линии №15 в п. Сосновка, Заволжье</v>
      </c>
    </row>
    <row r="20" spans="1:31" ht="14.25" x14ac:dyDescent="0.2">
      <c r="A20" s="11"/>
      <c r="B20" s="96" t="s">
        <v>509</v>
      </c>
      <c r="C20" s="96"/>
      <c r="D20" s="96"/>
      <c r="E20" s="96"/>
      <c r="F20" s="96"/>
      <c r="G20" s="96"/>
      <c r="H20" s="96"/>
      <c r="I20" s="96"/>
      <c r="J20" s="96"/>
      <c r="K20" s="96"/>
      <c r="L20" s="14"/>
    </row>
    <row r="21" spans="1:31" ht="14.2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31" ht="14.25" hidden="1" x14ac:dyDescent="0.2">
      <c r="A22" s="85" t="str">
        <f>CONCATENATE("Основание: ", Source!J20)</f>
        <v xml:space="preserve">Основание: 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AE22" s="15" t="str">
        <f>CONCATENATE("Основание: ", Source!J20)</f>
        <v xml:space="preserve">Основание: </v>
      </c>
    </row>
    <row r="23" spans="1:31" ht="14.25" hidden="1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1:31" ht="14.25" hidden="1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31" ht="14.25" x14ac:dyDescent="0.2">
      <c r="A25" s="11"/>
      <c r="B25" s="11"/>
      <c r="C25" s="11"/>
      <c r="D25" s="11"/>
      <c r="E25" s="21"/>
      <c r="F25" s="21"/>
      <c r="G25" s="97" t="s">
        <v>510</v>
      </c>
      <c r="H25" s="97"/>
      <c r="I25" s="97" t="s">
        <v>511</v>
      </c>
      <c r="J25" s="97"/>
      <c r="K25" s="11"/>
      <c r="L25" s="11"/>
    </row>
    <row r="26" spans="1:31" ht="15" x14ac:dyDescent="0.25">
      <c r="A26" s="11"/>
      <c r="B26" s="11"/>
      <c r="C26" s="90" t="s">
        <v>512</v>
      </c>
      <c r="D26" s="90"/>
      <c r="E26" s="90"/>
      <c r="F26" s="90"/>
      <c r="G26" s="86">
        <f>SUM(O37:O263)/1000</f>
        <v>11.605110000000002</v>
      </c>
      <c r="H26" s="86"/>
      <c r="I26" s="86">
        <f>ROUND((Source!F245/1000), 2)</f>
        <v>171.59</v>
      </c>
      <c r="J26" s="86"/>
      <c r="K26" s="93" t="s">
        <v>513</v>
      </c>
      <c r="L26" s="93"/>
    </row>
    <row r="27" spans="1:31" ht="14.25" x14ac:dyDescent="0.2">
      <c r="A27" s="11"/>
      <c r="B27" s="11"/>
      <c r="C27" s="95" t="s">
        <v>514</v>
      </c>
      <c r="D27" s="95"/>
      <c r="E27" s="95"/>
      <c r="F27" s="95"/>
      <c r="G27" s="86">
        <f>SUM(W37:W263)/1000</f>
        <v>9.8262700000000027</v>
      </c>
      <c r="H27" s="86"/>
      <c r="I27" s="86">
        <f>ROUND((Source!F227)/1000, 2)</f>
        <v>147.97999999999999</v>
      </c>
      <c r="J27" s="86"/>
      <c r="K27" s="93" t="s">
        <v>513</v>
      </c>
      <c r="L27" s="93"/>
    </row>
    <row r="28" spans="1:31" ht="14.25" x14ac:dyDescent="0.2">
      <c r="A28" s="11"/>
      <c r="B28" s="11"/>
      <c r="C28" s="95" t="s">
        <v>515</v>
      </c>
      <c r="D28" s="95"/>
      <c r="E28" s="95"/>
      <c r="F28" s="95"/>
      <c r="G28" s="86">
        <f>SUM(X37:X263)/1000</f>
        <v>1.4645699999999999</v>
      </c>
      <c r="H28" s="86"/>
      <c r="I28" s="86">
        <f>ROUND((Source!F228)/1000, 2)</f>
        <v>12.52</v>
      </c>
      <c r="J28" s="86"/>
      <c r="K28" s="93" t="s">
        <v>513</v>
      </c>
      <c r="L28" s="93"/>
    </row>
    <row r="29" spans="1:31" ht="14.25" x14ac:dyDescent="0.2">
      <c r="A29" s="11"/>
      <c r="B29" s="11"/>
      <c r="C29" s="95" t="s">
        <v>516</v>
      </c>
      <c r="D29" s="95"/>
      <c r="E29" s="95"/>
      <c r="F29" s="95"/>
      <c r="G29" s="86">
        <f>SUM(Y37:Y263)/1000</f>
        <v>0</v>
      </c>
      <c r="H29" s="86"/>
      <c r="I29" s="86">
        <f>ROUND((Source!F219)/1000, 2)</f>
        <v>0</v>
      </c>
      <c r="J29" s="86"/>
      <c r="K29" s="93" t="s">
        <v>513</v>
      </c>
      <c r="L29" s="93"/>
    </row>
    <row r="30" spans="1:31" ht="14.25" x14ac:dyDescent="0.2">
      <c r="A30" s="11"/>
      <c r="B30" s="11"/>
      <c r="C30" s="95" t="s">
        <v>517</v>
      </c>
      <c r="D30" s="95"/>
      <c r="E30" s="95"/>
      <c r="F30" s="95"/>
      <c r="G30" s="86">
        <f>SUM(Z37:Z263)/1000</f>
        <v>0.31426999999999999</v>
      </c>
      <c r="H30" s="86"/>
      <c r="I30" s="86">
        <f>ROUND((Source!F229+Source!F230)/1000, 2)</f>
        <v>11.08</v>
      </c>
      <c r="J30" s="86"/>
      <c r="K30" s="93" t="s">
        <v>513</v>
      </c>
      <c r="L30" s="93"/>
    </row>
    <row r="31" spans="1:31" ht="15" x14ac:dyDescent="0.25">
      <c r="A31" s="11"/>
      <c r="B31" s="11"/>
      <c r="C31" s="90" t="s">
        <v>518</v>
      </c>
      <c r="D31" s="90"/>
      <c r="E31" s="90"/>
      <c r="F31" s="90"/>
      <c r="G31" s="86">
        <f>I31</f>
        <v>88.7540324</v>
      </c>
      <c r="H31" s="86"/>
      <c r="I31" s="86">
        <f>(Source!F232+Source!F233)</f>
        <v>88.7540324</v>
      </c>
      <c r="J31" s="86"/>
      <c r="K31" s="93" t="s">
        <v>388</v>
      </c>
      <c r="L31" s="93"/>
    </row>
    <row r="32" spans="1:31" ht="15" x14ac:dyDescent="0.25">
      <c r="A32" s="11"/>
      <c r="B32" s="11"/>
      <c r="C32" s="90" t="s">
        <v>519</v>
      </c>
      <c r="D32" s="90"/>
      <c r="E32" s="90"/>
      <c r="F32" s="90"/>
      <c r="G32" s="86">
        <f>SUM(R37:R263)/1000</f>
        <v>0.82171000000000005</v>
      </c>
      <c r="H32" s="86"/>
      <c r="I32" s="86">
        <f>(Source!F239+ Source!F241)/1000</f>
        <v>28.981830000000002</v>
      </c>
      <c r="J32" s="86"/>
      <c r="K32" s="93" t="s">
        <v>513</v>
      </c>
      <c r="L32" s="93"/>
    </row>
    <row r="33" spans="1:33" ht="14.2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</row>
    <row r="34" spans="1:33" ht="14.25" x14ac:dyDescent="0.2">
      <c r="A34" s="94" t="s">
        <v>532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</row>
    <row r="35" spans="1:33" ht="57" x14ac:dyDescent="0.2">
      <c r="A35" s="24" t="s">
        <v>520</v>
      </c>
      <c r="B35" s="24" t="s">
        <v>521</v>
      </c>
      <c r="C35" s="24" t="s">
        <v>522</v>
      </c>
      <c r="D35" s="24" t="s">
        <v>523</v>
      </c>
      <c r="E35" s="24" t="s">
        <v>524</v>
      </c>
      <c r="F35" s="24" t="s">
        <v>525</v>
      </c>
      <c r="G35" s="24" t="s">
        <v>526</v>
      </c>
      <c r="H35" s="24" t="s">
        <v>527</v>
      </c>
      <c r="I35" s="24" t="s">
        <v>528</v>
      </c>
      <c r="J35" s="24" t="s">
        <v>529</v>
      </c>
      <c r="K35" s="24" t="s">
        <v>530</v>
      </c>
      <c r="L35" s="24" t="s">
        <v>531</v>
      </c>
    </row>
    <row r="36" spans="1:33" ht="14.25" x14ac:dyDescent="0.2">
      <c r="A36" s="25">
        <v>1</v>
      </c>
      <c r="B36" s="25">
        <v>2</v>
      </c>
      <c r="C36" s="25">
        <v>3</v>
      </c>
      <c r="D36" s="25">
        <v>4</v>
      </c>
      <c r="E36" s="25">
        <v>5</v>
      </c>
      <c r="F36" s="25">
        <v>6</v>
      </c>
      <c r="G36" s="25">
        <v>7</v>
      </c>
      <c r="H36" s="25">
        <v>8</v>
      </c>
      <c r="I36" s="25">
        <v>9</v>
      </c>
      <c r="J36" s="25">
        <v>10</v>
      </c>
      <c r="K36" s="25">
        <v>11</v>
      </c>
      <c r="L36" s="26">
        <v>12</v>
      </c>
    </row>
    <row r="38" spans="1:33" ht="16.5" x14ac:dyDescent="0.25">
      <c r="A38" s="91" t="str">
        <f>CONCATENATE("Раздел: ", Source!G24)</f>
        <v>Раздел: Демонтажные работы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AE38" s="27" t="str">
        <f>CONCATENATE("Раздел: ", Source!G24)</f>
        <v>Раздел: Демонтажные работы</v>
      </c>
    </row>
    <row r="39" spans="1:33" ht="42.75" x14ac:dyDescent="0.2">
      <c r="A39" s="28" t="str">
        <f>Source!E28</f>
        <v>1</v>
      </c>
      <c r="B39" s="29" t="str">
        <f>Source!F28</f>
        <v>33-04-040-3</v>
      </c>
      <c r="C39" s="15" t="str">
        <f>Source!G28</f>
        <v>Демонтаж 3-х проводов ВЛ 6-10 кВ</v>
      </c>
      <c r="D39" s="31" t="str">
        <f>Source!H28</f>
        <v>1 опора (3 провода)</v>
      </c>
      <c r="E39" s="10">
        <f>Source!I28</f>
        <v>1</v>
      </c>
      <c r="F39" s="22">
        <f>IF(Source!AK28&lt;&gt; 0, Source!AK28,Source!AL28 + Source!AM28 + Source!AO28)</f>
        <v>63.89</v>
      </c>
      <c r="G39" s="16"/>
      <c r="H39" s="22"/>
      <c r="I39" s="16" t="str">
        <f>Source!BO28</f>
        <v>33-04-040-3</v>
      </c>
      <c r="J39" s="16"/>
      <c r="K39" s="22"/>
      <c r="L39" s="32"/>
      <c r="S39">
        <f>ROUND((Source!FX28/100)*((ROUND(Source!AF28*Source!I28, 2)+ROUND(Source!AE28*Source!I28, 2))), 2)</f>
        <v>20.84</v>
      </c>
      <c r="T39">
        <f>Source!X28</f>
        <v>734.92</v>
      </c>
      <c r="U39">
        <f>ROUND((Source!FY28/100)*((ROUND(Source!AF28*Source!I28, 2)+ROUND(Source!AE28*Source!I28, 2))), 2)</f>
        <v>12.14</v>
      </c>
      <c r="V39">
        <f>Source!Y28</f>
        <v>428.11</v>
      </c>
    </row>
    <row r="40" spans="1:33" ht="14.25" x14ac:dyDescent="0.2">
      <c r="A40" s="28"/>
      <c r="B40" s="29"/>
      <c r="C40" s="15" t="s">
        <v>533</v>
      </c>
      <c r="D40" s="31"/>
      <c r="E40" s="10"/>
      <c r="F40" s="22">
        <f>Source!AO28</f>
        <v>16.18</v>
      </c>
      <c r="G40" s="16" t="str">
        <f>Source!DG28</f>
        <v/>
      </c>
      <c r="H40" s="22">
        <f>ROUND(Source!AF28*Source!I28, 2)</f>
        <v>16.18</v>
      </c>
      <c r="I40" s="16"/>
      <c r="J40" s="16">
        <f>IF(Source!BA28&lt;&gt; 0, Source!BA28, 1)</f>
        <v>35.270000000000003</v>
      </c>
      <c r="K40" s="22">
        <f>Source!S28</f>
        <v>570.66999999999996</v>
      </c>
      <c r="L40" s="32"/>
      <c r="R40">
        <f>H40</f>
        <v>16.18</v>
      </c>
    </row>
    <row r="41" spans="1:33" ht="14.25" x14ac:dyDescent="0.2">
      <c r="A41" s="28"/>
      <c r="B41" s="29"/>
      <c r="C41" s="15" t="s">
        <v>45</v>
      </c>
      <c r="D41" s="31"/>
      <c r="E41" s="10"/>
      <c r="F41" s="22">
        <f>Source!AM28</f>
        <v>47.71</v>
      </c>
      <c r="G41" s="16" t="str">
        <f>Source!DE28</f>
        <v/>
      </c>
      <c r="H41" s="22">
        <f>ROUND((((Source!ET28)-(Source!EU28))+Source!AE28)*Source!I28, 2)</f>
        <v>47.71</v>
      </c>
      <c r="I41" s="16"/>
      <c r="J41" s="16">
        <f>IF(Source!BB28&lt;&gt; 0, Source!BB28, 1)</f>
        <v>11.21</v>
      </c>
      <c r="K41" s="22">
        <f>Source!Q28</f>
        <v>534.83000000000004</v>
      </c>
      <c r="L41" s="32"/>
    </row>
    <row r="42" spans="1:33" ht="14.25" x14ac:dyDescent="0.2">
      <c r="A42" s="28"/>
      <c r="B42" s="29"/>
      <c r="C42" s="15" t="s">
        <v>534</v>
      </c>
      <c r="D42" s="31"/>
      <c r="E42" s="10"/>
      <c r="F42" s="22">
        <f>Source!AN28</f>
        <v>4.05</v>
      </c>
      <c r="G42" s="16" t="str">
        <f>Source!DF28</f>
        <v/>
      </c>
      <c r="H42" s="22">
        <f>ROUND(Source!AE28*Source!I28, 2)</f>
        <v>4.05</v>
      </c>
      <c r="I42" s="16"/>
      <c r="J42" s="16">
        <f>IF(Source!BS28&lt;&gt; 0, Source!BS28, 1)</f>
        <v>35.270000000000003</v>
      </c>
      <c r="K42" s="22">
        <f>Source!R28</f>
        <v>142.84</v>
      </c>
      <c r="L42" s="32"/>
      <c r="R42">
        <f>H42</f>
        <v>4.05</v>
      </c>
    </row>
    <row r="43" spans="1:33" ht="14.25" x14ac:dyDescent="0.2">
      <c r="A43" s="28"/>
      <c r="B43" s="29"/>
      <c r="C43" s="15" t="s">
        <v>535</v>
      </c>
      <c r="D43" s="31" t="s">
        <v>536</v>
      </c>
      <c r="E43" s="10">
        <f>Source!BZ28</f>
        <v>103</v>
      </c>
      <c r="F43" s="33"/>
      <c r="G43" s="16"/>
      <c r="H43" s="22">
        <f>SUM(S39:S45)</f>
        <v>20.84</v>
      </c>
      <c r="I43" s="34"/>
      <c r="J43" s="15">
        <f>Source!AT28</f>
        <v>103</v>
      </c>
      <c r="K43" s="22">
        <f>SUM(T39:T45)</f>
        <v>734.92</v>
      </c>
      <c r="L43" s="32"/>
    </row>
    <row r="44" spans="1:33" ht="14.25" x14ac:dyDescent="0.2">
      <c r="A44" s="28"/>
      <c r="B44" s="29"/>
      <c r="C44" s="15" t="s">
        <v>537</v>
      </c>
      <c r="D44" s="31" t="s">
        <v>536</v>
      </c>
      <c r="E44" s="10">
        <f>Source!CA28</f>
        <v>60</v>
      </c>
      <c r="F44" s="33"/>
      <c r="G44" s="16"/>
      <c r="H44" s="22">
        <f>SUM(U39:U45)</f>
        <v>12.14</v>
      </c>
      <c r="I44" s="34"/>
      <c r="J44" s="15">
        <f>Source!AU28</f>
        <v>60</v>
      </c>
      <c r="K44" s="22">
        <f>SUM(V39:V45)</f>
        <v>428.11</v>
      </c>
      <c r="L44" s="32"/>
    </row>
    <row r="45" spans="1:33" ht="14.25" x14ac:dyDescent="0.2">
      <c r="A45" s="38"/>
      <c r="B45" s="39"/>
      <c r="C45" s="40" t="s">
        <v>538</v>
      </c>
      <c r="D45" s="41" t="s">
        <v>539</v>
      </c>
      <c r="E45" s="42">
        <f>Source!AQ28</f>
        <v>2.0299999999999998</v>
      </c>
      <c r="F45" s="43"/>
      <c r="G45" s="44" t="str">
        <f>Source!DI28</f>
        <v/>
      </c>
      <c r="H45" s="43"/>
      <c r="I45" s="44"/>
      <c r="J45" s="44"/>
      <c r="K45" s="43"/>
      <c r="L45" s="45">
        <f>Source!U28</f>
        <v>2.0299999999999998</v>
      </c>
    </row>
    <row r="46" spans="1:33" ht="15" x14ac:dyDescent="0.25">
      <c r="G46" s="89">
        <f>ROUND(Source!AC28*Source!I28, 2)+ROUND(Source!AF28*Source!I28, 2)+ROUND((((Source!ET28)-(Source!EU28))+Source!AE28)*Source!I28, 2)+SUM(H43:H44)</f>
        <v>96.87</v>
      </c>
      <c r="H46" s="89"/>
      <c r="J46" s="89">
        <f>Source!O28+SUM(K43:K44)</f>
        <v>2268.5299999999997</v>
      </c>
      <c r="K46" s="89"/>
      <c r="L46" s="37">
        <f>Source!U28</f>
        <v>2.0299999999999998</v>
      </c>
      <c r="O46" s="36">
        <f>G46</f>
        <v>96.87</v>
      </c>
      <c r="P46" s="36">
        <f>J46</f>
        <v>2268.5299999999997</v>
      </c>
      <c r="Q46" s="36">
        <f>L46</f>
        <v>2.0299999999999998</v>
      </c>
      <c r="W46">
        <f>IF(Source!BI28&lt;=1,G46, 0)</f>
        <v>96.87</v>
      </c>
      <c r="X46">
        <f>IF(Source!BI28=2,G46, 0)</f>
        <v>0</v>
      </c>
      <c r="Y46">
        <f>IF(Source!BI28=3,G46, 0)</f>
        <v>0</v>
      </c>
      <c r="Z46">
        <f>IF(Source!BI28=4,G46, 0)</f>
        <v>0</v>
      </c>
    </row>
    <row r="48" spans="1:33" ht="15" x14ac:dyDescent="0.25">
      <c r="A48" s="88" t="str">
        <f>CONCATENATE("Итого по разделу: ", Source!G30)</f>
        <v>Итого по разделу: Демонтажные работы</v>
      </c>
      <c r="B48" s="88"/>
      <c r="C48" s="88"/>
      <c r="D48" s="88"/>
      <c r="E48" s="88"/>
      <c r="F48" s="88"/>
      <c r="G48" s="89">
        <f>SUM(O38:O47)</f>
        <v>96.87</v>
      </c>
      <c r="H48" s="90"/>
      <c r="I48" s="46"/>
      <c r="J48" s="89">
        <f>SUM(P38:P47)</f>
        <v>2268.5299999999997</v>
      </c>
      <c r="K48" s="90"/>
      <c r="L48" s="37">
        <f>SUM(Q38:Q47)</f>
        <v>2.0299999999999998</v>
      </c>
      <c r="AG48" s="47" t="str">
        <f>CONCATENATE("Итого по разделу: ", Source!G30)</f>
        <v>Итого по разделу: Демонтажные работы</v>
      </c>
    </row>
    <row r="50" spans="1:39" ht="14.25" x14ac:dyDescent="0.2">
      <c r="C50" s="15" t="str">
        <f>Source!H59</f>
        <v>ОЗП</v>
      </c>
      <c r="J50" s="86">
        <f>Source!F59</f>
        <v>570.66999999999996</v>
      </c>
      <c r="K50" s="86"/>
    </row>
    <row r="51" spans="1:39" ht="14.25" x14ac:dyDescent="0.2">
      <c r="C51" s="15" t="str">
        <f>Source!H60</f>
        <v>ЭММ, в т.ч. ЗПМ</v>
      </c>
      <c r="J51" s="86">
        <f>Source!F60</f>
        <v>534.83000000000004</v>
      </c>
      <c r="K51" s="86"/>
    </row>
    <row r="52" spans="1:39" ht="14.25" x14ac:dyDescent="0.2">
      <c r="C52" s="15" t="str">
        <f>Source!H61</f>
        <v>ЗПМ (справочно)</v>
      </c>
      <c r="J52" s="86">
        <f>Source!F61</f>
        <v>142.84</v>
      </c>
      <c r="K52" s="86"/>
    </row>
    <row r="53" spans="1:39" ht="14.25" x14ac:dyDescent="0.2">
      <c r="C53" s="15" t="str">
        <f>Source!H62</f>
        <v>Стоимость материалов</v>
      </c>
      <c r="J53" s="86">
        <f>Source!F62</f>
        <v>0</v>
      </c>
      <c r="K53" s="86"/>
    </row>
    <row r="54" spans="1:39" ht="14.25" x14ac:dyDescent="0.2">
      <c r="C54" s="15" t="str">
        <f>Source!H63</f>
        <v>НР</v>
      </c>
      <c r="J54" s="86">
        <f>Source!F63</f>
        <v>734.92</v>
      </c>
      <c r="K54" s="86"/>
    </row>
    <row r="55" spans="1:39" ht="14.25" x14ac:dyDescent="0.2">
      <c r="C55" s="15" t="str">
        <f>Source!H64</f>
        <v>СП</v>
      </c>
      <c r="J55" s="86">
        <f>Source!F64</f>
        <v>428.11</v>
      </c>
      <c r="K55" s="86"/>
    </row>
    <row r="56" spans="1:39" ht="14.25" x14ac:dyDescent="0.2">
      <c r="C56" s="15" t="str">
        <f>Source!H65</f>
        <v>Итого</v>
      </c>
      <c r="D56" s="84" t="str">
        <f>"="&amp;Source!F59&amp;"+"&amp;""&amp;Source!F60&amp;"+"&amp;""&amp;Source!F62&amp;"+"&amp;""&amp;Source!F63&amp;"+"&amp;""&amp;Source!F64&amp;""</f>
        <v>=570,67+534,83+0+734,92+428,11</v>
      </c>
      <c r="E56" s="85"/>
      <c r="F56" s="85"/>
      <c r="G56" s="85"/>
      <c r="H56" s="85"/>
      <c r="I56" s="85"/>
      <c r="J56" s="86">
        <f>Source!F65</f>
        <v>2268.5300000000002</v>
      </c>
      <c r="K56" s="86"/>
      <c r="AM56" s="48" t="str">
        <f>"="&amp;Source!F59&amp;"+"&amp;""&amp;Source!F60&amp;"+"&amp;""&amp;Source!F62&amp;"+"&amp;""&amp;Source!F63&amp;"+"&amp;""&amp;Source!F64&amp;""</f>
        <v>=570,67+534,83+0+734,92+428,11</v>
      </c>
    </row>
    <row r="57" spans="1:39" ht="14.25" x14ac:dyDescent="0.2">
      <c r="C57" s="15" t="str">
        <f>Source!H66</f>
        <v>НДС 20%</v>
      </c>
      <c r="D57" s="84" t="str">
        <f>"="&amp;Source!F65&amp;"*"&amp;"0,2"</f>
        <v>=2268,53*0,2</v>
      </c>
      <c r="E57" s="85"/>
      <c r="F57" s="85"/>
      <c r="G57" s="85"/>
      <c r="H57" s="85"/>
      <c r="I57" s="85"/>
      <c r="J57" s="86">
        <f>Source!F66</f>
        <v>453.71</v>
      </c>
      <c r="K57" s="86"/>
      <c r="AM57" s="48" t="str">
        <f>"="&amp;Source!F65&amp;"*"&amp;"0,2"</f>
        <v>=2268,53*0,2</v>
      </c>
    </row>
    <row r="58" spans="1:39" ht="14.25" x14ac:dyDescent="0.2">
      <c r="C58" s="15" t="str">
        <f>Source!H67</f>
        <v>Всего с НДС</v>
      </c>
      <c r="D58" s="84" t="str">
        <f>"="&amp;Source!F65&amp;"+"&amp;""&amp;Source!F66&amp;""</f>
        <v>=2268,53+453,71</v>
      </c>
      <c r="E58" s="85"/>
      <c r="F58" s="85"/>
      <c r="G58" s="85"/>
      <c r="H58" s="85"/>
      <c r="I58" s="85"/>
      <c r="J58" s="86">
        <f>Source!F67</f>
        <v>2722.24</v>
      </c>
      <c r="K58" s="86"/>
      <c r="AM58" s="48" t="str">
        <f>"="&amp;Source!F65&amp;"+"&amp;""&amp;Source!F66&amp;""</f>
        <v>=2268,53+453,71</v>
      </c>
    </row>
    <row r="61" spans="1:39" ht="16.5" x14ac:dyDescent="0.25">
      <c r="A61" s="91" t="str">
        <f>CONCATENATE("Раздел: ", Source!G69)</f>
        <v>Раздел: Монтаж реклоузера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AE61" s="27" t="str">
        <f>CONCATENATE("Раздел: ", Source!G69)</f>
        <v>Раздел: Монтаж реклоузера</v>
      </c>
    </row>
    <row r="62" spans="1:39" ht="42.75" x14ac:dyDescent="0.2">
      <c r="A62" s="28" t="str">
        <f>Source!E73</f>
        <v>2</v>
      </c>
      <c r="B62" s="29" t="str">
        <f>Source!F73</f>
        <v>33-04-016-2</v>
      </c>
      <c r="C62" s="15" t="str">
        <f>Source!G73</f>
        <v>Развозка конструкций и материалов опор ВЛ 0,38-10 кВ по трассе одностоечных железобетонных опор</v>
      </c>
      <c r="D62" s="31" t="str">
        <f>Source!H73</f>
        <v>1 ОПОРА</v>
      </c>
      <c r="E62" s="10">
        <f>Source!I73</f>
        <v>2</v>
      </c>
      <c r="F62" s="22">
        <f>IF(Source!AK73&lt;&gt; 0, Source!AK73,Source!AL73 + Source!AM73 + Source!AO73)</f>
        <v>51.54</v>
      </c>
      <c r="G62" s="16"/>
      <c r="H62" s="22"/>
      <c r="I62" s="16" t="str">
        <f>Source!BO73</f>
        <v>33-04-016-2</v>
      </c>
      <c r="J62" s="16"/>
      <c r="K62" s="22"/>
      <c r="L62" s="32"/>
      <c r="S62">
        <f>ROUND((Source!FX73/100)*((ROUND(Source!AF73*Source!I73, 2)+ROUND(Source!AE73*Source!I73, 2))), 2)</f>
        <v>18.89</v>
      </c>
      <c r="T62">
        <f>Source!X73</f>
        <v>666.26</v>
      </c>
      <c r="U62">
        <f>ROUND((Source!FY73/100)*((ROUND(Source!AF73*Source!I73, 2)+ROUND(Source!AE73*Source!I73, 2))), 2)</f>
        <v>11</v>
      </c>
      <c r="V62">
        <f>Source!Y73</f>
        <v>388.11</v>
      </c>
    </row>
    <row r="63" spans="1:39" ht="14.25" x14ac:dyDescent="0.2">
      <c r="A63" s="28"/>
      <c r="B63" s="29"/>
      <c r="C63" s="15" t="s">
        <v>533</v>
      </c>
      <c r="D63" s="31"/>
      <c r="E63" s="10"/>
      <c r="F63" s="22">
        <f>Source!AO73</f>
        <v>3.36</v>
      </c>
      <c r="G63" s="16" t="str">
        <f>Source!DG73</f>
        <v/>
      </c>
      <c r="H63" s="22">
        <f>ROUND(Source!AF73*Source!I73, 2)</f>
        <v>6.72</v>
      </c>
      <c r="I63" s="16"/>
      <c r="J63" s="16">
        <f>IF(Source!BA73&lt;&gt; 0, Source!BA73, 1)</f>
        <v>35.270000000000003</v>
      </c>
      <c r="K63" s="22">
        <f>Source!S73</f>
        <v>237.01</v>
      </c>
      <c r="L63" s="32"/>
      <c r="R63">
        <f>H63</f>
        <v>6.72</v>
      </c>
    </row>
    <row r="64" spans="1:39" ht="14.25" x14ac:dyDescent="0.2">
      <c r="A64" s="28"/>
      <c r="B64" s="29"/>
      <c r="C64" s="15" t="s">
        <v>45</v>
      </c>
      <c r="D64" s="31"/>
      <c r="E64" s="10"/>
      <c r="F64" s="22">
        <f>Source!AM73</f>
        <v>48.18</v>
      </c>
      <c r="G64" s="16" t="str">
        <f>Source!DE73</f>
        <v/>
      </c>
      <c r="H64" s="22">
        <f>ROUND((((Source!ET73)-(Source!EU73))+Source!AE73)*Source!I73, 2)</f>
        <v>96.36</v>
      </c>
      <c r="I64" s="16"/>
      <c r="J64" s="16">
        <f>IF(Source!BB73&lt;&gt; 0, Source!BB73, 1)</f>
        <v>12.39</v>
      </c>
      <c r="K64" s="22">
        <f>Source!Q73</f>
        <v>1193.9000000000001</v>
      </c>
      <c r="L64" s="32"/>
    </row>
    <row r="65" spans="1:26" ht="14.25" x14ac:dyDescent="0.2">
      <c r="A65" s="28"/>
      <c r="B65" s="29"/>
      <c r="C65" s="15" t="s">
        <v>534</v>
      </c>
      <c r="D65" s="31"/>
      <c r="E65" s="10"/>
      <c r="F65" s="22">
        <f>Source!AN73</f>
        <v>5.81</v>
      </c>
      <c r="G65" s="16" t="str">
        <f>Source!DF73</f>
        <v/>
      </c>
      <c r="H65" s="22">
        <f>ROUND(Source!AE73*Source!I73, 2)</f>
        <v>11.62</v>
      </c>
      <c r="I65" s="16"/>
      <c r="J65" s="16">
        <f>IF(Source!BS73&lt;&gt; 0, Source!BS73, 1)</f>
        <v>35.270000000000003</v>
      </c>
      <c r="K65" s="22">
        <f>Source!R73</f>
        <v>409.84</v>
      </c>
      <c r="L65" s="32"/>
      <c r="R65">
        <f>H65</f>
        <v>11.62</v>
      </c>
    </row>
    <row r="66" spans="1:26" ht="14.25" x14ac:dyDescent="0.2">
      <c r="A66" s="28"/>
      <c r="B66" s="29"/>
      <c r="C66" s="15" t="s">
        <v>535</v>
      </c>
      <c r="D66" s="31" t="s">
        <v>536</v>
      </c>
      <c r="E66" s="10">
        <f>Source!BZ73</f>
        <v>103</v>
      </c>
      <c r="F66" s="33"/>
      <c r="G66" s="16"/>
      <c r="H66" s="22">
        <f>SUM(S62:S68)</f>
        <v>18.89</v>
      </c>
      <c r="I66" s="34"/>
      <c r="J66" s="15">
        <f>Source!AT73</f>
        <v>103</v>
      </c>
      <c r="K66" s="22">
        <f>SUM(T62:T68)</f>
        <v>666.26</v>
      </c>
      <c r="L66" s="32"/>
    </row>
    <row r="67" spans="1:26" ht="14.25" x14ac:dyDescent="0.2">
      <c r="A67" s="28"/>
      <c r="B67" s="29"/>
      <c r="C67" s="15" t="s">
        <v>537</v>
      </c>
      <c r="D67" s="31" t="s">
        <v>536</v>
      </c>
      <c r="E67" s="10">
        <f>Source!CA73</f>
        <v>60</v>
      </c>
      <c r="F67" s="33"/>
      <c r="G67" s="16"/>
      <c r="H67" s="22">
        <f>SUM(U62:U68)</f>
        <v>11</v>
      </c>
      <c r="I67" s="34"/>
      <c r="J67" s="15">
        <f>Source!AU73</f>
        <v>60</v>
      </c>
      <c r="K67" s="22">
        <f>SUM(V62:V68)</f>
        <v>388.11</v>
      </c>
      <c r="L67" s="32"/>
    </row>
    <row r="68" spans="1:26" ht="14.25" x14ac:dyDescent="0.2">
      <c r="A68" s="38"/>
      <c r="B68" s="39"/>
      <c r="C68" s="40" t="s">
        <v>538</v>
      </c>
      <c r="D68" s="41" t="s">
        <v>539</v>
      </c>
      <c r="E68" s="42">
        <f>Source!AQ73</f>
        <v>0.44</v>
      </c>
      <c r="F68" s="43"/>
      <c r="G68" s="44" t="str">
        <f>Source!DI73</f>
        <v/>
      </c>
      <c r="H68" s="43"/>
      <c r="I68" s="44"/>
      <c r="J68" s="44"/>
      <c r="K68" s="43"/>
      <c r="L68" s="45">
        <f>Source!U73</f>
        <v>0.88</v>
      </c>
    </row>
    <row r="69" spans="1:26" ht="15" x14ac:dyDescent="0.25">
      <c r="G69" s="89">
        <f>ROUND(Source!AC73*Source!I73, 2)+ROUND(Source!AF73*Source!I73, 2)+ROUND((((Source!ET73)-(Source!EU73))+Source!AE73)*Source!I73, 2)+SUM(H66:H67)</f>
        <v>132.97</v>
      </c>
      <c r="H69" s="89"/>
      <c r="J69" s="89">
        <f>Source!O73+SUM(K66:K67)</f>
        <v>2485.2799999999997</v>
      </c>
      <c r="K69" s="89"/>
      <c r="L69" s="37">
        <f>Source!U73</f>
        <v>0.88</v>
      </c>
      <c r="O69" s="36">
        <f>G69</f>
        <v>132.97</v>
      </c>
      <c r="P69" s="36">
        <f>J69</f>
        <v>2485.2799999999997</v>
      </c>
      <c r="Q69" s="36">
        <f>L69</f>
        <v>0.88</v>
      </c>
      <c r="W69">
        <f>IF(Source!BI73&lt;=1,G69, 0)</f>
        <v>132.97</v>
      </c>
      <c r="X69">
        <f>IF(Source!BI73=2,G69, 0)</f>
        <v>0</v>
      </c>
      <c r="Y69">
        <f>IF(Source!BI73=3,G69, 0)</f>
        <v>0</v>
      </c>
      <c r="Z69">
        <f>IF(Source!BI73=4,G69, 0)</f>
        <v>0</v>
      </c>
    </row>
    <row r="70" spans="1:26" ht="28.5" x14ac:dyDescent="0.2">
      <c r="A70" s="28" t="str">
        <f>Source!E74</f>
        <v>3</v>
      </c>
      <c r="B70" s="29" t="str">
        <f>Source!F74</f>
        <v>м08-01-087-3</v>
      </c>
      <c r="C70" s="15" t="str">
        <f>Source!G74</f>
        <v>Металлические конструкции</v>
      </c>
      <c r="D70" s="31" t="str">
        <f>Source!H74</f>
        <v>1 Т</v>
      </c>
      <c r="E70" s="10">
        <f>Source!I74</f>
        <v>2.8459999999999999E-2</v>
      </c>
      <c r="F70" s="22">
        <f>IF(Source!AK74&lt;&gt; 0, Source!AK74,Source!AL74 + Source!AM74 + Source!AO74)</f>
        <v>13270.76</v>
      </c>
      <c r="G70" s="16"/>
      <c r="H70" s="22"/>
      <c r="I70" s="16" t="str">
        <f>Source!BO74</f>
        <v>м08-01-087-3</v>
      </c>
      <c r="J70" s="16"/>
      <c r="K70" s="22"/>
      <c r="L70" s="32"/>
      <c r="S70">
        <f>ROUND((Source!FX74/100)*((ROUND(Source!AF74*Source!I74, 2)+ROUND(Source!AE74*Source!I74, 2))), 2)</f>
        <v>16.010000000000002</v>
      </c>
      <c r="T70">
        <f>Source!X74</f>
        <v>564.96</v>
      </c>
      <c r="U70">
        <f>ROUND((Source!FY74/100)*((ROUND(Source!AF74*Source!I74, 2)+ROUND(Source!AE74*Source!I74, 2))), 2)</f>
        <v>8.42</v>
      </c>
      <c r="V70">
        <f>Source!Y74</f>
        <v>297.04000000000002</v>
      </c>
    </row>
    <row r="71" spans="1:26" ht="14.25" x14ac:dyDescent="0.2">
      <c r="A71" s="28"/>
      <c r="B71" s="29"/>
      <c r="C71" s="15" t="s">
        <v>533</v>
      </c>
      <c r="D71" s="31"/>
      <c r="E71" s="10"/>
      <c r="F71" s="22">
        <f>Source!AO74</f>
        <v>559.17999999999995</v>
      </c>
      <c r="G71" s="16" t="str">
        <f>Source!DG74</f>
        <v/>
      </c>
      <c r="H71" s="22">
        <f>ROUND(Source!AF74*Source!I74, 2)</f>
        <v>15.91</v>
      </c>
      <c r="I71" s="16"/>
      <c r="J71" s="16">
        <f>IF(Source!BA74&lt;&gt; 0, Source!BA74, 1)</f>
        <v>35.270000000000003</v>
      </c>
      <c r="K71" s="22">
        <f>Source!S74</f>
        <v>561.29999999999995</v>
      </c>
      <c r="L71" s="32"/>
      <c r="R71">
        <f>H71</f>
        <v>15.91</v>
      </c>
    </row>
    <row r="72" spans="1:26" ht="14.25" x14ac:dyDescent="0.2">
      <c r="A72" s="28"/>
      <c r="B72" s="29"/>
      <c r="C72" s="15" t="s">
        <v>45</v>
      </c>
      <c r="D72" s="31"/>
      <c r="E72" s="10"/>
      <c r="F72" s="22">
        <f>Source!AM74</f>
        <v>514.73</v>
      </c>
      <c r="G72" s="16" t="str">
        <f>Source!DE74</f>
        <v/>
      </c>
      <c r="H72" s="22">
        <f>ROUND((((Source!ET74)-(Source!EU74))+Source!AE74)*Source!I74, 2)</f>
        <v>14.65</v>
      </c>
      <c r="I72" s="16"/>
      <c r="J72" s="16">
        <f>IF(Source!BB74&lt;&gt; 0, Source!BB74, 1)</f>
        <v>10.91</v>
      </c>
      <c r="K72" s="22">
        <f>Source!Q74</f>
        <v>159.82</v>
      </c>
      <c r="L72" s="32"/>
    </row>
    <row r="73" spans="1:26" ht="14.25" x14ac:dyDescent="0.2">
      <c r="A73" s="28"/>
      <c r="B73" s="29"/>
      <c r="C73" s="15" t="s">
        <v>534</v>
      </c>
      <c r="D73" s="31"/>
      <c r="E73" s="10"/>
      <c r="F73" s="22">
        <f>Source!AN74</f>
        <v>21.05</v>
      </c>
      <c r="G73" s="16" t="str">
        <f>Source!DF74</f>
        <v/>
      </c>
      <c r="H73" s="22">
        <f>ROUND(Source!AE74*Source!I74, 2)</f>
        <v>0.6</v>
      </c>
      <c r="I73" s="16"/>
      <c r="J73" s="16">
        <f>IF(Source!BS74&lt;&gt; 0, Source!BS74, 1)</f>
        <v>35.270000000000003</v>
      </c>
      <c r="K73" s="22">
        <f>Source!R74</f>
        <v>21.13</v>
      </c>
      <c r="L73" s="32"/>
      <c r="R73">
        <f>H73</f>
        <v>0.6</v>
      </c>
    </row>
    <row r="74" spans="1:26" ht="14.25" x14ac:dyDescent="0.2">
      <c r="A74" s="28"/>
      <c r="B74" s="29"/>
      <c r="C74" s="15" t="s">
        <v>540</v>
      </c>
      <c r="D74" s="31"/>
      <c r="E74" s="10"/>
      <c r="F74" s="22">
        <f>Source!AL74</f>
        <v>12196.85</v>
      </c>
      <c r="G74" s="16" t="str">
        <f>Source!DD74</f>
        <v/>
      </c>
      <c r="H74" s="22">
        <f>ROUND(Source!AC74*Source!I74, 2)</f>
        <v>347.12</v>
      </c>
      <c r="I74" s="16"/>
      <c r="J74" s="16">
        <f>IF(Source!BC74&lt;&gt; 0, Source!BC74, 1)</f>
        <v>11.17</v>
      </c>
      <c r="K74" s="22">
        <f>Source!P74</f>
        <v>3877.36</v>
      </c>
      <c r="L74" s="32"/>
    </row>
    <row r="75" spans="1:26" ht="14.25" x14ac:dyDescent="0.2">
      <c r="A75" s="28"/>
      <c r="B75" s="29"/>
      <c r="C75" s="15" t="s">
        <v>535</v>
      </c>
      <c r="D75" s="31" t="s">
        <v>536</v>
      </c>
      <c r="E75" s="10">
        <f>Source!BZ74</f>
        <v>97</v>
      </c>
      <c r="F75" s="33"/>
      <c r="G75" s="16"/>
      <c r="H75" s="22">
        <f>SUM(S70:S77)</f>
        <v>16.010000000000002</v>
      </c>
      <c r="I75" s="34"/>
      <c r="J75" s="15">
        <f>Source!AT74</f>
        <v>97</v>
      </c>
      <c r="K75" s="22">
        <f>SUM(T70:T77)</f>
        <v>564.96</v>
      </c>
      <c r="L75" s="32"/>
    </row>
    <row r="76" spans="1:26" ht="14.25" x14ac:dyDescent="0.2">
      <c r="A76" s="28"/>
      <c r="B76" s="29"/>
      <c r="C76" s="15" t="s">
        <v>537</v>
      </c>
      <c r="D76" s="31" t="s">
        <v>536</v>
      </c>
      <c r="E76" s="10">
        <f>Source!CA74</f>
        <v>51</v>
      </c>
      <c r="F76" s="33"/>
      <c r="G76" s="16"/>
      <c r="H76" s="22">
        <f>SUM(U70:U77)</f>
        <v>8.42</v>
      </c>
      <c r="I76" s="34"/>
      <c r="J76" s="15">
        <f>Source!AU74</f>
        <v>51</v>
      </c>
      <c r="K76" s="22">
        <f>SUM(V70:V77)</f>
        <v>297.04000000000002</v>
      </c>
      <c r="L76" s="32"/>
    </row>
    <row r="77" spans="1:26" ht="14.25" x14ac:dyDescent="0.2">
      <c r="A77" s="38"/>
      <c r="B77" s="39"/>
      <c r="C77" s="40" t="s">
        <v>538</v>
      </c>
      <c r="D77" s="41" t="s">
        <v>539</v>
      </c>
      <c r="E77" s="42">
        <f>Source!AQ74</f>
        <v>62.2</v>
      </c>
      <c r="F77" s="43"/>
      <c r="G77" s="44" t="str">
        <f>Source!DI74</f>
        <v/>
      </c>
      <c r="H77" s="43"/>
      <c r="I77" s="44"/>
      <c r="J77" s="44"/>
      <c r="K77" s="43"/>
      <c r="L77" s="45">
        <f>Source!U74</f>
        <v>1.7702120000000001</v>
      </c>
    </row>
    <row r="78" spans="1:26" ht="15" x14ac:dyDescent="0.25">
      <c r="G78" s="89">
        <f>ROUND(Source!AC74*Source!I74, 2)+ROUND(Source!AF74*Source!I74, 2)+ROUND((((Source!ET74)-(Source!EU74))+Source!AE74)*Source!I74, 2)+SUM(H75:H76)</f>
        <v>402.11</v>
      </c>
      <c r="H78" s="89"/>
      <c r="J78" s="89">
        <f>Source!O74+SUM(K75:K76)</f>
        <v>5460.48</v>
      </c>
      <c r="K78" s="89"/>
      <c r="L78" s="37">
        <f>Source!U74</f>
        <v>1.7702120000000001</v>
      </c>
      <c r="O78" s="36">
        <f>G78</f>
        <v>402.11</v>
      </c>
      <c r="P78" s="36">
        <f>J78</f>
        <v>5460.48</v>
      </c>
      <c r="Q78" s="36">
        <f>L78</f>
        <v>1.7702120000000001</v>
      </c>
      <c r="W78">
        <f>IF(Source!BI74&lt;=1,G78, 0)</f>
        <v>0</v>
      </c>
      <c r="X78">
        <f>IF(Source!BI74=2,G78, 0)</f>
        <v>402.11</v>
      </c>
      <c r="Y78">
        <f>IF(Source!BI74=3,G78, 0)</f>
        <v>0</v>
      </c>
      <c r="Z78">
        <f>IF(Source!BI74=4,G78, 0)</f>
        <v>0</v>
      </c>
    </row>
    <row r="79" spans="1:26" ht="57" x14ac:dyDescent="0.2">
      <c r="A79" s="28" t="str">
        <f>Source!E75</f>
        <v>4</v>
      </c>
      <c r="B79" s="29" t="str">
        <f>Source!F75</f>
        <v>33-04-003-2</v>
      </c>
      <c r="C79" s="15" t="str">
        <f>Source!G75</f>
        <v>Установка железобетонных опор ВЛ 0,38; 6-10 кВ с траверсами без приставок: одностоечных с одним подкосом</v>
      </c>
      <c r="D79" s="31" t="str">
        <f>Source!H75</f>
        <v>1 ОПОРА</v>
      </c>
      <c r="E79" s="10">
        <f>Source!I75</f>
        <v>1</v>
      </c>
      <c r="F79" s="22">
        <f>IF(Source!AK75&lt;&gt; 0, Source!AK75,Source!AL75 + Source!AM75 + Source!AO75)</f>
        <v>378.82</v>
      </c>
      <c r="G79" s="16"/>
      <c r="H79" s="22"/>
      <c r="I79" s="16" t="str">
        <f>Source!BO75</f>
        <v>33-04-003-2</v>
      </c>
      <c r="J79" s="16"/>
      <c r="K79" s="22"/>
      <c r="L79" s="32"/>
      <c r="S79">
        <f>ROUND((Source!FX75/100)*((ROUND(Source!AF75*Source!I75, 2)+ROUND(Source!AE75*Source!I75, 2))), 2)</f>
        <v>87.2</v>
      </c>
      <c r="T79">
        <f>Source!X75</f>
        <v>3075.54</v>
      </c>
      <c r="U79">
        <f>ROUND((Source!FY75/100)*((ROUND(Source!AF75*Source!I75, 2)+ROUND(Source!AE75*Source!I75, 2))), 2)</f>
        <v>50.8</v>
      </c>
      <c r="V79">
        <f>Source!Y75</f>
        <v>1791.58</v>
      </c>
    </row>
    <row r="80" spans="1:26" ht="14.25" x14ac:dyDescent="0.2">
      <c r="A80" s="28"/>
      <c r="B80" s="29"/>
      <c r="C80" s="15" t="s">
        <v>533</v>
      </c>
      <c r="D80" s="31"/>
      <c r="E80" s="10"/>
      <c r="F80" s="22">
        <f>Source!AO75</f>
        <v>65.41</v>
      </c>
      <c r="G80" s="16" t="str">
        <f>Source!DG75</f>
        <v/>
      </c>
      <c r="H80" s="22">
        <f>ROUND(Source!AF75*Source!I75, 2)</f>
        <v>65.41</v>
      </c>
      <c r="I80" s="16"/>
      <c r="J80" s="16">
        <f>IF(Source!BA75&lt;&gt; 0, Source!BA75, 1)</f>
        <v>35.270000000000003</v>
      </c>
      <c r="K80" s="22">
        <f>Source!S75</f>
        <v>2307.0100000000002</v>
      </c>
      <c r="L80" s="32"/>
      <c r="R80">
        <f>H80</f>
        <v>65.41</v>
      </c>
    </row>
    <row r="81" spans="1:28" ht="14.25" x14ac:dyDescent="0.2">
      <c r="A81" s="28"/>
      <c r="B81" s="29"/>
      <c r="C81" s="15" t="s">
        <v>45</v>
      </c>
      <c r="D81" s="31"/>
      <c r="E81" s="10"/>
      <c r="F81" s="22">
        <f>Source!AM75</f>
        <v>267.08</v>
      </c>
      <c r="G81" s="16" t="str">
        <f>Source!DE75</f>
        <v/>
      </c>
      <c r="H81" s="22">
        <f>ROUND((((Source!ET75)-(Source!EU75))+Source!AE75)*Source!I75, 2)</f>
        <v>267.08</v>
      </c>
      <c r="I81" s="16"/>
      <c r="J81" s="16">
        <f>IF(Source!BB75&lt;&gt; 0, Source!BB75, 1)</f>
        <v>16.920000000000002</v>
      </c>
      <c r="K81" s="22">
        <f>Source!Q75</f>
        <v>4518.99</v>
      </c>
      <c r="L81" s="32"/>
    </row>
    <row r="82" spans="1:28" ht="14.25" x14ac:dyDescent="0.2">
      <c r="A82" s="28"/>
      <c r="B82" s="29"/>
      <c r="C82" s="15" t="s">
        <v>534</v>
      </c>
      <c r="D82" s="31"/>
      <c r="E82" s="10"/>
      <c r="F82" s="22">
        <f>Source!AN75</f>
        <v>19.25</v>
      </c>
      <c r="G82" s="16" t="str">
        <f>Source!DF75</f>
        <v/>
      </c>
      <c r="H82" s="22">
        <f>ROUND(Source!AE75*Source!I75, 2)</f>
        <v>19.25</v>
      </c>
      <c r="I82" s="16"/>
      <c r="J82" s="16">
        <f>IF(Source!BS75&lt;&gt; 0, Source!BS75, 1)</f>
        <v>35.270000000000003</v>
      </c>
      <c r="K82" s="22">
        <f>Source!R75</f>
        <v>678.95</v>
      </c>
      <c r="L82" s="32"/>
      <c r="R82">
        <f>H82</f>
        <v>19.25</v>
      </c>
    </row>
    <row r="83" spans="1:28" ht="14.25" x14ac:dyDescent="0.2">
      <c r="A83" s="28"/>
      <c r="B83" s="29"/>
      <c r="C83" s="15" t="s">
        <v>540</v>
      </c>
      <c r="D83" s="31"/>
      <c r="E83" s="10"/>
      <c r="F83" s="22">
        <f>Source!AL75</f>
        <v>46.33</v>
      </c>
      <c r="G83" s="16" t="str">
        <f>Source!DD75</f>
        <v/>
      </c>
      <c r="H83" s="22">
        <f>ROUND(Source!AC75*Source!I75, 2)</f>
        <v>46.33</v>
      </c>
      <c r="I83" s="16"/>
      <c r="J83" s="16">
        <f>IF(Source!BC75&lt;&gt; 0, Source!BC75, 1)</f>
        <v>3.5</v>
      </c>
      <c r="K83" s="22">
        <f>Source!P75</f>
        <v>162.16</v>
      </c>
      <c r="L83" s="32"/>
    </row>
    <row r="84" spans="1:28" ht="14.25" x14ac:dyDescent="0.2">
      <c r="A84" s="28"/>
      <c r="B84" s="29"/>
      <c r="C84" s="15" t="s">
        <v>535</v>
      </c>
      <c r="D84" s="31" t="s">
        <v>536</v>
      </c>
      <c r="E84" s="10">
        <f>Source!BZ75</f>
        <v>103</v>
      </c>
      <c r="F84" s="33"/>
      <c r="G84" s="16"/>
      <c r="H84" s="22">
        <f>SUM(S79:S87)</f>
        <v>87.2</v>
      </c>
      <c r="I84" s="34"/>
      <c r="J84" s="15">
        <f>Source!AT75</f>
        <v>103</v>
      </c>
      <c r="K84" s="22">
        <f>SUM(T79:T87)</f>
        <v>3075.54</v>
      </c>
      <c r="L84" s="32"/>
    </row>
    <row r="85" spans="1:28" ht="14.25" x14ac:dyDescent="0.2">
      <c r="A85" s="28"/>
      <c r="B85" s="29"/>
      <c r="C85" s="15" t="s">
        <v>537</v>
      </c>
      <c r="D85" s="31" t="s">
        <v>536</v>
      </c>
      <c r="E85" s="10">
        <f>Source!CA75</f>
        <v>60</v>
      </c>
      <c r="F85" s="33"/>
      <c r="G85" s="16"/>
      <c r="H85" s="22">
        <f>SUM(U79:U87)</f>
        <v>50.8</v>
      </c>
      <c r="I85" s="34"/>
      <c r="J85" s="15">
        <f>Source!AU75</f>
        <v>60</v>
      </c>
      <c r="K85" s="22">
        <f>SUM(V79:V87)</f>
        <v>1791.58</v>
      </c>
      <c r="L85" s="32"/>
    </row>
    <row r="86" spans="1:28" ht="14.25" x14ac:dyDescent="0.2">
      <c r="A86" s="28"/>
      <c r="B86" s="29"/>
      <c r="C86" s="15" t="s">
        <v>538</v>
      </c>
      <c r="D86" s="31" t="s">
        <v>539</v>
      </c>
      <c r="E86" s="10">
        <f>Source!AQ75</f>
        <v>7.9</v>
      </c>
      <c r="F86" s="22"/>
      <c r="G86" s="16" t="str">
        <f>Source!DI75</f>
        <v/>
      </c>
      <c r="H86" s="22"/>
      <c r="I86" s="16"/>
      <c r="J86" s="16"/>
      <c r="K86" s="22"/>
      <c r="L86" s="35">
        <f>Source!U75</f>
        <v>7.9</v>
      </c>
    </row>
    <row r="87" spans="1:28" ht="14.25" x14ac:dyDescent="0.2">
      <c r="A87" s="49" t="str">
        <f>Source!E80</f>
        <v>4,5</v>
      </c>
      <c r="B87" s="49" t="str">
        <f>Source!F80</f>
        <v>110-9126</v>
      </c>
      <c r="C87" s="49" t="str">
        <f>Source!G80</f>
        <v>Металлические плакаты</v>
      </c>
      <c r="D87" s="50" t="str">
        <f>Source!H80</f>
        <v>шт.</v>
      </c>
      <c r="E87" s="51">
        <f>Source!I80</f>
        <v>0.1</v>
      </c>
      <c r="F87" s="52">
        <f>Source!AK80</f>
        <v>0</v>
      </c>
      <c r="G87" s="53" t="s">
        <v>3</v>
      </c>
      <c r="H87" s="52">
        <f>ROUND(Source!AC80*Source!I80, 2)+ROUND((((Source!ET80)-(Source!EU80))+Source!AE80)*Source!I80, 2)+ROUND(Source!AF80*Source!I80, 2)</f>
        <v>0</v>
      </c>
      <c r="I87" s="50"/>
      <c r="J87" s="50">
        <f>IF(Source!BC80&lt;&gt; 0, Source!BC80, 1)</f>
        <v>1</v>
      </c>
      <c r="K87" s="52">
        <f>Source!O80</f>
        <v>0</v>
      </c>
      <c r="L87" s="52"/>
      <c r="S87">
        <f>ROUND((Source!FX80/100)*((ROUND(Source!AF80*Source!I80, 2)+ROUND(Source!AE80*Source!I80, 2))), 2)</f>
        <v>0</v>
      </c>
      <c r="T87">
        <f>Source!X80</f>
        <v>0</v>
      </c>
      <c r="U87">
        <f>ROUND((Source!FY80/100)*((ROUND(Source!AF80*Source!I80, 2)+ROUND(Source!AE80*Source!I80, 2))), 2)</f>
        <v>0</v>
      </c>
      <c r="V87">
        <f>Source!Y80</f>
        <v>0</v>
      </c>
      <c r="Y87">
        <f>IF(Source!BI80=3,H87, 0)</f>
        <v>0</v>
      </c>
      <c r="AA87">
        <f>ROUND(Source!AC80*Source!I80, 2)+ROUND((((Source!ET80)-(Source!EU80))+Source!AE80)*Source!I80, 2)+ROUND(Source!AF80*Source!I80, 2)</f>
        <v>0</v>
      </c>
      <c r="AB87">
        <f>Source!O80</f>
        <v>0</v>
      </c>
    </row>
    <row r="88" spans="1:28" ht="15" x14ac:dyDescent="0.25">
      <c r="G88" s="89">
        <f>ROUND(Source!AC75*Source!I75, 2)+ROUND(Source!AF75*Source!I75, 2)+ROUND((((Source!ET75)-(Source!EU75))+Source!AE75)*Source!I75, 2)+SUM(H84:H85)+SUM(AA87:AA87)</f>
        <v>516.81999999999994</v>
      </c>
      <c r="H88" s="89"/>
      <c r="J88" s="89">
        <f>Source!O75+SUM(K84:K85)+SUM(AB87:AB87)</f>
        <v>11855.279999999999</v>
      </c>
      <c r="K88" s="89"/>
      <c r="L88" s="37">
        <f>Source!U75</f>
        <v>7.9</v>
      </c>
      <c r="O88" s="36">
        <f>G88</f>
        <v>516.81999999999994</v>
      </c>
      <c r="P88" s="36">
        <f>J88</f>
        <v>11855.279999999999</v>
      </c>
      <c r="Q88" s="36">
        <f>L88</f>
        <v>7.9</v>
      </c>
      <c r="W88">
        <f>IF(Source!BI75&lt;=1,G88, 0)</f>
        <v>516.81999999999994</v>
      </c>
      <c r="X88">
        <f>IF(Source!BI75=2,G88, 0)</f>
        <v>0</v>
      </c>
      <c r="Y88">
        <f>IF(Source!BI75=3,G88, 0)</f>
        <v>0</v>
      </c>
      <c r="Z88">
        <f>IF(Source!BI75=4,G88, 0)</f>
        <v>0</v>
      </c>
    </row>
    <row r="89" spans="1:28" ht="42.75" x14ac:dyDescent="0.2">
      <c r="A89" s="28" t="str">
        <f>Source!E85</f>
        <v>5</v>
      </c>
      <c r="B89" s="29" t="str">
        <f>Source!F85</f>
        <v>403-2127</v>
      </c>
      <c r="C89" s="15" t="str">
        <f>Source!G85</f>
        <v>Стойка опоры СВ 110-3,5 /бетон В30 (М400), объем 0,45 м3, расход ар-ры 66,8 кг/ (серия 3.407.1-143 вып.7)</v>
      </c>
      <c r="D89" s="31" t="str">
        <f>Source!H85</f>
        <v>шт.</v>
      </c>
      <c r="E89" s="10">
        <f>Source!I85</f>
        <v>2</v>
      </c>
      <c r="F89" s="22">
        <f>IF(Source!AK85&lt;&gt; 0, Source!AK85,Source!AL85 + Source!AM85 + Source!AO85)</f>
        <v>1525.42</v>
      </c>
      <c r="G89" s="16"/>
      <c r="H89" s="22"/>
      <c r="I89" s="16" t="str">
        <f>Source!BO85</f>
        <v>403-2127</v>
      </c>
      <c r="J89" s="16"/>
      <c r="K89" s="22"/>
      <c r="L89" s="32"/>
      <c r="S89">
        <f>ROUND((Source!FX85/100)*((ROUND(Source!AF85*Source!I85, 2)+ROUND(Source!AE85*Source!I85, 2))), 2)</f>
        <v>0</v>
      </c>
      <c r="T89">
        <f>Source!X85</f>
        <v>0</v>
      </c>
      <c r="U89">
        <f>ROUND((Source!FY85/100)*((ROUND(Source!AF85*Source!I85, 2)+ROUND(Source!AE85*Source!I85, 2))), 2)</f>
        <v>0</v>
      </c>
      <c r="V89">
        <f>Source!Y85</f>
        <v>0</v>
      </c>
    </row>
    <row r="90" spans="1:28" ht="14.25" x14ac:dyDescent="0.2">
      <c r="A90" s="38"/>
      <c r="B90" s="39"/>
      <c r="C90" s="40" t="s">
        <v>540</v>
      </c>
      <c r="D90" s="41"/>
      <c r="E90" s="42"/>
      <c r="F90" s="43">
        <f>Source!AL85</f>
        <v>1525.42</v>
      </c>
      <c r="G90" s="44" t="str">
        <f>Source!DD85</f>
        <v/>
      </c>
      <c r="H90" s="43">
        <f>ROUND(Source!AC85*Source!I85, 2)</f>
        <v>3050.84</v>
      </c>
      <c r="I90" s="44"/>
      <c r="J90" s="44">
        <f>IF(Source!BC85&lt;&gt; 0, Source!BC85, 1)</f>
        <v>12.66</v>
      </c>
      <c r="K90" s="43">
        <f>Source!P85</f>
        <v>38623.629999999997</v>
      </c>
      <c r="L90" s="54"/>
    </row>
    <row r="91" spans="1:28" ht="15" x14ac:dyDescent="0.25">
      <c r="G91" s="89">
        <f>ROUND(Source!AC85*Source!I85, 2)+ROUND(Source!AF85*Source!I85, 2)+ROUND((((Source!ET85)-(Source!EU85))+Source!AE85)*Source!I85, 2)</f>
        <v>3050.84</v>
      </c>
      <c r="H91" s="89"/>
      <c r="J91" s="89">
        <f>Source!O85</f>
        <v>38623.629999999997</v>
      </c>
      <c r="K91" s="89"/>
      <c r="L91" s="37">
        <f>Source!U85</f>
        <v>0</v>
      </c>
      <c r="O91" s="36">
        <f>G91</f>
        <v>3050.84</v>
      </c>
      <c r="P91" s="36">
        <f>J91</f>
        <v>38623.629999999997</v>
      </c>
      <c r="Q91" s="36">
        <f>L91</f>
        <v>0</v>
      </c>
      <c r="W91">
        <f>IF(Source!BI85&lt;=1,G91, 0)</f>
        <v>3050.84</v>
      </c>
      <c r="X91">
        <f>IF(Source!BI85=2,G91, 0)</f>
        <v>0</v>
      </c>
      <c r="Y91">
        <f>IF(Source!BI85=3,G91, 0)</f>
        <v>0</v>
      </c>
      <c r="Z91">
        <f>IF(Source!BI85=4,G91, 0)</f>
        <v>0</v>
      </c>
    </row>
    <row r="92" spans="1:28" ht="28.5" x14ac:dyDescent="0.2">
      <c r="A92" s="28" t="str">
        <f>Source!E86</f>
        <v>6</v>
      </c>
      <c r="B92" s="29" t="str">
        <f>Source!F86</f>
        <v>201-8113</v>
      </c>
      <c r="C92" s="15" t="str">
        <f>Source!G86</f>
        <v>Траверсы стальные (Траверса ТМ-71 21,76 кг и траверса ТМ-66 6,7 кг)</v>
      </c>
      <c r="D92" s="31" t="str">
        <f>Source!H86</f>
        <v>т</v>
      </c>
      <c r="E92" s="10">
        <f>Source!I86</f>
        <v>2.8459999999999999E-2</v>
      </c>
      <c r="F92" s="22">
        <f>IF(Source!AK86&lt;&gt; 0, Source!AK86,Source!AL86 + Source!AM86 + Source!AO86)</f>
        <v>10995.42</v>
      </c>
      <c r="G92" s="16"/>
      <c r="H92" s="22"/>
      <c r="I92" s="16" t="str">
        <f>Source!BO86</f>
        <v>201-8113</v>
      </c>
      <c r="J92" s="16"/>
      <c r="K92" s="22"/>
      <c r="L92" s="32"/>
      <c r="S92">
        <f>ROUND((Source!FX86/100)*((ROUND(Source!AF86*Source!I86, 2)+ROUND(Source!AE86*Source!I86, 2))), 2)</f>
        <v>0</v>
      </c>
      <c r="T92">
        <f>Source!X86</f>
        <v>0</v>
      </c>
      <c r="U92">
        <f>ROUND((Source!FY86/100)*((ROUND(Source!AF86*Source!I86, 2)+ROUND(Source!AE86*Source!I86, 2))), 2)</f>
        <v>0</v>
      </c>
      <c r="V92">
        <f>Source!Y86</f>
        <v>0</v>
      </c>
    </row>
    <row r="93" spans="1:28" ht="14.25" x14ac:dyDescent="0.2">
      <c r="A93" s="38"/>
      <c r="B93" s="39"/>
      <c r="C93" s="40" t="s">
        <v>540</v>
      </c>
      <c r="D93" s="41"/>
      <c r="E93" s="42"/>
      <c r="F93" s="43">
        <f>Source!AL86</f>
        <v>10995.42</v>
      </c>
      <c r="G93" s="44" t="str">
        <f>Source!DD86</f>
        <v/>
      </c>
      <c r="H93" s="43">
        <f>ROUND(Source!AC86*Source!I86, 2)</f>
        <v>312.93</v>
      </c>
      <c r="I93" s="44"/>
      <c r="J93" s="44">
        <f>IF(Source!BC86&lt;&gt; 0, Source!BC86, 1)</f>
        <v>22.9</v>
      </c>
      <c r="K93" s="43">
        <f>Source!P86</f>
        <v>7166.09</v>
      </c>
      <c r="L93" s="54"/>
    </row>
    <row r="94" spans="1:28" ht="15" x14ac:dyDescent="0.25">
      <c r="G94" s="89">
        <f>ROUND(Source!AC86*Source!I86, 2)+ROUND(Source!AF86*Source!I86, 2)+ROUND((((Source!ET86)-(Source!EU86))+Source!AE86)*Source!I86, 2)</f>
        <v>312.93</v>
      </c>
      <c r="H94" s="89"/>
      <c r="J94" s="89">
        <f>Source!O86</f>
        <v>7166.09</v>
      </c>
      <c r="K94" s="89"/>
      <c r="L94" s="37">
        <f>Source!U86</f>
        <v>0</v>
      </c>
      <c r="O94" s="36">
        <f>G94</f>
        <v>312.93</v>
      </c>
      <c r="P94" s="36">
        <f>J94</f>
        <v>7166.09</v>
      </c>
      <c r="Q94" s="36">
        <f>L94</f>
        <v>0</v>
      </c>
      <c r="W94">
        <f>IF(Source!BI86&lt;=1,G94, 0)</f>
        <v>312.93</v>
      </c>
      <c r="X94">
        <f>IF(Source!BI86=2,G94, 0)</f>
        <v>0</v>
      </c>
      <c r="Y94">
        <f>IF(Source!BI86=3,G94, 0)</f>
        <v>0</v>
      </c>
      <c r="Z94">
        <f>IF(Source!BI86=4,G94, 0)</f>
        <v>0</v>
      </c>
    </row>
    <row r="95" spans="1:28" ht="14.25" x14ac:dyDescent="0.2">
      <c r="A95" s="28" t="str">
        <f>Source!E87</f>
        <v>7</v>
      </c>
      <c r="B95" s="29" t="str">
        <f>Source!F87</f>
        <v>201-0856</v>
      </c>
      <c r="C95" s="15" t="str">
        <f>Source!G87</f>
        <v>Хомуты стальные (Хомут Х-12 1,18 кг)</v>
      </c>
      <c r="D95" s="31" t="str">
        <f>Source!H87</f>
        <v>кг</v>
      </c>
      <c r="E95" s="10">
        <f>Source!I87</f>
        <v>2.36</v>
      </c>
      <c r="F95" s="22">
        <f>IF(Source!AK87&lt;&gt; 0, Source!AK87,Source!AL87 + Source!AM87 + Source!AO87)</f>
        <v>9.74</v>
      </c>
      <c r="G95" s="16"/>
      <c r="H95" s="22"/>
      <c r="I95" s="16" t="str">
        <f>Source!BO87</f>
        <v>201-0856</v>
      </c>
      <c r="J95" s="16"/>
      <c r="K95" s="22"/>
      <c r="L95" s="32"/>
      <c r="S95">
        <f>ROUND((Source!FX87/100)*((ROUND(Source!AF87*Source!I87, 2)+ROUND(Source!AE87*Source!I87, 2))), 2)</f>
        <v>0</v>
      </c>
      <c r="T95">
        <f>Source!X87</f>
        <v>0</v>
      </c>
      <c r="U95">
        <f>ROUND((Source!FY87/100)*((ROUND(Source!AF87*Source!I87, 2)+ROUND(Source!AE87*Source!I87, 2))), 2)</f>
        <v>0</v>
      </c>
      <c r="V95">
        <f>Source!Y87</f>
        <v>0</v>
      </c>
    </row>
    <row r="96" spans="1:28" ht="14.25" x14ac:dyDescent="0.2">
      <c r="A96" s="38"/>
      <c r="B96" s="39"/>
      <c r="C96" s="40" t="s">
        <v>540</v>
      </c>
      <c r="D96" s="41"/>
      <c r="E96" s="42"/>
      <c r="F96" s="43">
        <f>Source!AL87</f>
        <v>9.74</v>
      </c>
      <c r="G96" s="44" t="str">
        <f>Source!DD87</f>
        <v/>
      </c>
      <c r="H96" s="43">
        <f>ROUND(Source!AC87*Source!I87, 2)</f>
        <v>22.99</v>
      </c>
      <c r="I96" s="44"/>
      <c r="J96" s="44">
        <f>IF(Source!BC87&lt;&gt; 0, Source!BC87, 1)</f>
        <v>7.38</v>
      </c>
      <c r="K96" s="43">
        <f>Source!P87</f>
        <v>169.64</v>
      </c>
      <c r="L96" s="54"/>
    </row>
    <row r="97" spans="1:26" ht="15" x14ac:dyDescent="0.25">
      <c r="G97" s="89">
        <f>ROUND(Source!AC87*Source!I87, 2)+ROUND(Source!AF87*Source!I87, 2)+ROUND((((Source!ET87)-(Source!EU87))+Source!AE87)*Source!I87, 2)</f>
        <v>22.99</v>
      </c>
      <c r="H97" s="89"/>
      <c r="J97" s="89">
        <f>Source!O87</f>
        <v>169.64</v>
      </c>
      <c r="K97" s="89"/>
      <c r="L97" s="37">
        <f>Source!U87</f>
        <v>0</v>
      </c>
      <c r="O97" s="36">
        <f>G97</f>
        <v>22.99</v>
      </c>
      <c r="P97" s="36">
        <f>J97</f>
        <v>169.64</v>
      </c>
      <c r="Q97" s="36">
        <f>L97</f>
        <v>0</v>
      </c>
      <c r="W97">
        <f>IF(Source!BI87&lt;=1,G97, 0)</f>
        <v>22.99</v>
      </c>
      <c r="X97">
        <f>IF(Source!BI87=2,G97, 0)</f>
        <v>0</v>
      </c>
      <c r="Y97">
        <f>IF(Source!BI87=3,G97, 0)</f>
        <v>0</v>
      </c>
      <c r="Z97">
        <f>IF(Source!BI87=4,G97, 0)</f>
        <v>0</v>
      </c>
    </row>
    <row r="98" spans="1:26" ht="28.5" x14ac:dyDescent="0.2">
      <c r="A98" s="28" t="str">
        <f>Source!E88</f>
        <v>8</v>
      </c>
      <c r="B98" s="29" t="str">
        <f>Source!F88</f>
        <v>204-0003</v>
      </c>
      <c r="C98" s="15" t="str">
        <f>Source!G88</f>
        <v>Горячекатаная арматурная сталь гладкая класса А-I, диаметром 10 мм</v>
      </c>
      <c r="D98" s="31" t="str">
        <f>Source!H88</f>
        <v>т</v>
      </c>
      <c r="E98" s="10">
        <f>Source!I88</f>
        <v>5.169E-3</v>
      </c>
      <c r="F98" s="22">
        <f>IF(Source!AK88&lt;&gt; 0, Source!AK88,Source!AL88 + Source!AM88 + Source!AO88)</f>
        <v>6813</v>
      </c>
      <c r="G98" s="16"/>
      <c r="H98" s="22"/>
      <c r="I98" s="16" t="str">
        <f>Source!BO88</f>
        <v>204-0003</v>
      </c>
      <c r="J98" s="16"/>
      <c r="K98" s="22"/>
      <c r="L98" s="32"/>
      <c r="S98">
        <f>ROUND((Source!FX88/100)*((ROUND(Source!AF88*Source!I88, 2)+ROUND(Source!AE88*Source!I88, 2))), 2)</f>
        <v>0</v>
      </c>
      <c r="T98">
        <f>Source!X88</f>
        <v>0</v>
      </c>
      <c r="U98">
        <f>ROUND((Source!FY88/100)*((ROUND(Source!AF88*Source!I88, 2)+ROUND(Source!AE88*Source!I88, 2))), 2)</f>
        <v>0</v>
      </c>
      <c r="V98">
        <f>Source!Y88</f>
        <v>0</v>
      </c>
    </row>
    <row r="99" spans="1:26" ht="14.25" x14ac:dyDescent="0.2">
      <c r="A99" s="38"/>
      <c r="B99" s="39"/>
      <c r="C99" s="40" t="s">
        <v>540</v>
      </c>
      <c r="D99" s="41"/>
      <c r="E99" s="42"/>
      <c r="F99" s="43">
        <f>Source!AL88</f>
        <v>6813</v>
      </c>
      <c r="G99" s="44" t="str">
        <f>Source!DD88</f>
        <v/>
      </c>
      <c r="H99" s="43">
        <f>ROUND(Source!AC88*Source!I88, 2)</f>
        <v>35.22</v>
      </c>
      <c r="I99" s="44"/>
      <c r="J99" s="44">
        <f>IF(Source!BC88&lt;&gt; 0, Source!BC88, 1)</f>
        <v>10.43</v>
      </c>
      <c r="K99" s="43">
        <f>Source!P88</f>
        <v>367.31</v>
      </c>
      <c r="L99" s="54"/>
    </row>
    <row r="100" spans="1:26" ht="15" x14ac:dyDescent="0.25">
      <c r="G100" s="89">
        <f>ROUND(Source!AC88*Source!I88, 2)+ROUND(Source!AF88*Source!I88, 2)+ROUND((((Source!ET88)-(Source!EU88))+Source!AE88)*Source!I88, 2)</f>
        <v>35.22</v>
      </c>
      <c r="H100" s="89"/>
      <c r="J100" s="89">
        <f>Source!O88</f>
        <v>367.31</v>
      </c>
      <c r="K100" s="89"/>
      <c r="L100" s="37">
        <f>Source!U88</f>
        <v>0</v>
      </c>
      <c r="O100" s="36">
        <f>G100</f>
        <v>35.22</v>
      </c>
      <c r="P100" s="36">
        <f>J100</f>
        <v>367.31</v>
      </c>
      <c r="Q100" s="36">
        <f>L100</f>
        <v>0</v>
      </c>
      <c r="W100">
        <f>IF(Source!BI88&lt;=1,G100, 0)</f>
        <v>35.22</v>
      </c>
      <c r="X100">
        <f>IF(Source!BI88=2,G100, 0)</f>
        <v>0</v>
      </c>
      <c r="Y100">
        <f>IF(Source!BI88=3,G100, 0)</f>
        <v>0</v>
      </c>
      <c r="Z100">
        <f>IF(Source!BI88=4,G100, 0)</f>
        <v>0</v>
      </c>
    </row>
    <row r="101" spans="1:26" ht="42.75" x14ac:dyDescent="0.2">
      <c r="A101" s="28" t="str">
        <f>Source!E89</f>
        <v>9</v>
      </c>
      <c r="B101" s="29" t="str">
        <f>Source!F89</f>
        <v>110-0318</v>
      </c>
      <c r="C101" s="15" t="str">
        <f>Source!G89</f>
        <v>Изоляторы линейные штыревые высоковольтные ШФ 20-Г (прим. Изолятор ШФ-20)</v>
      </c>
      <c r="D101" s="31" t="str">
        <f>Source!H89</f>
        <v>шт.</v>
      </c>
      <c r="E101" s="10">
        <f>Source!I89</f>
        <v>3</v>
      </c>
      <c r="F101" s="22">
        <f>IF(Source!AK89&lt;&gt; 0, Source!AK89,Source!AL89 + Source!AM89 + Source!AO89)</f>
        <v>43.95</v>
      </c>
      <c r="G101" s="16"/>
      <c r="H101" s="22"/>
      <c r="I101" s="16" t="str">
        <f>Source!BO89</f>
        <v>110-0318</v>
      </c>
      <c r="J101" s="16"/>
      <c r="K101" s="22"/>
      <c r="L101" s="32"/>
      <c r="S101">
        <f>ROUND((Source!FX89/100)*((ROUND(Source!AF89*Source!I89, 2)+ROUND(Source!AE89*Source!I89, 2))), 2)</f>
        <v>0</v>
      </c>
      <c r="T101">
        <f>Source!X89</f>
        <v>0</v>
      </c>
      <c r="U101">
        <f>ROUND((Source!FY89/100)*((ROUND(Source!AF89*Source!I89, 2)+ROUND(Source!AE89*Source!I89, 2))), 2)</f>
        <v>0</v>
      </c>
      <c r="V101">
        <f>Source!Y89</f>
        <v>0</v>
      </c>
    </row>
    <row r="102" spans="1:26" ht="14.25" x14ac:dyDescent="0.2">
      <c r="A102" s="38"/>
      <c r="B102" s="39"/>
      <c r="C102" s="40" t="s">
        <v>540</v>
      </c>
      <c r="D102" s="41"/>
      <c r="E102" s="42"/>
      <c r="F102" s="43">
        <f>Source!AL89</f>
        <v>43.95</v>
      </c>
      <c r="G102" s="44" t="str">
        <f>Source!DD89</f>
        <v/>
      </c>
      <c r="H102" s="43">
        <f>ROUND(Source!AC89*Source!I89, 2)</f>
        <v>131.85</v>
      </c>
      <c r="I102" s="44"/>
      <c r="J102" s="44">
        <f>IF(Source!BC89&lt;&gt; 0, Source!BC89, 1)</f>
        <v>6.63</v>
      </c>
      <c r="K102" s="43">
        <f>Source!P89</f>
        <v>874.17</v>
      </c>
      <c r="L102" s="54"/>
    </row>
    <row r="103" spans="1:26" ht="15" x14ac:dyDescent="0.25">
      <c r="G103" s="89">
        <f>ROUND(Source!AC89*Source!I89, 2)+ROUND(Source!AF89*Source!I89, 2)+ROUND((((Source!ET89)-(Source!EU89))+Source!AE89)*Source!I89, 2)</f>
        <v>131.85</v>
      </c>
      <c r="H103" s="89"/>
      <c r="J103" s="89">
        <f>Source!O89</f>
        <v>874.17</v>
      </c>
      <c r="K103" s="89"/>
      <c r="L103" s="37">
        <f>Source!U89</f>
        <v>0</v>
      </c>
      <c r="O103" s="36">
        <f>G103</f>
        <v>131.85</v>
      </c>
      <c r="P103" s="36">
        <f>J103</f>
        <v>874.17</v>
      </c>
      <c r="Q103" s="36">
        <f>L103</f>
        <v>0</v>
      </c>
      <c r="W103">
        <f>IF(Source!BI89&lt;=1,G103, 0)</f>
        <v>131.85</v>
      </c>
      <c r="X103">
        <f>IF(Source!BI89=2,G103, 0)</f>
        <v>0</v>
      </c>
      <c r="Y103">
        <f>IF(Source!BI89=3,G103, 0)</f>
        <v>0</v>
      </c>
      <c r="Z103">
        <f>IF(Source!BI89=4,G103, 0)</f>
        <v>0</v>
      </c>
    </row>
    <row r="104" spans="1:26" ht="14.25" x14ac:dyDescent="0.2">
      <c r="A104" s="28" t="str">
        <f>Source!E90</f>
        <v>10</v>
      </c>
      <c r="B104" s="29" t="str">
        <f>Source!F90</f>
        <v>509-1714</v>
      </c>
      <c r="C104" s="15" t="str">
        <f>Source!G90</f>
        <v>Зажим натяжной болтовый НБ-2-6</v>
      </c>
      <c r="D104" s="31" t="str">
        <f>Source!H90</f>
        <v>шт.</v>
      </c>
      <c r="E104" s="10">
        <f>Source!I90</f>
        <v>3</v>
      </c>
      <c r="F104" s="22">
        <f>IF(Source!AK90&lt;&gt; 0, Source!AK90,Source!AL90 + Source!AM90 + Source!AO90)</f>
        <v>90.78</v>
      </c>
      <c r="G104" s="16"/>
      <c r="H104" s="22"/>
      <c r="I104" s="16" t="str">
        <f>Source!BO90</f>
        <v>509-1714</v>
      </c>
      <c r="J104" s="16"/>
      <c r="K104" s="22"/>
      <c r="L104" s="32"/>
      <c r="S104">
        <f>ROUND((Source!FX90/100)*((ROUND(Source!AF90*Source!I90, 2)+ROUND(Source!AE90*Source!I90, 2))), 2)</f>
        <v>0</v>
      </c>
      <c r="T104">
        <f>Source!X90</f>
        <v>0</v>
      </c>
      <c r="U104">
        <f>ROUND((Source!FY90/100)*((ROUND(Source!AF90*Source!I90, 2)+ROUND(Source!AE90*Source!I90, 2))), 2)</f>
        <v>0</v>
      </c>
      <c r="V104">
        <f>Source!Y90</f>
        <v>0</v>
      </c>
    </row>
    <row r="105" spans="1:26" ht="14.25" x14ac:dyDescent="0.2">
      <c r="A105" s="38"/>
      <c r="B105" s="39"/>
      <c r="C105" s="40" t="s">
        <v>540</v>
      </c>
      <c r="D105" s="41"/>
      <c r="E105" s="42"/>
      <c r="F105" s="43">
        <f>Source!AL90</f>
        <v>90.78</v>
      </c>
      <c r="G105" s="44" t="str">
        <f>Source!DD90</f>
        <v/>
      </c>
      <c r="H105" s="43">
        <f>ROUND(Source!AC90*Source!I90, 2)</f>
        <v>272.33999999999997</v>
      </c>
      <c r="I105" s="44"/>
      <c r="J105" s="44">
        <f>IF(Source!BC90&lt;&gt; 0, Source!BC90, 1)</f>
        <v>8.2899999999999991</v>
      </c>
      <c r="K105" s="43">
        <f>Source!P90</f>
        <v>2257.6999999999998</v>
      </c>
      <c r="L105" s="54"/>
    </row>
    <row r="106" spans="1:26" ht="15" x14ac:dyDescent="0.25">
      <c r="G106" s="89">
        <f>ROUND(Source!AC90*Source!I90, 2)+ROUND(Source!AF90*Source!I90, 2)+ROUND((((Source!ET90)-(Source!EU90))+Source!AE90)*Source!I90, 2)</f>
        <v>272.33999999999997</v>
      </c>
      <c r="H106" s="89"/>
      <c r="J106" s="89">
        <f>Source!O90</f>
        <v>2257.6999999999998</v>
      </c>
      <c r="K106" s="89"/>
      <c r="L106" s="37">
        <f>Source!U90</f>
        <v>0</v>
      </c>
      <c r="O106" s="36">
        <f>G106</f>
        <v>272.33999999999997</v>
      </c>
      <c r="P106" s="36">
        <f>J106</f>
        <v>2257.6999999999998</v>
      </c>
      <c r="Q106" s="36">
        <f>L106</f>
        <v>0</v>
      </c>
      <c r="W106">
        <f>IF(Source!BI90&lt;=1,G106, 0)</f>
        <v>0</v>
      </c>
      <c r="X106">
        <f>IF(Source!BI90=2,G106, 0)</f>
        <v>272.33999999999997</v>
      </c>
      <c r="Y106">
        <f>IF(Source!BI90=3,G106, 0)</f>
        <v>0</v>
      </c>
      <c r="Z106">
        <f>IF(Source!BI90=4,G106, 0)</f>
        <v>0</v>
      </c>
    </row>
    <row r="107" spans="1:26" ht="28.5" x14ac:dyDescent="0.2">
      <c r="A107" s="28" t="str">
        <f>Source!E91</f>
        <v>11</v>
      </c>
      <c r="B107" s="29" t="str">
        <f>Source!F91</f>
        <v>110-0316</v>
      </c>
      <c r="C107" s="15" t="str">
        <f>Source!G91</f>
        <v>Звено промежуточное трехлапчатое ПРТ-7-1</v>
      </c>
      <c r="D107" s="31" t="str">
        <f>Source!H91</f>
        <v>шт.</v>
      </c>
      <c r="E107" s="10">
        <f>Source!I91</f>
        <v>3</v>
      </c>
      <c r="F107" s="22">
        <f>IF(Source!AK91&lt;&gt; 0, Source!AK91,Source!AL91 + Source!AM91 + Source!AO91)</f>
        <v>36.979999999999997</v>
      </c>
      <c r="G107" s="16"/>
      <c r="H107" s="22"/>
      <c r="I107" s="16" t="str">
        <f>Source!BO91</f>
        <v>110-0316</v>
      </c>
      <c r="J107" s="16"/>
      <c r="K107" s="22"/>
      <c r="L107" s="32"/>
      <c r="S107">
        <f>ROUND((Source!FX91/100)*((ROUND(Source!AF91*Source!I91, 2)+ROUND(Source!AE91*Source!I91, 2))), 2)</f>
        <v>0</v>
      </c>
      <c r="T107">
        <f>Source!X91</f>
        <v>0</v>
      </c>
      <c r="U107">
        <f>ROUND((Source!FY91/100)*((ROUND(Source!AF91*Source!I91, 2)+ROUND(Source!AE91*Source!I91, 2))), 2)</f>
        <v>0</v>
      </c>
      <c r="V107">
        <f>Source!Y91</f>
        <v>0</v>
      </c>
    </row>
    <row r="108" spans="1:26" ht="14.25" x14ac:dyDescent="0.2">
      <c r="A108" s="38"/>
      <c r="B108" s="39"/>
      <c r="C108" s="40" t="s">
        <v>540</v>
      </c>
      <c r="D108" s="41"/>
      <c r="E108" s="42"/>
      <c r="F108" s="43">
        <f>Source!AL91</f>
        <v>36.979999999999997</v>
      </c>
      <c r="G108" s="44" t="str">
        <f>Source!DD91</f>
        <v/>
      </c>
      <c r="H108" s="43">
        <f>ROUND(Source!AC91*Source!I91, 2)</f>
        <v>110.94</v>
      </c>
      <c r="I108" s="44"/>
      <c r="J108" s="44">
        <f>IF(Source!BC91&lt;&gt; 0, Source!BC91, 1)</f>
        <v>4.92</v>
      </c>
      <c r="K108" s="43">
        <f>Source!P91</f>
        <v>545.82000000000005</v>
      </c>
      <c r="L108" s="54"/>
    </row>
    <row r="109" spans="1:26" ht="15" x14ac:dyDescent="0.25">
      <c r="G109" s="89">
        <f>ROUND(Source!AC91*Source!I91, 2)+ROUND(Source!AF91*Source!I91, 2)+ROUND((((Source!ET91)-(Source!EU91))+Source!AE91)*Source!I91, 2)</f>
        <v>110.94</v>
      </c>
      <c r="H109" s="89"/>
      <c r="J109" s="89">
        <f>Source!O91</f>
        <v>545.82000000000005</v>
      </c>
      <c r="K109" s="89"/>
      <c r="L109" s="37">
        <f>Source!U91</f>
        <v>0</v>
      </c>
      <c r="O109" s="36">
        <f>G109</f>
        <v>110.94</v>
      </c>
      <c r="P109" s="36">
        <f>J109</f>
        <v>545.82000000000005</v>
      </c>
      <c r="Q109" s="36">
        <f>L109</f>
        <v>0</v>
      </c>
      <c r="W109">
        <f>IF(Source!BI91&lt;=1,G109, 0)</f>
        <v>110.94</v>
      </c>
      <c r="X109">
        <f>IF(Source!BI91=2,G109, 0)</f>
        <v>0</v>
      </c>
      <c r="Y109">
        <f>IF(Source!BI91=3,G109, 0)</f>
        <v>0</v>
      </c>
      <c r="Z109">
        <f>IF(Source!BI91=4,G109, 0)</f>
        <v>0</v>
      </c>
    </row>
    <row r="110" spans="1:26" ht="14.25" x14ac:dyDescent="0.2">
      <c r="A110" s="28" t="str">
        <f>Source!E92</f>
        <v>12</v>
      </c>
      <c r="B110" s="29" t="str">
        <f>Source!F92</f>
        <v>509-1771</v>
      </c>
      <c r="C110" s="15" t="str">
        <f>Source!G92</f>
        <v>Ушко однолапчатое У1-7-16</v>
      </c>
      <c r="D110" s="31" t="str">
        <f>Source!H92</f>
        <v>шт.</v>
      </c>
      <c r="E110" s="10">
        <f>Source!I92</f>
        <v>3</v>
      </c>
      <c r="F110" s="22">
        <f>IF(Source!AK92&lt;&gt; 0, Source!AK92,Source!AL92 + Source!AM92 + Source!AO92)</f>
        <v>39.909999999999997</v>
      </c>
      <c r="G110" s="16"/>
      <c r="H110" s="22"/>
      <c r="I110" s="16" t="str">
        <f>Source!BO92</f>
        <v>509-1771</v>
      </c>
      <c r="J110" s="16"/>
      <c r="K110" s="22"/>
      <c r="L110" s="32"/>
      <c r="S110">
        <f>ROUND((Source!FX92/100)*((ROUND(Source!AF92*Source!I92, 2)+ROUND(Source!AE92*Source!I92, 2))), 2)</f>
        <v>0</v>
      </c>
      <c r="T110">
        <f>Source!X92</f>
        <v>0</v>
      </c>
      <c r="U110">
        <f>ROUND((Source!FY92/100)*((ROUND(Source!AF92*Source!I92, 2)+ROUND(Source!AE92*Source!I92, 2))), 2)</f>
        <v>0</v>
      </c>
      <c r="V110">
        <f>Source!Y92</f>
        <v>0</v>
      </c>
    </row>
    <row r="111" spans="1:26" ht="14.25" x14ac:dyDescent="0.2">
      <c r="A111" s="38"/>
      <c r="B111" s="39"/>
      <c r="C111" s="40" t="s">
        <v>540</v>
      </c>
      <c r="D111" s="41"/>
      <c r="E111" s="42"/>
      <c r="F111" s="43">
        <f>Source!AL92</f>
        <v>39.909999999999997</v>
      </c>
      <c r="G111" s="44" t="str">
        <f>Source!DD92</f>
        <v/>
      </c>
      <c r="H111" s="43">
        <f>ROUND(Source!AC92*Source!I92, 2)</f>
        <v>119.73</v>
      </c>
      <c r="I111" s="44"/>
      <c r="J111" s="44">
        <f>IF(Source!BC92&lt;&gt; 0, Source!BC92, 1)</f>
        <v>4.5</v>
      </c>
      <c r="K111" s="43">
        <f>Source!P92</f>
        <v>538.79</v>
      </c>
      <c r="L111" s="54"/>
    </row>
    <row r="112" spans="1:26" ht="15" x14ac:dyDescent="0.25">
      <c r="G112" s="89">
        <f>ROUND(Source!AC92*Source!I92, 2)+ROUND(Source!AF92*Source!I92, 2)+ROUND((((Source!ET92)-(Source!EU92))+Source!AE92)*Source!I92, 2)</f>
        <v>119.73</v>
      </c>
      <c r="H112" s="89"/>
      <c r="J112" s="89">
        <f>Source!O92</f>
        <v>538.79</v>
      </c>
      <c r="K112" s="89"/>
      <c r="L112" s="37">
        <f>Source!U92</f>
        <v>0</v>
      </c>
      <c r="O112" s="36">
        <f>G112</f>
        <v>119.73</v>
      </c>
      <c r="P112" s="36">
        <f>J112</f>
        <v>538.79</v>
      </c>
      <c r="Q112" s="36">
        <f>L112</f>
        <v>0</v>
      </c>
      <c r="W112">
        <f>IF(Source!BI92&lt;=1,G112, 0)</f>
        <v>0</v>
      </c>
      <c r="X112">
        <f>IF(Source!BI92=2,G112, 0)</f>
        <v>119.73</v>
      </c>
      <c r="Y112">
        <f>IF(Source!BI92=3,G112, 0)</f>
        <v>0</v>
      </c>
      <c r="Z112">
        <f>IF(Source!BI92=4,G112, 0)</f>
        <v>0</v>
      </c>
    </row>
    <row r="113" spans="1:26" ht="42.75" x14ac:dyDescent="0.2">
      <c r="A113" s="28" t="str">
        <f>Source!E93</f>
        <v>13</v>
      </c>
      <c r="B113" s="29" t="str">
        <f>Source!F93</f>
        <v>110-0345</v>
      </c>
      <c r="C113" s="15" t="str">
        <f>Source!G93</f>
        <v>Изоляторы линейные подвесные стеклянные ПСД-70Е  (прим. Изолятор ПС-70)</v>
      </c>
      <c r="D113" s="31" t="str">
        <f>Source!H93</f>
        <v>шт.</v>
      </c>
      <c r="E113" s="10">
        <f>Source!I93</f>
        <v>6</v>
      </c>
      <c r="F113" s="22">
        <f>IF(Source!AK93&lt;&gt; 0, Source!AK93,Source!AL93 + Source!AM93 + Source!AO93)</f>
        <v>171.79</v>
      </c>
      <c r="G113" s="16"/>
      <c r="H113" s="22"/>
      <c r="I113" s="16" t="str">
        <f>Source!BO93</f>
        <v>110-0345</v>
      </c>
      <c r="J113" s="16"/>
      <c r="K113" s="22"/>
      <c r="L113" s="32"/>
      <c r="S113">
        <f>ROUND((Source!FX93/100)*((ROUND(Source!AF93*Source!I93, 2)+ROUND(Source!AE93*Source!I93, 2))), 2)</f>
        <v>0</v>
      </c>
      <c r="T113">
        <f>Source!X93</f>
        <v>0</v>
      </c>
      <c r="U113">
        <f>ROUND((Source!FY93/100)*((ROUND(Source!AF93*Source!I93, 2)+ROUND(Source!AE93*Source!I93, 2))), 2)</f>
        <v>0</v>
      </c>
      <c r="V113">
        <f>Source!Y93</f>
        <v>0</v>
      </c>
    </row>
    <row r="114" spans="1:26" ht="14.25" x14ac:dyDescent="0.2">
      <c r="A114" s="38"/>
      <c r="B114" s="39"/>
      <c r="C114" s="40" t="s">
        <v>540</v>
      </c>
      <c r="D114" s="41"/>
      <c r="E114" s="42"/>
      <c r="F114" s="43">
        <f>Source!AL93</f>
        <v>171.79</v>
      </c>
      <c r="G114" s="44" t="str">
        <f>Source!DD93</f>
        <v/>
      </c>
      <c r="H114" s="43">
        <f>ROUND(Source!AC93*Source!I93, 2)</f>
        <v>1030.74</v>
      </c>
      <c r="I114" s="44"/>
      <c r="J114" s="44">
        <f>IF(Source!BC93&lt;&gt; 0, Source!BC93, 1)</f>
        <v>10.15</v>
      </c>
      <c r="K114" s="43">
        <f>Source!P93</f>
        <v>10462.01</v>
      </c>
      <c r="L114" s="54"/>
    </row>
    <row r="115" spans="1:26" ht="15" x14ac:dyDescent="0.25">
      <c r="G115" s="89">
        <f>ROUND(Source!AC93*Source!I93, 2)+ROUND(Source!AF93*Source!I93, 2)+ROUND((((Source!ET93)-(Source!EU93))+Source!AE93)*Source!I93, 2)</f>
        <v>1030.74</v>
      </c>
      <c r="H115" s="89"/>
      <c r="J115" s="89">
        <f>Source!O93</f>
        <v>10462.01</v>
      </c>
      <c r="K115" s="89"/>
      <c r="L115" s="37">
        <f>Source!U93</f>
        <v>0</v>
      </c>
      <c r="O115" s="36">
        <f>G115</f>
        <v>1030.74</v>
      </c>
      <c r="P115" s="36">
        <f>J115</f>
        <v>10462.01</v>
      </c>
      <c r="Q115" s="36">
        <f>L115</f>
        <v>0</v>
      </c>
      <c r="W115">
        <f>IF(Source!BI93&lt;=1,G115, 0)</f>
        <v>1030.74</v>
      </c>
      <c r="X115">
        <f>IF(Source!BI93=2,G115, 0)</f>
        <v>0</v>
      </c>
      <c r="Y115">
        <f>IF(Source!BI93=3,G115, 0)</f>
        <v>0</v>
      </c>
      <c r="Z115">
        <f>IF(Source!BI93=4,G115, 0)</f>
        <v>0</v>
      </c>
    </row>
    <row r="116" spans="1:26" ht="28.5" x14ac:dyDescent="0.2">
      <c r="A116" s="28" t="str">
        <f>Source!E94</f>
        <v>14</v>
      </c>
      <c r="B116" s="29" t="str">
        <f>Source!F94</f>
        <v>509-5944</v>
      </c>
      <c r="C116" s="15" t="str">
        <f>Source!G94</f>
        <v>Зажим аппаратный прессуемый А1А-70-2</v>
      </c>
      <c r="D116" s="31" t="str">
        <f>Source!H94</f>
        <v>шт.</v>
      </c>
      <c r="E116" s="10">
        <f>Source!I94</f>
        <v>6</v>
      </c>
      <c r="F116" s="22">
        <f>IF(Source!AK94&lt;&gt; 0, Source!AK94,Source!AL94 + Source!AM94 + Source!AO94)</f>
        <v>17.260000000000002</v>
      </c>
      <c r="G116" s="16"/>
      <c r="H116" s="22"/>
      <c r="I116" s="16" t="str">
        <f>Source!BO94</f>
        <v>509-5944</v>
      </c>
      <c r="J116" s="16"/>
      <c r="K116" s="22"/>
      <c r="L116" s="32"/>
      <c r="S116">
        <f>ROUND((Source!FX94/100)*((ROUND(Source!AF94*Source!I94, 2)+ROUND(Source!AE94*Source!I94, 2))), 2)</f>
        <v>0</v>
      </c>
      <c r="T116">
        <f>Source!X94</f>
        <v>0</v>
      </c>
      <c r="U116">
        <f>ROUND((Source!FY94/100)*((ROUND(Source!AF94*Source!I94, 2)+ROUND(Source!AE94*Source!I94, 2))), 2)</f>
        <v>0</v>
      </c>
      <c r="V116">
        <f>Source!Y94</f>
        <v>0</v>
      </c>
    </row>
    <row r="117" spans="1:26" ht="14.25" x14ac:dyDescent="0.2">
      <c r="A117" s="38"/>
      <c r="B117" s="39"/>
      <c r="C117" s="40" t="s">
        <v>540</v>
      </c>
      <c r="D117" s="41"/>
      <c r="E117" s="42"/>
      <c r="F117" s="43">
        <f>Source!AL94</f>
        <v>17.260000000000002</v>
      </c>
      <c r="G117" s="44" t="str">
        <f>Source!DD94</f>
        <v/>
      </c>
      <c r="H117" s="43">
        <f>ROUND(Source!AC94*Source!I94, 2)</f>
        <v>103.56</v>
      </c>
      <c r="I117" s="44"/>
      <c r="J117" s="44">
        <f>IF(Source!BC94&lt;&gt; 0, Source!BC94, 1)</f>
        <v>8.42</v>
      </c>
      <c r="K117" s="43">
        <f>Source!P94</f>
        <v>871.98</v>
      </c>
      <c r="L117" s="54"/>
    </row>
    <row r="118" spans="1:26" ht="15" x14ac:dyDescent="0.25">
      <c r="G118" s="89">
        <f>ROUND(Source!AC94*Source!I94, 2)+ROUND(Source!AF94*Source!I94, 2)+ROUND((((Source!ET94)-(Source!EU94))+Source!AE94)*Source!I94, 2)</f>
        <v>103.56</v>
      </c>
      <c r="H118" s="89"/>
      <c r="J118" s="89">
        <f>Source!O94</f>
        <v>871.98</v>
      </c>
      <c r="K118" s="89"/>
      <c r="L118" s="37">
        <f>Source!U94</f>
        <v>0</v>
      </c>
      <c r="O118" s="36">
        <f>G118</f>
        <v>103.56</v>
      </c>
      <c r="P118" s="36">
        <f>J118</f>
        <v>871.98</v>
      </c>
      <c r="Q118" s="36">
        <f>L118</f>
        <v>0</v>
      </c>
      <c r="W118">
        <f>IF(Source!BI94&lt;=1,G118, 0)</f>
        <v>0</v>
      </c>
      <c r="X118">
        <f>IF(Source!BI94=2,G118, 0)</f>
        <v>103.56</v>
      </c>
      <c r="Y118">
        <f>IF(Source!BI94=3,G118, 0)</f>
        <v>0</v>
      </c>
      <c r="Z118">
        <f>IF(Source!BI94=4,G118, 0)</f>
        <v>0</v>
      </c>
    </row>
    <row r="119" spans="1:26" ht="28.5" x14ac:dyDescent="0.2">
      <c r="A119" s="28" t="str">
        <f>Source!E95</f>
        <v>15</v>
      </c>
      <c r="B119" s="29" t="str">
        <f>Source!F95</f>
        <v>Прайс-лист</v>
      </c>
      <c r="C119" s="15" t="s">
        <v>541</v>
      </c>
      <c r="D119" s="31" t="str">
        <f>Source!H95</f>
        <v>шт.</v>
      </c>
      <c r="E119" s="10">
        <f>Source!I95</f>
        <v>1</v>
      </c>
      <c r="F119" s="22">
        <f>IF(Source!AK95&lt;&gt; 0, Source!AK95,Source!AL95 + Source!AM95 + Source!AO95)</f>
        <v>583.33000000000004</v>
      </c>
      <c r="G119" s="16"/>
      <c r="H119" s="22"/>
      <c r="I119" s="16" t="str">
        <f>Source!BO95</f>
        <v/>
      </c>
      <c r="J119" s="16"/>
      <c r="K119" s="22"/>
      <c r="L119" s="32"/>
      <c r="S119">
        <f>ROUND((Source!FX95/100)*((ROUND(Source!AF95*Source!I95, 2)+ROUND(Source!AE95*Source!I95, 2))), 2)</f>
        <v>0</v>
      </c>
      <c r="T119">
        <f>Source!X95</f>
        <v>0</v>
      </c>
      <c r="U119">
        <f>ROUND((Source!FY95/100)*((ROUND(Source!AF95*Source!I95, 2)+ROUND(Source!AE95*Source!I95, 2))), 2)</f>
        <v>0</v>
      </c>
      <c r="V119">
        <f>Source!Y95</f>
        <v>0</v>
      </c>
    </row>
    <row r="120" spans="1:26" ht="14.25" x14ac:dyDescent="0.2">
      <c r="A120" s="38"/>
      <c r="B120" s="39"/>
      <c r="C120" s="40" t="s">
        <v>540</v>
      </c>
      <c r="D120" s="41"/>
      <c r="E120" s="42"/>
      <c r="F120" s="43">
        <f>Source!AL95</f>
        <v>583.33000000000004</v>
      </c>
      <c r="G120" s="44" t="str">
        <f>Source!DD95</f>
        <v/>
      </c>
      <c r="H120" s="43">
        <f>ROUND(Source!AC95*Source!I95, 2)</f>
        <v>583.33000000000004</v>
      </c>
      <c r="I120" s="44"/>
      <c r="J120" s="44">
        <f>IF(Source!BC95&lt;&gt; 0, Source!BC95, 1)</f>
        <v>1</v>
      </c>
      <c r="K120" s="43">
        <f>Source!P95</f>
        <v>583.33000000000004</v>
      </c>
      <c r="L120" s="54"/>
    </row>
    <row r="121" spans="1:26" ht="15" x14ac:dyDescent="0.25">
      <c r="G121" s="89">
        <f>ROUND(Source!AC95*Source!I95, 2)+ROUND(Source!AF95*Source!I95, 2)+ROUND((((Source!ET95)-(Source!EU95))+Source!AE95)*Source!I95, 2)</f>
        <v>583.33000000000004</v>
      </c>
      <c r="H121" s="89"/>
      <c r="J121" s="89">
        <f>Source!O95</f>
        <v>583.33000000000004</v>
      </c>
      <c r="K121" s="89"/>
      <c r="L121" s="37">
        <f>Source!U95</f>
        <v>0</v>
      </c>
      <c r="O121" s="36">
        <f>G121</f>
        <v>583.33000000000004</v>
      </c>
      <c r="P121" s="36">
        <f>J121</f>
        <v>583.33000000000004</v>
      </c>
      <c r="Q121" s="36">
        <f>L121</f>
        <v>0</v>
      </c>
      <c r="W121">
        <f>IF(Source!BI95&lt;=1,G121, 0)</f>
        <v>583.33000000000004</v>
      </c>
      <c r="X121">
        <f>IF(Source!BI95=2,G121, 0)</f>
        <v>0</v>
      </c>
      <c r="Y121">
        <f>IF(Source!BI95=3,G121, 0)</f>
        <v>0</v>
      </c>
      <c r="Z121">
        <f>IF(Source!BI95=4,G121, 0)</f>
        <v>0</v>
      </c>
    </row>
    <row r="122" spans="1:26" ht="28.5" x14ac:dyDescent="0.2">
      <c r="A122" s="28" t="str">
        <f>Source!E96</f>
        <v>16</v>
      </c>
      <c r="B122" s="29" t="str">
        <f>Source!F96</f>
        <v>33-04-030-1</v>
      </c>
      <c r="C122" s="15" t="str">
        <f>Source!G96</f>
        <v>Установка разрядников с помощью механизмов</v>
      </c>
      <c r="D122" s="31" t="str">
        <f>Source!H96</f>
        <v>1 КОМПЛ.</v>
      </c>
      <c r="E122" s="10">
        <f>Source!I96</f>
        <v>1</v>
      </c>
      <c r="F122" s="22">
        <f>IF(Source!AK96&lt;&gt; 0, Source!AK96,Source!AL96 + Source!AM96 + Source!AO96)</f>
        <v>141.72</v>
      </c>
      <c r="G122" s="16"/>
      <c r="H122" s="22"/>
      <c r="I122" s="16" t="str">
        <f>Source!BO96</f>
        <v>33-04-030-1</v>
      </c>
      <c r="J122" s="16"/>
      <c r="K122" s="22"/>
      <c r="L122" s="32"/>
      <c r="S122">
        <f>ROUND((Source!FX96/100)*((ROUND(Source!AF96*Source!I96, 2)+ROUND(Source!AE96*Source!I96, 2))), 2)</f>
        <v>45.58</v>
      </c>
      <c r="T122">
        <f>Source!X96</f>
        <v>1607.52</v>
      </c>
      <c r="U122">
        <f>ROUND((Source!FY96/100)*((ROUND(Source!AF96*Source!I96, 2)+ROUND(Source!AE96*Source!I96, 2))), 2)</f>
        <v>26.55</v>
      </c>
      <c r="V122">
        <f>Source!Y96</f>
        <v>936.42</v>
      </c>
    </row>
    <row r="123" spans="1:26" ht="14.25" x14ac:dyDescent="0.2">
      <c r="A123" s="28"/>
      <c r="B123" s="29"/>
      <c r="C123" s="15" t="s">
        <v>533</v>
      </c>
      <c r="D123" s="31"/>
      <c r="E123" s="10"/>
      <c r="F123" s="22">
        <f>Source!AO96</f>
        <v>35.520000000000003</v>
      </c>
      <c r="G123" s="16" t="str">
        <f>Source!DG96</f>
        <v/>
      </c>
      <c r="H123" s="22">
        <f>ROUND(Source!AF96*Source!I96, 2)</f>
        <v>35.520000000000003</v>
      </c>
      <c r="I123" s="16"/>
      <c r="J123" s="16">
        <f>IF(Source!BA96&lt;&gt; 0, Source!BA96, 1)</f>
        <v>35.270000000000003</v>
      </c>
      <c r="K123" s="22">
        <f>Source!S96</f>
        <v>1252.79</v>
      </c>
      <c r="L123" s="32"/>
      <c r="R123">
        <f>H123</f>
        <v>35.520000000000003</v>
      </c>
    </row>
    <row r="124" spans="1:26" ht="14.25" x14ac:dyDescent="0.2">
      <c r="A124" s="28"/>
      <c r="B124" s="29"/>
      <c r="C124" s="15" t="s">
        <v>45</v>
      </c>
      <c r="D124" s="31"/>
      <c r="E124" s="10"/>
      <c r="F124" s="22">
        <f>Source!AM96</f>
        <v>103.26</v>
      </c>
      <c r="G124" s="16" t="str">
        <f>Source!DE96</f>
        <v/>
      </c>
      <c r="H124" s="22">
        <f>ROUND((((Source!ET96)-(Source!EU96))+Source!AE96)*Source!I96, 2)</f>
        <v>103.26</v>
      </c>
      <c r="I124" s="16"/>
      <c r="J124" s="16">
        <f>IF(Source!BB96&lt;&gt; 0, Source!BB96, 1)</f>
        <v>11.22</v>
      </c>
      <c r="K124" s="22">
        <f>Source!Q96</f>
        <v>1158.58</v>
      </c>
      <c r="L124" s="32"/>
    </row>
    <row r="125" spans="1:26" ht="14.25" x14ac:dyDescent="0.2">
      <c r="A125" s="28"/>
      <c r="B125" s="29"/>
      <c r="C125" s="15" t="s">
        <v>534</v>
      </c>
      <c r="D125" s="31"/>
      <c r="E125" s="10"/>
      <c r="F125" s="22">
        <f>Source!AN96</f>
        <v>8.73</v>
      </c>
      <c r="G125" s="16" t="str">
        <f>Source!DF96</f>
        <v/>
      </c>
      <c r="H125" s="22">
        <f>ROUND(Source!AE96*Source!I96, 2)</f>
        <v>8.73</v>
      </c>
      <c r="I125" s="16"/>
      <c r="J125" s="16">
        <f>IF(Source!BS96&lt;&gt; 0, Source!BS96, 1)</f>
        <v>35.270000000000003</v>
      </c>
      <c r="K125" s="22">
        <f>Source!R96</f>
        <v>307.91000000000003</v>
      </c>
      <c r="L125" s="32"/>
      <c r="R125">
        <f>H125</f>
        <v>8.73</v>
      </c>
    </row>
    <row r="126" spans="1:26" ht="14.25" x14ac:dyDescent="0.2">
      <c r="A126" s="28"/>
      <c r="B126" s="29"/>
      <c r="C126" s="15" t="s">
        <v>540</v>
      </c>
      <c r="D126" s="31"/>
      <c r="E126" s="10"/>
      <c r="F126" s="22">
        <f>Source!AL96</f>
        <v>2.94</v>
      </c>
      <c r="G126" s="16" t="str">
        <f>Source!DD96</f>
        <v/>
      </c>
      <c r="H126" s="22">
        <f>ROUND(Source!AC96*Source!I96, 2)</f>
        <v>2.94</v>
      </c>
      <c r="I126" s="16"/>
      <c r="J126" s="16">
        <f>IF(Source!BC96&lt;&gt; 0, Source!BC96, 1)</f>
        <v>13.66</v>
      </c>
      <c r="K126" s="22">
        <f>Source!P96</f>
        <v>40.159999999999997</v>
      </c>
      <c r="L126" s="32"/>
    </row>
    <row r="127" spans="1:26" ht="14.25" x14ac:dyDescent="0.2">
      <c r="A127" s="28"/>
      <c r="B127" s="29"/>
      <c r="C127" s="15" t="s">
        <v>535</v>
      </c>
      <c r="D127" s="31" t="s">
        <v>536</v>
      </c>
      <c r="E127" s="10">
        <f>Source!BZ96</f>
        <v>103</v>
      </c>
      <c r="F127" s="33"/>
      <c r="G127" s="16"/>
      <c r="H127" s="22">
        <f>SUM(S122:S129)</f>
        <v>45.58</v>
      </c>
      <c r="I127" s="34"/>
      <c r="J127" s="15">
        <f>Source!AT96</f>
        <v>103</v>
      </c>
      <c r="K127" s="22">
        <f>SUM(T122:T129)</f>
        <v>1607.52</v>
      </c>
      <c r="L127" s="32"/>
    </row>
    <row r="128" spans="1:26" ht="14.25" x14ac:dyDescent="0.2">
      <c r="A128" s="28"/>
      <c r="B128" s="29"/>
      <c r="C128" s="15" t="s">
        <v>537</v>
      </c>
      <c r="D128" s="31" t="s">
        <v>536</v>
      </c>
      <c r="E128" s="10">
        <f>Source!CA96</f>
        <v>60</v>
      </c>
      <c r="F128" s="33"/>
      <c r="G128" s="16"/>
      <c r="H128" s="22">
        <f>SUM(U122:U129)</f>
        <v>26.55</v>
      </c>
      <c r="I128" s="34"/>
      <c r="J128" s="15">
        <f>Source!AU96</f>
        <v>60</v>
      </c>
      <c r="K128" s="22">
        <f>SUM(V122:V129)</f>
        <v>936.42</v>
      </c>
      <c r="L128" s="32"/>
    </row>
    <row r="129" spans="1:28" ht="14.25" x14ac:dyDescent="0.2">
      <c r="A129" s="38"/>
      <c r="B129" s="39"/>
      <c r="C129" s="40" t="s">
        <v>538</v>
      </c>
      <c r="D129" s="41" t="s">
        <v>539</v>
      </c>
      <c r="E129" s="42">
        <f>Source!AQ96</f>
        <v>4.29</v>
      </c>
      <c r="F129" s="43"/>
      <c r="G129" s="44" t="str">
        <f>Source!DI96</f>
        <v/>
      </c>
      <c r="H129" s="43"/>
      <c r="I129" s="44"/>
      <c r="J129" s="44"/>
      <c r="K129" s="43"/>
      <c r="L129" s="45">
        <f>Source!U96</f>
        <v>4.29</v>
      </c>
    </row>
    <row r="130" spans="1:28" ht="15" x14ac:dyDescent="0.25">
      <c r="G130" s="89">
        <f>ROUND(Source!AC96*Source!I96, 2)+ROUND(Source!AF96*Source!I96, 2)+ROUND((((Source!ET96)-(Source!EU96))+Source!AE96)*Source!I96, 2)+SUM(H127:H128)</f>
        <v>213.85</v>
      </c>
      <c r="H130" s="89"/>
      <c r="J130" s="89">
        <f>Source!O96+SUM(K127:K128)</f>
        <v>4995.47</v>
      </c>
      <c r="K130" s="89"/>
      <c r="L130" s="37">
        <f>Source!U96</f>
        <v>4.29</v>
      </c>
      <c r="O130" s="36">
        <f>G130</f>
        <v>213.85</v>
      </c>
      <c r="P130" s="36">
        <f>J130</f>
        <v>4995.47</v>
      </c>
      <c r="Q130" s="36">
        <f>L130</f>
        <v>4.29</v>
      </c>
      <c r="W130">
        <f>IF(Source!BI96&lt;=1,G130, 0)</f>
        <v>213.85</v>
      </c>
      <c r="X130">
        <f>IF(Source!BI96=2,G130, 0)</f>
        <v>0</v>
      </c>
      <c r="Y130">
        <f>IF(Source!BI96=3,G130, 0)</f>
        <v>0</v>
      </c>
      <c r="Z130">
        <f>IF(Source!BI96=4,G130, 0)</f>
        <v>0</v>
      </c>
    </row>
    <row r="131" spans="1:28" ht="28.5" x14ac:dyDescent="0.2">
      <c r="A131" s="28" t="str">
        <f>Source!E102</f>
        <v>17</v>
      </c>
      <c r="B131" s="29" t="str">
        <f>Source!F102</f>
        <v>204-0003</v>
      </c>
      <c r="C131" s="15" t="str">
        <f>Source!G102</f>
        <v>Горячекатаная арматурная сталь гладкая класса А-I, диаметром 10 мм</v>
      </c>
      <c r="D131" s="31" t="str">
        <f>Source!H102</f>
        <v>т</v>
      </c>
      <c r="E131" s="10">
        <f>Source!I102</f>
        <v>5.169E-3</v>
      </c>
      <c r="F131" s="22">
        <f>IF(Source!AK102&lt;&gt; 0, Source!AK102,Source!AL102 + Source!AM102 + Source!AO102)</f>
        <v>6813</v>
      </c>
      <c r="G131" s="16"/>
      <c r="H131" s="22"/>
      <c r="I131" s="16" t="str">
        <f>Source!BO102</f>
        <v>204-0003</v>
      </c>
      <c r="J131" s="16"/>
      <c r="K131" s="22"/>
      <c r="L131" s="32"/>
      <c r="S131">
        <f>ROUND((Source!FX102/100)*((ROUND(Source!AF102*Source!I102, 2)+ROUND(Source!AE102*Source!I102, 2))), 2)</f>
        <v>0</v>
      </c>
      <c r="T131">
        <f>Source!X102</f>
        <v>0</v>
      </c>
      <c r="U131">
        <f>ROUND((Source!FY102/100)*((ROUND(Source!AF102*Source!I102, 2)+ROUND(Source!AE102*Source!I102, 2))), 2)</f>
        <v>0</v>
      </c>
      <c r="V131">
        <f>Source!Y102</f>
        <v>0</v>
      </c>
    </row>
    <row r="132" spans="1:28" ht="14.25" x14ac:dyDescent="0.2">
      <c r="A132" s="38"/>
      <c r="B132" s="39"/>
      <c r="C132" s="40" t="s">
        <v>540</v>
      </c>
      <c r="D132" s="41"/>
      <c r="E132" s="42"/>
      <c r="F132" s="43">
        <f>Source!AL102</f>
        <v>6813</v>
      </c>
      <c r="G132" s="44" t="str">
        <f>Source!DD102</f>
        <v/>
      </c>
      <c r="H132" s="43">
        <f>ROUND(Source!AC102*Source!I102, 2)</f>
        <v>35.22</v>
      </c>
      <c r="I132" s="44"/>
      <c r="J132" s="44">
        <f>IF(Source!BC102&lt;&gt; 0, Source!BC102, 1)</f>
        <v>10.43</v>
      </c>
      <c r="K132" s="43">
        <f>Source!P102</f>
        <v>367.31</v>
      </c>
      <c r="L132" s="54"/>
    </row>
    <row r="133" spans="1:28" ht="15" x14ac:dyDescent="0.25">
      <c r="G133" s="89">
        <f>ROUND(Source!AC102*Source!I102, 2)+ROUND(Source!AF102*Source!I102, 2)+ROUND((((Source!ET102)-(Source!EU102))+Source!AE102)*Source!I102, 2)</f>
        <v>35.22</v>
      </c>
      <c r="H133" s="89"/>
      <c r="J133" s="89">
        <f>Source!O102</f>
        <v>367.31</v>
      </c>
      <c r="K133" s="89"/>
      <c r="L133" s="37">
        <f>Source!U102</f>
        <v>0</v>
      </c>
      <c r="O133" s="36">
        <f>G133</f>
        <v>35.22</v>
      </c>
      <c r="P133" s="36">
        <f>J133</f>
        <v>367.31</v>
      </c>
      <c r="Q133" s="36">
        <f>L133</f>
        <v>0</v>
      </c>
      <c r="W133">
        <f>IF(Source!BI102&lt;=1,G133, 0)</f>
        <v>35.22</v>
      </c>
      <c r="X133">
        <f>IF(Source!BI102=2,G133, 0)</f>
        <v>0</v>
      </c>
      <c r="Y133">
        <f>IF(Source!BI102=3,G133, 0)</f>
        <v>0</v>
      </c>
      <c r="Z133">
        <f>IF(Source!BI102=4,G133, 0)</f>
        <v>0</v>
      </c>
    </row>
    <row r="134" spans="1:28" ht="42.75" x14ac:dyDescent="0.2">
      <c r="A134" s="28" t="str">
        <f>Source!E103</f>
        <v>18</v>
      </c>
      <c r="B134" s="29" t="str">
        <f>Source!F103</f>
        <v>33-03-004-1</v>
      </c>
      <c r="C134" s="15" t="str">
        <f>Source!G103</f>
        <v>Забивка вертикальных заземлителей механизированная на глубину до 5 м</v>
      </c>
      <c r="D134" s="31" t="str">
        <f>Source!H103</f>
        <v>1 заземлитель</v>
      </c>
      <c r="E134" s="10">
        <f>Source!I103</f>
        <v>2</v>
      </c>
      <c r="F134" s="22">
        <f>IF(Source!AK103&lt;&gt; 0, Source!AK103,Source!AL103 + Source!AM103 + Source!AO103)</f>
        <v>140.05000000000001</v>
      </c>
      <c r="G134" s="16"/>
      <c r="H134" s="22"/>
      <c r="I134" s="16" t="str">
        <f>Source!BO103</f>
        <v>33-03-004-1</v>
      </c>
      <c r="J134" s="16"/>
      <c r="K134" s="22"/>
      <c r="L134" s="32"/>
      <c r="S134">
        <f>ROUND((Source!FX103/100)*((ROUND(Source!AF103*Source!I103, 2)+ROUND(Source!AE103*Source!I103, 2))), 2)</f>
        <v>24.49</v>
      </c>
      <c r="T134">
        <f>Source!X103</f>
        <v>863.88</v>
      </c>
      <c r="U134">
        <f>ROUND((Source!FY103/100)*((ROUND(Source!AF103*Source!I103, 2)+ROUND(Source!AE103*Source!I103, 2))), 2)</f>
        <v>14.27</v>
      </c>
      <c r="V134">
        <f>Source!Y103</f>
        <v>503.23</v>
      </c>
    </row>
    <row r="135" spans="1:28" ht="14.25" x14ac:dyDescent="0.2">
      <c r="A135" s="28"/>
      <c r="B135" s="29"/>
      <c r="C135" s="15" t="s">
        <v>533</v>
      </c>
      <c r="D135" s="31"/>
      <c r="E135" s="10"/>
      <c r="F135" s="22">
        <f>Source!AO103</f>
        <v>6.4</v>
      </c>
      <c r="G135" s="16" t="str">
        <f>Source!DG103</f>
        <v/>
      </c>
      <c r="H135" s="22">
        <f>ROUND(Source!AF103*Source!I103, 2)</f>
        <v>12.8</v>
      </c>
      <c r="I135" s="16"/>
      <c r="J135" s="16">
        <f>IF(Source!BA103&lt;&gt; 0, Source!BA103, 1)</f>
        <v>35.270000000000003</v>
      </c>
      <c r="K135" s="22">
        <f>Source!S103</f>
        <v>451.46</v>
      </c>
      <c r="L135" s="32"/>
      <c r="R135">
        <f>H135</f>
        <v>12.8</v>
      </c>
    </row>
    <row r="136" spans="1:28" ht="14.25" x14ac:dyDescent="0.2">
      <c r="A136" s="28"/>
      <c r="B136" s="29"/>
      <c r="C136" s="15" t="s">
        <v>45</v>
      </c>
      <c r="D136" s="31"/>
      <c r="E136" s="10"/>
      <c r="F136" s="22">
        <f>Source!AM103</f>
        <v>100.39</v>
      </c>
      <c r="G136" s="16" t="str">
        <f>Source!DE103</f>
        <v/>
      </c>
      <c r="H136" s="22">
        <f>ROUND((((Source!ET103)-(Source!EU103))+Source!AE103)*Source!I103, 2)</f>
        <v>200.78</v>
      </c>
      <c r="I136" s="16"/>
      <c r="J136" s="16">
        <f>IF(Source!BB103&lt;&gt; 0, Source!BB103, 1)</f>
        <v>9.14</v>
      </c>
      <c r="K136" s="22">
        <f>Source!Q103</f>
        <v>1835.13</v>
      </c>
      <c r="L136" s="32"/>
    </row>
    <row r="137" spans="1:28" ht="14.25" x14ac:dyDescent="0.2">
      <c r="A137" s="28"/>
      <c r="B137" s="29"/>
      <c r="C137" s="15" t="s">
        <v>534</v>
      </c>
      <c r="D137" s="31"/>
      <c r="E137" s="10"/>
      <c r="F137" s="22">
        <f>Source!AN103</f>
        <v>5.49</v>
      </c>
      <c r="G137" s="16" t="str">
        <f>Source!DF103</f>
        <v/>
      </c>
      <c r="H137" s="22">
        <f>ROUND(Source!AE103*Source!I103, 2)</f>
        <v>10.98</v>
      </c>
      <c r="I137" s="16"/>
      <c r="J137" s="16">
        <f>IF(Source!BS103&lt;&gt; 0, Source!BS103, 1)</f>
        <v>35.270000000000003</v>
      </c>
      <c r="K137" s="22">
        <f>Source!R103</f>
        <v>387.26</v>
      </c>
      <c r="L137" s="32"/>
      <c r="R137">
        <f>H137</f>
        <v>10.98</v>
      </c>
    </row>
    <row r="138" spans="1:28" ht="14.25" x14ac:dyDescent="0.2">
      <c r="A138" s="28"/>
      <c r="B138" s="29"/>
      <c r="C138" s="15" t="s">
        <v>540</v>
      </c>
      <c r="D138" s="31"/>
      <c r="E138" s="10"/>
      <c r="F138" s="22">
        <f>Source!AL103</f>
        <v>33.26</v>
      </c>
      <c r="G138" s="16" t="str">
        <f>Source!DD103</f>
        <v/>
      </c>
      <c r="H138" s="22">
        <f>ROUND(Source!AC103*Source!I103, 2)</f>
        <v>66.52</v>
      </c>
      <c r="I138" s="16"/>
      <c r="J138" s="16">
        <f>IF(Source!BC103&lt;&gt; 0, Source!BC103, 1)</f>
        <v>10.55</v>
      </c>
      <c r="K138" s="22">
        <f>Source!P103</f>
        <v>701.79</v>
      </c>
      <c r="L138" s="32"/>
    </row>
    <row r="139" spans="1:28" ht="14.25" x14ac:dyDescent="0.2">
      <c r="A139" s="28"/>
      <c r="B139" s="29"/>
      <c r="C139" s="15" t="s">
        <v>535</v>
      </c>
      <c r="D139" s="31" t="s">
        <v>536</v>
      </c>
      <c r="E139" s="10">
        <f>Source!BZ103</f>
        <v>103</v>
      </c>
      <c r="F139" s="33"/>
      <c r="G139" s="16"/>
      <c r="H139" s="22">
        <f>SUM(S134:S142)</f>
        <v>24.49</v>
      </c>
      <c r="I139" s="34"/>
      <c r="J139" s="15">
        <f>Source!AT103</f>
        <v>103</v>
      </c>
      <c r="K139" s="22">
        <f>SUM(T134:T142)</f>
        <v>863.88</v>
      </c>
      <c r="L139" s="32"/>
    </row>
    <row r="140" spans="1:28" ht="14.25" x14ac:dyDescent="0.2">
      <c r="A140" s="28"/>
      <c r="B140" s="29"/>
      <c r="C140" s="15" t="s">
        <v>537</v>
      </c>
      <c r="D140" s="31" t="s">
        <v>536</v>
      </c>
      <c r="E140" s="10">
        <f>Source!CA103</f>
        <v>60</v>
      </c>
      <c r="F140" s="33"/>
      <c r="G140" s="16"/>
      <c r="H140" s="22">
        <f>SUM(U134:U142)</f>
        <v>14.27</v>
      </c>
      <c r="I140" s="34"/>
      <c r="J140" s="15">
        <f>Source!AU103</f>
        <v>60</v>
      </c>
      <c r="K140" s="22">
        <f>SUM(V134:V142)</f>
        <v>503.23</v>
      </c>
      <c r="L140" s="32"/>
    </row>
    <row r="141" spans="1:28" ht="14.25" x14ac:dyDescent="0.2">
      <c r="A141" s="28"/>
      <c r="B141" s="29"/>
      <c r="C141" s="15" t="s">
        <v>538</v>
      </c>
      <c r="D141" s="31" t="s">
        <v>539</v>
      </c>
      <c r="E141" s="10">
        <f>Source!AQ103</f>
        <v>0.81</v>
      </c>
      <c r="F141" s="22"/>
      <c r="G141" s="16" t="str">
        <f>Source!DI103</f>
        <v/>
      </c>
      <c r="H141" s="22"/>
      <c r="I141" s="16"/>
      <c r="J141" s="16"/>
      <c r="K141" s="22"/>
      <c r="L141" s="35">
        <f>Source!U103</f>
        <v>1.62</v>
      </c>
    </row>
    <row r="142" spans="1:28" ht="42.75" x14ac:dyDescent="0.2">
      <c r="A142" s="49" t="str">
        <f>Source!E104</f>
        <v>18,1</v>
      </c>
      <c r="B142" s="49" t="str">
        <f>Source!F104</f>
        <v>204-0004</v>
      </c>
      <c r="C142" s="49" t="s">
        <v>542</v>
      </c>
      <c r="D142" s="50" t="str">
        <f>Source!H104</f>
        <v>т</v>
      </c>
      <c r="E142" s="51">
        <f>Source!I104</f>
        <v>-0.01</v>
      </c>
      <c r="F142" s="52">
        <f>Source!AK104</f>
        <v>6594</v>
      </c>
      <c r="G142" s="53" t="s">
        <v>3</v>
      </c>
      <c r="H142" s="52">
        <f>ROUND(Source!AC104*Source!I104, 2)+ROUND((((Source!ET104)-(Source!EU104))+Source!AE104)*Source!I104, 2)+ROUND(Source!AF104*Source!I104, 2)</f>
        <v>-65.94</v>
      </c>
      <c r="I142" s="50"/>
      <c r="J142" s="50">
        <f>IF(Source!BC104&lt;&gt; 0, Source!BC104, 1)</f>
        <v>10.53</v>
      </c>
      <c r="K142" s="52">
        <f>Source!O104</f>
        <v>-694.35</v>
      </c>
      <c r="L142" s="52"/>
      <c r="S142">
        <f>ROUND((Source!FX104/100)*((ROUND(Source!AF104*Source!I104, 2)+ROUND(Source!AE104*Source!I104, 2))), 2)</f>
        <v>0</v>
      </c>
      <c r="T142">
        <f>Source!X104</f>
        <v>0</v>
      </c>
      <c r="U142">
        <f>ROUND((Source!FY104/100)*((ROUND(Source!AF104*Source!I104, 2)+ROUND(Source!AE104*Source!I104, 2))), 2)</f>
        <v>0</v>
      </c>
      <c r="V142">
        <f>Source!Y104</f>
        <v>0</v>
      </c>
      <c r="Y142">
        <f>IF(Source!BI104=3,H142, 0)</f>
        <v>0</v>
      </c>
      <c r="AA142">
        <f>ROUND(Source!AC104*Source!I104, 2)+ROUND((((Source!ET104)-(Source!EU104))+Source!AE104)*Source!I104, 2)+ROUND(Source!AF104*Source!I104, 2)</f>
        <v>-65.94</v>
      </c>
      <c r="AB142">
        <f>Source!O104</f>
        <v>-694.35</v>
      </c>
    </row>
    <row r="143" spans="1:28" ht="15" x14ac:dyDescent="0.25">
      <c r="G143" s="89">
        <f>ROUND(Source!AC103*Source!I103, 2)+ROUND(Source!AF103*Source!I103, 2)+ROUND((((Source!ET103)-(Source!EU103))+Source!AE103)*Source!I103, 2)+SUM(H139:H140)+SUM(AA142:AA142)</f>
        <v>252.92000000000002</v>
      </c>
      <c r="H143" s="89"/>
      <c r="J143" s="89">
        <f>Source!O103+SUM(K139:K140)+SUM(AB142:AB142)</f>
        <v>3661.14</v>
      </c>
      <c r="K143" s="89"/>
      <c r="L143" s="37">
        <f>Source!U103</f>
        <v>1.62</v>
      </c>
      <c r="O143" s="36">
        <f>G143</f>
        <v>252.92000000000002</v>
      </c>
      <c r="P143" s="36">
        <f>J143</f>
        <v>3661.14</v>
      </c>
      <c r="Q143" s="36">
        <f>L143</f>
        <v>1.62</v>
      </c>
      <c r="W143">
        <f>IF(Source!BI103&lt;=1,G143, 0)</f>
        <v>252.92000000000002</v>
      </c>
      <c r="X143">
        <f>IF(Source!BI103=2,G143, 0)</f>
        <v>0</v>
      </c>
      <c r="Y143">
        <f>IF(Source!BI103=3,G143, 0)</f>
        <v>0</v>
      </c>
      <c r="Z143">
        <f>IF(Source!BI103=4,G143, 0)</f>
        <v>0</v>
      </c>
    </row>
    <row r="144" spans="1:28" ht="28.5" x14ac:dyDescent="0.2">
      <c r="A144" s="28" t="str">
        <f>Source!E105</f>
        <v>19</v>
      </c>
      <c r="B144" s="29" t="str">
        <f>Source!F105</f>
        <v>101-1641</v>
      </c>
      <c r="C144" s="15" t="str">
        <f>Source!G105</f>
        <v>Сталь угловая равнополочная, марка стали ВСт3кп2, размером 50x50x5 мм</v>
      </c>
      <c r="D144" s="31" t="str">
        <f>Source!H105</f>
        <v>т</v>
      </c>
      <c r="E144" s="10">
        <f>Source!I105</f>
        <v>2.223E-2</v>
      </c>
      <c r="F144" s="22">
        <f>IF(Source!AK105&lt;&gt; 0, Source!AK105,Source!AL105 + Source!AM105 + Source!AO105)</f>
        <v>6074</v>
      </c>
      <c r="G144" s="16"/>
      <c r="H144" s="22"/>
      <c r="I144" s="16" t="str">
        <f>Source!BO105</f>
        <v>101-1641</v>
      </c>
      <c r="J144" s="16"/>
      <c r="K144" s="22"/>
      <c r="L144" s="32"/>
      <c r="S144">
        <f>ROUND((Source!FX105/100)*((ROUND(Source!AF105*Source!I105, 2)+ROUND(Source!AE105*Source!I105, 2))), 2)</f>
        <v>0</v>
      </c>
      <c r="T144">
        <f>Source!X105</f>
        <v>0</v>
      </c>
      <c r="U144">
        <f>ROUND((Source!FY105/100)*((ROUND(Source!AF105*Source!I105, 2)+ROUND(Source!AE105*Source!I105, 2))), 2)</f>
        <v>0</v>
      </c>
      <c r="V144">
        <f>Source!Y105</f>
        <v>0</v>
      </c>
    </row>
    <row r="145" spans="1:32" x14ac:dyDescent="0.2">
      <c r="C145" s="55" t="str">
        <f>"Объем: "&amp;Source!I105&amp;"=0,011115*"&amp;"2"</f>
        <v>Объем: 0,02223=0,011115*2</v>
      </c>
    </row>
    <row r="146" spans="1:32" ht="14.25" x14ac:dyDescent="0.2">
      <c r="A146" s="38"/>
      <c r="B146" s="39"/>
      <c r="C146" s="40" t="s">
        <v>540</v>
      </c>
      <c r="D146" s="41"/>
      <c r="E146" s="42"/>
      <c r="F146" s="43">
        <f>Source!AL105</f>
        <v>6074</v>
      </c>
      <c r="G146" s="44" t="str">
        <f>Source!DD105</f>
        <v/>
      </c>
      <c r="H146" s="43">
        <f>ROUND(Source!AC105*Source!I105, 2)</f>
        <v>135.03</v>
      </c>
      <c r="I146" s="44"/>
      <c r="J146" s="44">
        <f>IF(Source!BC105&lt;&gt; 0, Source!BC105, 1)</f>
        <v>13.67</v>
      </c>
      <c r="K146" s="43">
        <f>Source!P105</f>
        <v>1845.79</v>
      </c>
      <c r="L146" s="54"/>
    </row>
    <row r="147" spans="1:32" ht="15" x14ac:dyDescent="0.25">
      <c r="G147" s="89">
        <f>ROUND(Source!AC105*Source!I105, 2)+ROUND(Source!AF105*Source!I105, 2)+ROUND((((Source!ET105)-(Source!EU105))+Source!AE105)*Source!I105, 2)</f>
        <v>135.03</v>
      </c>
      <c r="H147" s="89"/>
      <c r="J147" s="89">
        <f>Source!O105</f>
        <v>1845.79</v>
      </c>
      <c r="K147" s="89"/>
      <c r="L147" s="37">
        <f>Source!U105</f>
        <v>0</v>
      </c>
      <c r="O147" s="36">
        <f>G147</f>
        <v>135.03</v>
      </c>
      <c r="P147" s="36">
        <f>J147</f>
        <v>1845.79</v>
      </c>
      <c r="Q147" s="36">
        <f>L147</f>
        <v>0</v>
      </c>
      <c r="W147">
        <f>IF(Source!BI105&lt;=1,G147, 0)</f>
        <v>135.03</v>
      </c>
      <c r="X147">
        <f>IF(Source!BI105=2,G147, 0)</f>
        <v>0</v>
      </c>
      <c r="Y147">
        <f>IF(Source!BI105=3,G147, 0)</f>
        <v>0</v>
      </c>
      <c r="Z147">
        <f>IF(Source!BI105=4,G147, 0)</f>
        <v>0</v>
      </c>
    </row>
    <row r="148" spans="1:32" ht="42.75" x14ac:dyDescent="0.2">
      <c r="A148" s="28" t="str">
        <f>Source!E106</f>
        <v>20</v>
      </c>
      <c r="B148" s="29" t="str">
        <f>Source!F106</f>
        <v>33-04-031-3</v>
      </c>
      <c r="C148" s="15" t="str">
        <f>Source!G106</f>
        <v>Установка оборудования пунктов секционирования на железобетонных стойках опор ВЛ</v>
      </c>
      <c r="D148" s="31" t="str">
        <f>Source!H106</f>
        <v>1 ПУНКТ</v>
      </c>
      <c r="E148" s="10">
        <f>Source!I106</f>
        <v>1</v>
      </c>
      <c r="F148" s="22">
        <f>IF(Source!AK106&lt;&gt; 0, Source!AK106,Source!AL106 + Source!AM106 + Source!AO106)</f>
        <v>1214.69</v>
      </c>
      <c r="G148" s="16"/>
      <c r="H148" s="22"/>
      <c r="I148" s="16" t="str">
        <f>Source!BO106</f>
        <v>33-04-031-3</v>
      </c>
      <c r="J148" s="16"/>
      <c r="K148" s="22"/>
      <c r="L148" s="32"/>
      <c r="S148">
        <f>ROUND((Source!FX106/100)*((ROUND(Source!AF106*Source!I106, 2)+ROUND(Source!AE106*Source!I106, 2))), 2)</f>
        <v>351.59</v>
      </c>
      <c r="T148">
        <f>Source!X106</f>
        <v>12400.6</v>
      </c>
      <c r="U148">
        <f>ROUND((Source!FY106/100)*((ROUND(Source!AF106*Source!I106, 2)+ROUND(Source!AE106*Source!I106, 2))), 2)</f>
        <v>204.81</v>
      </c>
      <c r="V148">
        <f>Source!Y106</f>
        <v>7223.65</v>
      </c>
    </row>
    <row r="149" spans="1:32" ht="14.25" x14ac:dyDescent="0.2">
      <c r="A149" s="28"/>
      <c r="B149" s="29"/>
      <c r="C149" s="15" t="s">
        <v>533</v>
      </c>
      <c r="D149" s="31"/>
      <c r="E149" s="10"/>
      <c r="F149" s="22">
        <f>Source!AO106</f>
        <v>257.02</v>
      </c>
      <c r="G149" s="16" t="str">
        <f>Source!DG106</f>
        <v/>
      </c>
      <c r="H149" s="22">
        <f>ROUND(Source!AF106*Source!I106, 2)</f>
        <v>257.02</v>
      </c>
      <c r="I149" s="16"/>
      <c r="J149" s="16">
        <f>IF(Source!BA106&lt;&gt; 0, Source!BA106, 1)</f>
        <v>35.270000000000003</v>
      </c>
      <c r="K149" s="22">
        <f>Source!S106</f>
        <v>9065.1</v>
      </c>
      <c r="L149" s="32"/>
      <c r="R149">
        <f>H149</f>
        <v>257.02</v>
      </c>
    </row>
    <row r="150" spans="1:32" ht="14.25" x14ac:dyDescent="0.2">
      <c r="A150" s="28"/>
      <c r="B150" s="29"/>
      <c r="C150" s="15" t="s">
        <v>45</v>
      </c>
      <c r="D150" s="31"/>
      <c r="E150" s="10"/>
      <c r="F150" s="22">
        <f>Source!AM106</f>
        <v>957.67</v>
      </c>
      <c r="G150" s="16" t="str">
        <f>Source!DE106</f>
        <v/>
      </c>
      <c r="H150" s="22">
        <f>ROUND((((Source!ET106)-(Source!EU106))+Source!AE106)*Source!I106, 2)</f>
        <v>957.67</v>
      </c>
      <c r="I150" s="16"/>
      <c r="J150" s="16">
        <f>IF(Source!BB106&lt;&gt; 0, Source!BB106, 1)</f>
        <v>11.43</v>
      </c>
      <c r="K150" s="22">
        <f>Source!Q106</f>
        <v>10946.17</v>
      </c>
      <c r="L150" s="32"/>
    </row>
    <row r="151" spans="1:32" ht="14.25" x14ac:dyDescent="0.2">
      <c r="A151" s="28"/>
      <c r="B151" s="29"/>
      <c r="C151" s="15" t="s">
        <v>534</v>
      </c>
      <c r="D151" s="31"/>
      <c r="E151" s="10"/>
      <c r="F151" s="22">
        <f>Source!AN106</f>
        <v>84.33</v>
      </c>
      <c r="G151" s="16" t="str">
        <f>Source!DF106</f>
        <v/>
      </c>
      <c r="H151" s="22">
        <f>ROUND(Source!AE106*Source!I106, 2)</f>
        <v>84.33</v>
      </c>
      <c r="I151" s="16"/>
      <c r="J151" s="16">
        <f>IF(Source!BS106&lt;&gt; 0, Source!BS106, 1)</f>
        <v>35.270000000000003</v>
      </c>
      <c r="K151" s="22">
        <f>Source!R106</f>
        <v>2974.32</v>
      </c>
      <c r="L151" s="32"/>
      <c r="R151">
        <f>H151</f>
        <v>84.33</v>
      </c>
    </row>
    <row r="152" spans="1:32" ht="14.25" x14ac:dyDescent="0.2">
      <c r="A152" s="28"/>
      <c r="B152" s="29"/>
      <c r="C152" s="15" t="s">
        <v>535</v>
      </c>
      <c r="D152" s="31" t="s">
        <v>536</v>
      </c>
      <c r="E152" s="10">
        <f>Source!BZ106</f>
        <v>103</v>
      </c>
      <c r="F152" s="33"/>
      <c r="G152" s="16"/>
      <c r="H152" s="22">
        <f>SUM(S148:S154)</f>
        <v>351.59</v>
      </c>
      <c r="I152" s="34"/>
      <c r="J152" s="15">
        <f>Source!AT106</f>
        <v>103</v>
      </c>
      <c r="K152" s="22">
        <f>SUM(T148:T154)</f>
        <v>12400.6</v>
      </c>
      <c r="L152" s="32"/>
    </row>
    <row r="153" spans="1:32" ht="14.25" x14ac:dyDescent="0.2">
      <c r="A153" s="28"/>
      <c r="B153" s="29"/>
      <c r="C153" s="15" t="s">
        <v>537</v>
      </c>
      <c r="D153" s="31" t="s">
        <v>536</v>
      </c>
      <c r="E153" s="10">
        <f>Source!CA106</f>
        <v>60</v>
      </c>
      <c r="F153" s="33"/>
      <c r="G153" s="16"/>
      <c r="H153" s="22">
        <f>SUM(U148:U154)</f>
        <v>204.81</v>
      </c>
      <c r="I153" s="34"/>
      <c r="J153" s="15">
        <f>Source!AU106</f>
        <v>60</v>
      </c>
      <c r="K153" s="22">
        <f>SUM(V148:V154)</f>
        <v>7223.65</v>
      </c>
      <c r="L153" s="32"/>
    </row>
    <row r="154" spans="1:32" ht="14.25" x14ac:dyDescent="0.2">
      <c r="A154" s="38"/>
      <c r="B154" s="39"/>
      <c r="C154" s="40" t="s">
        <v>538</v>
      </c>
      <c r="D154" s="41" t="s">
        <v>539</v>
      </c>
      <c r="E154" s="42">
        <f>Source!AQ106</f>
        <v>28.59</v>
      </c>
      <c r="F154" s="43"/>
      <c r="G154" s="44" t="str">
        <f>Source!DI106</f>
        <v/>
      </c>
      <c r="H154" s="43"/>
      <c r="I154" s="44"/>
      <c r="J154" s="44"/>
      <c r="K154" s="43"/>
      <c r="L154" s="45">
        <f>Source!U106</f>
        <v>28.59</v>
      </c>
    </row>
    <row r="155" spans="1:32" ht="15" x14ac:dyDescent="0.25">
      <c r="G155" s="89">
        <f>ROUND(Source!AC106*Source!I106, 2)+ROUND(Source!AF106*Source!I106, 2)+ROUND((((Source!ET106)-(Source!EU106))+Source!AE106)*Source!I106, 2)+SUM(H152:H153)</f>
        <v>1771.0900000000001</v>
      </c>
      <c r="H155" s="89"/>
      <c r="J155" s="89">
        <f>Source!O106+SUM(K152:K153)</f>
        <v>39635.520000000004</v>
      </c>
      <c r="K155" s="89"/>
      <c r="L155" s="37">
        <f>Source!U106</f>
        <v>28.59</v>
      </c>
      <c r="O155" s="36">
        <f>G155</f>
        <v>1771.0900000000001</v>
      </c>
      <c r="P155" s="36">
        <f>J155</f>
        <v>39635.520000000004</v>
      </c>
      <c r="Q155" s="36">
        <f>L155</f>
        <v>28.59</v>
      </c>
      <c r="W155">
        <f>IF(Source!BI106&lt;=1,G155, 0)</f>
        <v>1771.0900000000001</v>
      </c>
      <c r="X155">
        <f>IF(Source!BI106=2,G155, 0)</f>
        <v>0</v>
      </c>
      <c r="Y155">
        <f>IF(Source!BI106=3,G155, 0)</f>
        <v>0</v>
      </c>
      <c r="Z155">
        <f>IF(Source!BI106=4,G155, 0)</f>
        <v>0</v>
      </c>
    </row>
    <row r="156" spans="1:32" ht="42.75" x14ac:dyDescent="0.2">
      <c r="A156" s="38" t="str">
        <f>Source!E108</f>
        <v>21</v>
      </c>
      <c r="B156" s="39" t="str">
        <f>Source!F108</f>
        <v>Оборудование Заказчика</v>
      </c>
      <c r="C156" s="40" t="str">
        <f>Source!G108</f>
        <v>Комплект вакуумного реклоузера</v>
      </c>
      <c r="D156" s="41" t="str">
        <f>Source!H108</f>
        <v>компл.</v>
      </c>
      <c r="E156" s="42">
        <f>Source!I108</f>
        <v>1</v>
      </c>
      <c r="F156" s="43">
        <f>IF(Source!AK108&lt;&gt; 0, Source!AK108,Source!AL108 + Source!AM108 + Source!AO108)</f>
        <v>0</v>
      </c>
      <c r="G156" s="44"/>
      <c r="H156" s="43"/>
      <c r="I156" s="44" t="str">
        <f>Source!BO108</f>
        <v/>
      </c>
      <c r="J156" s="44"/>
      <c r="K156" s="43"/>
      <c r="L156" s="54"/>
      <c r="S156">
        <f>ROUND((Source!FX108/100)*((ROUND(Source!AF108*Source!I108, 2)+ROUND(Source!AE108*Source!I108, 2))), 2)</f>
        <v>0</v>
      </c>
      <c r="T156">
        <f>Source!X108</f>
        <v>0</v>
      </c>
      <c r="U156">
        <f>ROUND((Source!FY108/100)*((ROUND(Source!AF108*Source!I108, 2)+ROUND(Source!AE108*Source!I108, 2))), 2)</f>
        <v>0</v>
      </c>
      <c r="V156">
        <f>Source!Y108</f>
        <v>0</v>
      </c>
    </row>
    <row r="157" spans="1:32" ht="15" x14ac:dyDescent="0.25">
      <c r="G157" s="89">
        <f>ROUND(Source!AC108*Source!I108, 2)+ROUND(Source!AF108*Source!I108, 2)+ROUND((((Source!ET108)-(Source!EU108))+Source!AE108)*Source!I108, 2)</f>
        <v>0</v>
      </c>
      <c r="H157" s="89"/>
      <c r="J157" s="89">
        <f>Source!O108</f>
        <v>0</v>
      </c>
      <c r="K157" s="89"/>
      <c r="L157" s="37">
        <f>Source!U108</f>
        <v>0</v>
      </c>
      <c r="O157" s="36">
        <f>G157</f>
        <v>0</v>
      </c>
      <c r="P157" s="36">
        <f>J157</f>
        <v>0</v>
      </c>
      <c r="Q157" s="36">
        <f>L157</f>
        <v>0</v>
      </c>
      <c r="W157">
        <f>IF(Source!BI108&lt;=1,G157, 0)</f>
        <v>0</v>
      </c>
      <c r="X157">
        <f>IF(Source!BI108=2,G157, 0)</f>
        <v>0</v>
      </c>
      <c r="Y157">
        <f>IF(Source!BI108=3,G157, 0)</f>
        <v>0</v>
      </c>
      <c r="Z157">
        <f>IF(Source!BI108=4,G157, 0)</f>
        <v>0</v>
      </c>
    </row>
    <row r="158" spans="1:32" ht="14.25" x14ac:dyDescent="0.2">
      <c r="C158" s="92" t="str">
        <f>Source!G109</f>
        <v>Устройство контура заземления</v>
      </c>
      <c r="D158" s="92"/>
      <c r="E158" s="92"/>
      <c r="F158" s="92"/>
      <c r="G158" s="92"/>
      <c r="H158" s="92"/>
      <c r="I158" s="92"/>
      <c r="J158" s="92"/>
      <c r="K158" s="92"/>
      <c r="L158" s="92"/>
      <c r="AF158" s="30" t="str">
        <f>Source!G109</f>
        <v>Устройство контура заземления</v>
      </c>
    </row>
    <row r="159" spans="1:32" ht="42.75" x14ac:dyDescent="0.2">
      <c r="A159" s="28" t="str">
        <f>Source!E110</f>
        <v>22</v>
      </c>
      <c r="B159" s="29" t="str">
        <f>Source!F110</f>
        <v>01-02-057-2</v>
      </c>
      <c r="C159" s="15" t="str">
        <f>Source!G110</f>
        <v>Разработка грунта вручную в траншеях глубиной до 2 м без креплений с откосами, группа грунтов 2</v>
      </c>
      <c r="D159" s="31" t="str">
        <f>Source!H110</f>
        <v>100 м3 грунта</v>
      </c>
      <c r="E159" s="10">
        <f>Source!I110</f>
        <v>2.5000000000000001E-2</v>
      </c>
      <c r="F159" s="22">
        <f>IF(Source!AK110&lt;&gt; 0, Source!AK110,Source!AL110 + Source!AM110 + Source!AO110)</f>
        <v>1122.6600000000001</v>
      </c>
      <c r="G159" s="16"/>
      <c r="H159" s="22"/>
      <c r="I159" s="16" t="str">
        <f>Source!BO110</f>
        <v>01-02-057-2</v>
      </c>
      <c r="J159" s="16"/>
      <c r="K159" s="22"/>
      <c r="L159" s="32"/>
      <c r="S159">
        <f>ROUND((Source!FX110/100)*((ROUND(Source!AF110*Source!I110, 2)+ROUND(Source!AE110*Source!I110, 2))), 2)</f>
        <v>24.98</v>
      </c>
      <c r="T159">
        <f>Source!X110</f>
        <v>881.02</v>
      </c>
      <c r="U159">
        <f>ROUND((Source!FY110/100)*((ROUND(Source!AF110*Source!I110, 2)+ROUND(Source!AE110*Source!I110, 2))), 2)</f>
        <v>11.23</v>
      </c>
      <c r="V159">
        <f>Source!Y110</f>
        <v>395.96</v>
      </c>
    </row>
    <row r="160" spans="1:32" x14ac:dyDescent="0.2">
      <c r="C160" s="55" t="str">
        <f>"Объем: "&amp;Source!I110&amp;"=2,5/"&amp;"100"</f>
        <v>Объем: 0,025=2,5/100</v>
      </c>
    </row>
    <row r="161" spans="1:26" ht="14.25" x14ac:dyDescent="0.2">
      <c r="A161" s="28"/>
      <c r="B161" s="29"/>
      <c r="C161" s="15" t="s">
        <v>533</v>
      </c>
      <c r="D161" s="31"/>
      <c r="E161" s="10"/>
      <c r="F161" s="22">
        <f>Source!AO110</f>
        <v>1122.6600000000001</v>
      </c>
      <c r="G161" s="16" t="str">
        <f>Source!DG110</f>
        <v/>
      </c>
      <c r="H161" s="22">
        <f>ROUND(Source!AF110*Source!I110, 2)</f>
        <v>28.07</v>
      </c>
      <c r="I161" s="16"/>
      <c r="J161" s="16">
        <f>IF(Source!BA110&lt;&gt; 0, Source!BA110, 1)</f>
        <v>35.270000000000003</v>
      </c>
      <c r="K161" s="22">
        <f>Source!S110</f>
        <v>989.91</v>
      </c>
      <c r="L161" s="32"/>
      <c r="R161">
        <f>H161</f>
        <v>28.07</v>
      </c>
    </row>
    <row r="162" spans="1:26" ht="14.25" x14ac:dyDescent="0.2">
      <c r="A162" s="28"/>
      <c r="B162" s="29"/>
      <c r="C162" s="15" t="s">
        <v>535</v>
      </c>
      <c r="D162" s="31" t="s">
        <v>536</v>
      </c>
      <c r="E162" s="10">
        <f>Source!BZ110</f>
        <v>89</v>
      </c>
      <c r="F162" s="33"/>
      <c r="G162" s="16"/>
      <c r="H162" s="22">
        <f>SUM(S159:S164)</f>
        <v>24.98</v>
      </c>
      <c r="I162" s="34"/>
      <c r="J162" s="15">
        <f>Source!AT110</f>
        <v>89</v>
      </c>
      <c r="K162" s="22">
        <f>SUM(T159:T164)</f>
        <v>881.02</v>
      </c>
      <c r="L162" s="32"/>
    </row>
    <row r="163" spans="1:26" ht="14.25" x14ac:dyDescent="0.2">
      <c r="A163" s="28"/>
      <c r="B163" s="29"/>
      <c r="C163" s="15" t="s">
        <v>537</v>
      </c>
      <c r="D163" s="31" t="s">
        <v>536</v>
      </c>
      <c r="E163" s="10">
        <f>Source!CA110</f>
        <v>40</v>
      </c>
      <c r="F163" s="33"/>
      <c r="G163" s="16"/>
      <c r="H163" s="22">
        <f>SUM(U159:U164)</f>
        <v>11.23</v>
      </c>
      <c r="I163" s="34"/>
      <c r="J163" s="15">
        <f>Source!AU110</f>
        <v>40</v>
      </c>
      <c r="K163" s="22">
        <f>SUM(V159:V164)</f>
        <v>395.96</v>
      </c>
      <c r="L163" s="32"/>
    </row>
    <row r="164" spans="1:26" ht="14.25" x14ac:dyDescent="0.2">
      <c r="A164" s="38"/>
      <c r="B164" s="39"/>
      <c r="C164" s="40" t="s">
        <v>538</v>
      </c>
      <c r="D164" s="41" t="s">
        <v>539</v>
      </c>
      <c r="E164" s="42">
        <f>Source!AQ110</f>
        <v>154</v>
      </c>
      <c r="F164" s="43"/>
      <c r="G164" s="44" t="str">
        <f>Source!DI110</f>
        <v/>
      </c>
      <c r="H164" s="43"/>
      <c r="I164" s="44"/>
      <c r="J164" s="44"/>
      <c r="K164" s="43"/>
      <c r="L164" s="45">
        <f>Source!U110</f>
        <v>3.85</v>
      </c>
    </row>
    <row r="165" spans="1:26" ht="15" x14ac:dyDescent="0.25">
      <c r="G165" s="89">
        <f>ROUND(Source!AC110*Source!I110, 2)+ROUND(Source!AF110*Source!I110, 2)+ROUND((((Source!ET110)-(Source!EU110))+Source!AE110)*Source!I110, 2)+SUM(H162:H163)</f>
        <v>64.28</v>
      </c>
      <c r="H165" s="89"/>
      <c r="J165" s="89">
        <f>Source!O110+SUM(K162:K163)</f>
        <v>2266.89</v>
      </c>
      <c r="K165" s="89"/>
      <c r="L165" s="37">
        <f>Source!U110</f>
        <v>3.85</v>
      </c>
      <c r="O165" s="36">
        <f>G165</f>
        <v>64.28</v>
      </c>
      <c r="P165" s="36">
        <f>J165</f>
        <v>2266.89</v>
      </c>
      <c r="Q165" s="36">
        <f>L165</f>
        <v>3.85</v>
      </c>
      <c r="W165">
        <f>IF(Source!BI110&lt;=1,G165, 0)</f>
        <v>64.28</v>
      </c>
      <c r="X165">
        <f>IF(Source!BI110=2,G165, 0)</f>
        <v>0</v>
      </c>
      <c r="Y165">
        <f>IF(Source!BI110=3,G165, 0)</f>
        <v>0</v>
      </c>
      <c r="Z165">
        <f>IF(Source!BI110=4,G165, 0)</f>
        <v>0</v>
      </c>
    </row>
    <row r="166" spans="1:26" ht="28.5" x14ac:dyDescent="0.2">
      <c r="A166" s="28" t="str">
        <f>Source!E111</f>
        <v>23</v>
      </c>
      <c r="B166" s="29" t="str">
        <f>Source!F111</f>
        <v>01-02-061-2</v>
      </c>
      <c r="C166" s="15" t="str">
        <f>Source!G111</f>
        <v>Засыпка вручную траншей, пазух котлованов и ям, группа грунтов 2</v>
      </c>
      <c r="D166" s="31" t="str">
        <f>Source!H111</f>
        <v>100 м3 грунта</v>
      </c>
      <c r="E166" s="10">
        <f>Source!I111</f>
        <v>2.5000000000000001E-2</v>
      </c>
      <c r="F166" s="22">
        <f>IF(Source!AK111&lt;&gt; 0, Source!AK111,Source!AL111 + Source!AM111 + Source!AO111)</f>
        <v>681.37</v>
      </c>
      <c r="G166" s="16"/>
      <c r="H166" s="22"/>
      <c r="I166" s="16" t="str">
        <f>Source!BO111</f>
        <v>01-02-061-2</v>
      </c>
      <c r="J166" s="16"/>
      <c r="K166" s="22"/>
      <c r="L166" s="32"/>
      <c r="S166">
        <f>ROUND((Source!FX111/100)*((ROUND(Source!AF111*Source!I111, 2)+ROUND(Source!AE111*Source!I111, 2))), 2)</f>
        <v>15.16</v>
      </c>
      <c r="T166">
        <f>Source!X111</f>
        <v>534.71</v>
      </c>
      <c r="U166">
        <f>ROUND((Source!FY111/100)*((ROUND(Source!AF111*Source!I111, 2)+ROUND(Source!AE111*Source!I111, 2))), 2)</f>
        <v>6.81</v>
      </c>
      <c r="V166">
        <f>Source!Y111</f>
        <v>240.32</v>
      </c>
    </row>
    <row r="167" spans="1:26" x14ac:dyDescent="0.2">
      <c r="C167" s="55" t="str">
        <f>"Объем: "&amp;Source!I111&amp;"=2,5/"&amp;"100"</f>
        <v>Объем: 0,025=2,5/100</v>
      </c>
    </row>
    <row r="168" spans="1:26" ht="14.25" x14ac:dyDescent="0.2">
      <c r="A168" s="28"/>
      <c r="B168" s="29"/>
      <c r="C168" s="15" t="s">
        <v>533</v>
      </c>
      <c r="D168" s="31"/>
      <c r="E168" s="10"/>
      <c r="F168" s="22">
        <f>Source!AO111</f>
        <v>681.37</v>
      </c>
      <c r="G168" s="16" t="str">
        <f>Source!DG111</f>
        <v/>
      </c>
      <c r="H168" s="22">
        <f>ROUND(Source!AF111*Source!I111, 2)</f>
        <v>17.03</v>
      </c>
      <c r="I168" s="16"/>
      <c r="J168" s="16">
        <f>IF(Source!BA111&lt;&gt; 0, Source!BA111, 1)</f>
        <v>35.270000000000003</v>
      </c>
      <c r="K168" s="22">
        <f>Source!S111</f>
        <v>600.79999999999995</v>
      </c>
      <c r="L168" s="32"/>
      <c r="R168">
        <f>H168</f>
        <v>17.03</v>
      </c>
    </row>
    <row r="169" spans="1:26" ht="14.25" x14ac:dyDescent="0.2">
      <c r="A169" s="28"/>
      <c r="B169" s="29"/>
      <c r="C169" s="15" t="s">
        <v>535</v>
      </c>
      <c r="D169" s="31" t="s">
        <v>536</v>
      </c>
      <c r="E169" s="10">
        <f>Source!BZ111</f>
        <v>89</v>
      </c>
      <c r="F169" s="33"/>
      <c r="G169" s="16"/>
      <c r="H169" s="22">
        <f>SUM(S166:S171)</f>
        <v>15.16</v>
      </c>
      <c r="I169" s="34"/>
      <c r="J169" s="15">
        <f>Source!AT111</f>
        <v>89</v>
      </c>
      <c r="K169" s="22">
        <f>SUM(T166:T171)</f>
        <v>534.71</v>
      </c>
      <c r="L169" s="32"/>
    </row>
    <row r="170" spans="1:26" ht="14.25" x14ac:dyDescent="0.2">
      <c r="A170" s="28"/>
      <c r="B170" s="29"/>
      <c r="C170" s="15" t="s">
        <v>537</v>
      </c>
      <c r="D170" s="31" t="s">
        <v>536</v>
      </c>
      <c r="E170" s="10">
        <f>Source!CA111</f>
        <v>40</v>
      </c>
      <c r="F170" s="33"/>
      <c r="G170" s="16"/>
      <c r="H170" s="22">
        <f>SUM(U166:U171)</f>
        <v>6.81</v>
      </c>
      <c r="I170" s="34"/>
      <c r="J170" s="15">
        <f>Source!AU111</f>
        <v>40</v>
      </c>
      <c r="K170" s="22">
        <f>SUM(V166:V171)</f>
        <v>240.32</v>
      </c>
      <c r="L170" s="32"/>
    </row>
    <row r="171" spans="1:26" ht="14.25" x14ac:dyDescent="0.2">
      <c r="A171" s="38"/>
      <c r="B171" s="39"/>
      <c r="C171" s="40" t="s">
        <v>538</v>
      </c>
      <c r="D171" s="41" t="s">
        <v>539</v>
      </c>
      <c r="E171" s="42">
        <f>Source!AQ111</f>
        <v>97.2</v>
      </c>
      <c r="F171" s="43"/>
      <c r="G171" s="44" t="str">
        <f>Source!DI111</f>
        <v/>
      </c>
      <c r="H171" s="43"/>
      <c r="I171" s="44"/>
      <c r="J171" s="44"/>
      <c r="K171" s="43"/>
      <c r="L171" s="45">
        <f>Source!U111</f>
        <v>2.4300000000000002</v>
      </c>
    </row>
    <row r="172" spans="1:26" ht="15" x14ac:dyDescent="0.25">
      <c r="G172" s="89">
        <f>ROUND(Source!AC111*Source!I111, 2)+ROUND(Source!AF111*Source!I111, 2)+ROUND((((Source!ET111)-(Source!EU111))+Source!AE111)*Source!I111, 2)+SUM(H169:H170)</f>
        <v>39</v>
      </c>
      <c r="H172" s="89"/>
      <c r="J172" s="89">
        <f>Source!O111+SUM(K169:K170)</f>
        <v>1375.83</v>
      </c>
      <c r="K172" s="89"/>
      <c r="L172" s="37">
        <f>Source!U111</f>
        <v>2.4300000000000002</v>
      </c>
      <c r="O172" s="36">
        <f>G172</f>
        <v>39</v>
      </c>
      <c r="P172" s="36">
        <f>J172</f>
        <v>1375.83</v>
      </c>
      <c r="Q172" s="36">
        <f>L172</f>
        <v>2.4300000000000002</v>
      </c>
      <c r="W172">
        <f>IF(Source!BI111&lt;=1,G172, 0)</f>
        <v>39</v>
      </c>
      <c r="X172">
        <f>IF(Source!BI111=2,G172, 0)</f>
        <v>0</v>
      </c>
      <c r="Y172">
        <f>IF(Source!BI111=3,G172, 0)</f>
        <v>0</v>
      </c>
      <c r="Z172">
        <f>IF(Source!BI111=4,G172, 0)</f>
        <v>0</v>
      </c>
    </row>
    <row r="173" spans="1:26" ht="28.5" x14ac:dyDescent="0.2">
      <c r="A173" s="28" t="str">
        <f>Source!E112</f>
        <v>24</v>
      </c>
      <c r="B173" s="29" t="str">
        <f>Source!F112</f>
        <v>м08-02-472-2</v>
      </c>
      <c r="C173" s="15" t="str">
        <f>Source!G112</f>
        <v>Заземлитель горизонтальный из стали полосовой сечением 160 мм2</v>
      </c>
      <c r="D173" s="31" t="str">
        <f>Source!H112</f>
        <v>100 м</v>
      </c>
      <c r="E173" s="10">
        <f>Source!I112</f>
        <v>0.09</v>
      </c>
      <c r="F173" s="22">
        <f>IF(Source!AK112&lt;&gt; 0, Source!AK112,Source!AL112 + Source!AM112 + Source!AO112)</f>
        <v>269.77</v>
      </c>
      <c r="G173" s="16"/>
      <c r="H173" s="22"/>
      <c r="I173" s="16" t="str">
        <f>Source!BO112</f>
        <v>м08-02-472-2</v>
      </c>
      <c r="J173" s="16"/>
      <c r="K173" s="22"/>
      <c r="L173" s="32"/>
      <c r="S173">
        <f>ROUND((Source!FX112/100)*((ROUND(Source!AF112*Source!I112, 2)+ROUND(Source!AE112*Source!I112, 2))), 2)</f>
        <v>12.97</v>
      </c>
      <c r="T173">
        <f>Source!X112</f>
        <v>457.45</v>
      </c>
      <c r="U173">
        <f>ROUND((Source!FY112/100)*((ROUND(Source!AF112*Source!I112, 2)+ROUND(Source!AE112*Source!I112, 2))), 2)</f>
        <v>6.82</v>
      </c>
      <c r="V173">
        <f>Source!Y112</f>
        <v>240.52</v>
      </c>
    </row>
    <row r="174" spans="1:26" x14ac:dyDescent="0.2">
      <c r="C174" s="55" t="str">
        <f>"Объем: "&amp;Source!I112&amp;"=9/"&amp;"100"</f>
        <v>Объем: 0,09=9/100</v>
      </c>
    </row>
    <row r="175" spans="1:26" ht="14.25" x14ac:dyDescent="0.2">
      <c r="A175" s="28"/>
      <c r="B175" s="29"/>
      <c r="C175" s="15" t="s">
        <v>533</v>
      </c>
      <c r="D175" s="31"/>
      <c r="E175" s="10"/>
      <c r="F175" s="22">
        <f>Source!AO112</f>
        <v>145.91</v>
      </c>
      <c r="G175" s="16" t="str">
        <f>Source!DG112</f>
        <v/>
      </c>
      <c r="H175" s="22">
        <f>ROUND(Source!AF112*Source!I112, 2)</f>
        <v>13.13</v>
      </c>
      <c r="I175" s="16"/>
      <c r="J175" s="16">
        <f>IF(Source!BA112&lt;&gt; 0, Source!BA112, 1)</f>
        <v>35.270000000000003</v>
      </c>
      <c r="K175" s="22">
        <f>Source!S112</f>
        <v>463.16</v>
      </c>
      <c r="L175" s="32"/>
      <c r="R175">
        <f>H175</f>
        <v>13.13</v>
      </c>
    </row>
    <row r="176" spans="1:26" ht="14.25" x14ac:dyDescent="0.2">
      <c r="A176" s="28"/>
      <c r="B176" s="29"/>
      <c r="C176" s="15" t="s">
        <v>45</v>
      </c>
      <c r="D176" s="31"/>
      <c r="E176" s="10"/>
      <c r="F176" s="22">
        <f>Source!AM112</f>
        <v>74.3</v>
      </c>
      <c r="G176" s="16" t="str">
        <f>Source!DE112</f>
        <v/>
      </c>
      <c r="H176" s="22">
        <f>ROUND((((Source!ET112)-(Source!EU112))+Source!AE112)*Source!I112, 2)</f>
        <v>6.69</v>
      </c>
      <c r="I176" s="16"/>
      <c r="J176" s="16">
        <f>IF(Source!BB112&lt;&gt; 0, Source!BB112, 1)</f>
        <v>10.41</v>
      </c>
      <c r="K176" s="22">
        <f>Source!Q112</f>
        <v>69.61</v>
      </c>
      <c r="L176" s="32"/>
    </row>
    <row r="177" spans="1:26" ht="14.25" x14ac:dyDescent="0.2">
      <c r="A177" s="28"/>
      <c r="B177" s="29"/>
      <c r="C177" s="15" t="s">
        <v>534</v>
      </c>
      <c r="D177" s="31"/>
      <c r="E177" s="10"/>
      <c r="F177" s="22">
        <f>Source!AN112</f>
        <v>2.66</v>
      </c>
      <c r="G177" s="16" t="str">
        <f>Source!DF112</f>
        <v/>
      </c>
      <c r="H177" s="22">
        <f>ROUND(Source!AE112*Source!I112, 2)</f>
        <v>0.24</v>
      </c>
      <c r="I177" s="16"/>
      <c r="J177" s="16">
        <f>IF(Source!BS112&lt;&gt; 0, Source!BS112, 1)</f>
        <v>35.270000000000003</v>
      </c>
      <c r="K177" s="22">
        <f>Source!R112</f>
        <v>8.44</v>
      </c>
      <c r="L177" s="32"/>
      <c r="R177">
        <f>H177</f>
        <v>0.24</v>
      </c>
    </row>
    <row r="178" spans="1:26" ht="14.25" x14ac:dyDescent="0.2">
      <c r="A178" s="28"/>
      <c r="B178" s="29"/>
      <c r="C178" s="15" t="s">
        <v>540</v>
      </c>
      <c r="D178" s="31"/>
      <c r="E178" s="10"/>
      <c r="F178" s="22">
        <f>Source!AL112</f>
        <v>49.56</v>
      </c>
      <c r="G178" s="16" t="str">
        <f>Source!DD112</f>
        <v/>
      </c>
      <c r="H178" s="22">
        <f>ROUND(Source!AC112*Source!I112, 2)</f>
        <v>4.46</v>
      </c>
      <c r="I178" s="16"/>
      <c r="J178" s="16">
        <f>IF(Source!BC112&lt;&gt; 0, Source!BC112, 1)</f>
        <v>10.08</v>
      </c>
      <c r="K178" s="22">
        <f>Source!P112</f>
        <v>44.96</v>
      </c>
      <c r="L178" s="32"/>
    </row>
    <row r="179" spans="1:26" ht="14.25" x14ac:dyDescent="0.2">
      <c r="A179" s="28"/>
      <c r="B179" s="29"/>
      <c r="C179" s="15" t="s">
        <v>535</v>
      </c>
      <c r="D179" s="31" t="s">
        <v>536</v>
      </c>
      <c r="E179" s="10">
        <f>Source!BZ112</f>
        <v>97</v>
      </c>
      <c r="F179" s="33"/>
      <c r="G179" s="16"/>
      <c r="H179" s="22">
        <f>SUM(S173:S181)</f>
        <v>12.97</v>
      </c>
      <c r="I179" s="34"/>
      <c r="J179" s="15">
        <f>Source!AT112</f>
        <v>97</v>
      </c>
      <c r="K179" s="22">
        <f>SUM(T173:T181)</f>
        <v>457.45</v>
      </c>
      <c r="L179" s="32"/>
    </row>
    <row r="180" spans="1:26" ht="14.25" x14ac:dyDescent="0.2">
      <c r="A180" s="28"/>
      <c r="B180" s="29"/>
      <c r="C180" s="15" t="s">
        <v>537</v>
      </c>
      <c r="D180" s="31" t="s">
        <v>536</v>
      </c>
      <c r="E180" s="10">
        <f>Source!CA112</f>
        <v>51</v>
      </c>
      <c r="F180" s="33"/>
      <c r="G180" s="16"/>
      <c r="H180" s="22">
        <f>SUM(U173:U181)</f>
        <v>6.82</v>
      </c>
      <c r="I180" s="34"/>
      <c r="J180" s="15">
        <f>Source!AU112</f>
        <v>51</v>
      </c>
      <c r="K180" s="22">
        <f>SUM(V173:V181)</f>
        <v>240.52</v>
      </c>
      <c r="L180" s="32"/>
    </row>
    <row r="181" spans="1:26" ht="14.25" x14ac:dyDescent="0.2">
      <c r="A181" s="38"/>
      <c r="B181" s="39"/>
      <c r="C181" s="40" t="s">
        <v>538</v>
      </c>
      <c r="D181" s="41" t="s">
        <v>539</v>
      </c>
      <c r="E181" s="42">
        <f>Source!AQ112</f>
        <v>16.600000000000001</v>
      </c>
      <c r="F181" s="43"/>
      <c r="G181" s="44" t="str">
        <f>Source!DI112</f>
        <v/>
      </c>
      <c r="H181" s="43"/>
      <c r="I181" s="44"/>
      <c r="J181" s="44"/>
      <c r="K181" s="43"/>
      <c r="L181" s="45">
        <f>Source!U112</f>
        <v>1.494</v>
      </c>
    </row>
    <row r="182" spans="1:26" ht="15" x14ac:dyDescent="0.25">
      <c r="G182" s="89">
        <f>ROUND(Source!AC112*Source!I112, 2)+ROUND(Source!AF112*Source!I112, 2)+ROUND((((Source!ET112)-(Source!EU112))+Source!AE112)*Source!I112, 2)+SUM(H179:H180)</f>
        <v>44.07</v>
      </c>
      <c r="H182" s="89"/>
      <c r="J182" s="89">
        <f>Source!O112+SUM(K179:K180)</f>
        <v>1275.7</v>
      </c>
      <c r="K182" s="89"/>
      <c r="L182" s="37">
        <f>Source!U112</f>
        <v>1.494</v>
      </c>
      <c r="O182" s="36">
        <f>G182</f>
        <v>44.07</v>
      </c>
      <c r="P182" s="36">
        <f>J182</f>
        <v>1275.7</v>
      </c>
      <c r="Q182" s="36">
        <f>L182</f>
        <v>1.494</v>
      </c>
      <c r="W182">
        <f>IF(Source!BI112&lt;=1,G182, 0)</f>
        <v>0</v>
      </c>
      <c r="X182">
        <f>IF(Source!BI112=2,G182, 0)</f>
        <v>44.07</v>
      </c>
      <c r="Y182">
        <f>IF(Source!BI112=3,G182, 0)</f>
        <v>0</v>
      </c>
      <c r="Z182">
        <f>IF(Source!BI112=4,G182, 0)</f>
        <v>0</v>
      </c>
    </row>
    <row r="183" spans="1:26" ht="14.25" x14ac:dyDescent="0.2">
      <c r="A183" s="28" t="str">
        <f>Source!E113</f>
        <v>25</v>
      </c>
      <c r="B183" s="29" t="str">
        <f>Source!F113</f>
        <v>101-2548</v>
      </c>
      <c r="C183" s="15" t="str">
        <f>Source!G113</f>
        <v>Сталь полосовая 40х4 мм</v>
      </c>
      <c r="D183" s="31" t="str">
        <f>Source!H113</f>
        <v>т</v>
      </c>
      <c r="E183" s="10">
        <f>Source!I113</f>
        <v>3.3345E-2</v>
      </c>
      <c r="F183" s="22">
        <f>IF(Source!AK113&lt;&gt; 0, Source!AK113,Source!AL113 + Source!AM113 + Source!AO113)</f>
        <v>6258.8</v>
      </c>
      <c r="G183" s="16"/>
      <c r="H183" s="22"/>
      <c r="I183" s="16" t="str">
        <f>Source!BO113</f>
        <v>101-2548</v>
      </c>
      <c r="J183" s="16"/>
      <c r="K183" s="22"/>
      <c r="L183" s="32"/>
      <c r="S183">
        <f>ROUND((Source!FX113/100)*((ROUND(Source!AF113*Source!I113, 2)+ROUND(Source!AE113*Source!I113, 2))), 2)</f>
        <v>0</v>
      </c>
      <c r="T183">
        <f>Source!X113</f>
        <v>0</v>
      </c>
      <c r="U183">
        <f>ROUND((Source!FY113/100)*((ROUND(Source!AF113*Source!I113, 2)+ROUND(Source!AE113*Source!I113, 2))), 2)</f>
        <v>0</v>
      </c>
      <c r="V183">
        <f>Source!Y113</f>
        <v>0</v>
      </c>
    </row>
    <row r="184" spans="1:26" ht="14.25" x14ac:dyDescent="0.2">
      <c r="A184" s="38"/>
      <c r="B184" s="39"/>
      <c r="C184" s="40" t="s">
        <v>540</v>
      </c>
      <c r="D184" s="41"/>
      <c r="E184" s="42"/>
      <c r="F184" s="43">
        <f>Source!AL113</f>
        <v>6258.8</v>
      </c>
      <c r="G184" s="44" t="str">
        <f>Source!DD113</f>
        <v/>
      </c>
      <c r="H184" s="43">
        <f>ROUND(Source!AC113*Source!I113, 2)</f>
        <v>208.7</v>
      </c>
      <c r="I184" s="44"/>
      <c r="J184" s="44">
        <f>IF(Source!BC113&lt;&gt; 0, Source!BC113, 1)</f>
        <v>14.13</v>
      </c>
      <c r="K184" s="43">
        <f>Source!P113</f>
        <v>2948.93</v>
      </c>
      <c r="L184" s="54"/>
    </row>
    <row r="185" spans="1:26" ht="15" x14ac:dyDescent="0.25">
      <c r="G185" s="89">
        <f>ROUND(Source!AC113*Source!I113, 2)+ROUND(Source!AF113*Source!I113, 2)+ROUND((((Source!ET113)-(Source!EU113))+Source!AE113)*Source!I113, 2)</f>
        <v>208.7</v>
      </c>
      <c r="H185" s="89"/>
      <c r="J185" s="89">
        <f>Source!O113</f>
        <v>2948.93</v>
      </c>
      <c r="K185" s="89"/>
      <c r="L185" s="37">
        <f>Source!U113</f>
        <v>0</v>
      </c>
      <c r="O185" s="36">
        <f>G185</f>
        <v>208.7</v>
      </c>
      <c r="P185" s="36">
        <f>J185</f>
        <v>2948.93</v>
      </c>
      <c r="Q185" s="36">
        <f>L185</f>
        <v>0</v>
      </c>
      <c r="W185">
        <f>IF(Source!BI113&lt;=1,G185, 0)</f>
        <v>208.7</v>
      </c>
      <c r="X185">
        <f>IF(Source!BI113=2,G185, 0)</f>
        <v>0</v>
      </c>
      <c r="Y185">
        <f>IF(Source!BI113=3,G185, 0)</f>
        <v>0</v>
      </c>
      <c r="Z185">
        <f>IF(Source!BI113=4,G185, 0)</f>
        <v>0</v>
      </c>
    </row>
    <row r="186" spans="1:26" ht="42.75" x14ac:dyDescent="0.2">
      <c r="A186" s="28" t="str">
        <f>Source!E114</f>
        <v>26</v>
      </c>
      <c r="B186" s="29" t="str">
        <f>Source!F114</f>
        <v>33-03-004-1</v>
      </c>
      <c r="C186" s="15" t="str">
        <f>Source!G114</f>
        <v>Забивка вертикальных заземлителей механизированная на глубину до 5 м</v>
      </c>
      <c r="D186" s="31" t="str">
        <f>Source!H114</f>
        <v>1 заземлитель</v>
      </c>
      <c r="E186" s="10">
        <f>Source!I114</f>
        <v>3</v>
      </c>
      <c r="F186" s="22">
        <f>IF(Source!AK114&lt;&gt; 0, Source!AK114,Source!AL114 + Source!AM114 + Source!AO114)</f>
        <v>140.05000000000001</v>
      </c>
      <c r="G186" s="16"/>
      <c r="H186" s="22"/>
      <c r="I186" s="16" t="str">
        <f>Source!BO114</f>
        <v>33-03-004-1</v>
      </c>
      <c r="J186" s="16"/>
      <c r="K186" s="22"/>
      <c r="L186" s="32"/>
      <c r="S186">
        <f>ROUND((Source!FX114/100)*((ROUND(Source!AF114*Source!I114, 2)+ROUND(Source!AE114*Source!I114, 2))), 2)</f>
        <v>36.74</v>
      </c>
      <c r="T186">
        <f>Source!X114</f>
        <v>1295.82</v>
      </c>
      <c r="U186">
        <f>ROUND((Source!FY114/100)*((ROUND(Source!AF114*Source!I114, 2)+ROUND(Source!AE114*Source!I114, 2))), 2)</f>
        <v>21.4</v>
      </c>
      <c r="V186">
        <f>Source!Y114</f>
        <v>754.85</v>
      </c>
    </row>
    <row r="187" spans="1:26" ht="14.25" x14ac:dyDescent="0.2">
      <c r="A187" s="28"/>
      <c r="B187" s="29"/>
      <c r="C187" s="15" t="s">
        <v>533</v>
      </c>
      <c r="D187" s="31"/>
      <c r="E187" s="10"/>
      <c r="F187" s="22">
        <f>Source!AO114</f>
        <v>6.4</v>
      </c>
      <c r="G187" s="16" t="str">
        <f>Source!DG114</f>
        <v/>
      </c>
      <c r="H187" s="22">
        <f>ROUND(Source!AF114*Source!I114, 2)</f>
        <v>19.2</v>
      </c>
      <c r="I187" s="16"/>
      <c r="J187" s="16">
        <f>IF(Source!BA114&lt;&gt; 0, Source!BA114, 1)</f>
        <v>35.270000000000003</v>
      </c>
      <c r="K187" s="22">
        <f>Source!S114</f>
        <v>677.18</v>
      </c>
      <c r="L187" s="32"/>
      <c r="R187">
        <f>H187</f>
        <v>19.2</v>
      </c>
    </row>
    <row r="188" spans="1:26" ht="14.25" x14ac:dyDescent="0.2">
      <c r="A188" s="28"/>
      <c r="B188" s="29"/>
      <c r="C188" s="15" t="s">
        <v>45</v>
      </c>
      <c r="D188" s="31"/>
      <c r="E188" s="10"/>
      <c r="F188" s="22">
        <f>Source!AM114</f>
        <v>100.39</v>
      </c>
      <c r="G188" s="16" t="str">
        <f>Source!DE114</f>
        <v/>
      </c>
      <c r="H188" s="22">
        <f>ROUND((((Source!ET114)-(Source!EU114))+Source!AE114)*Source!I114, 2)</f>
        <v>301.17</v>
      </c>
      <c r="I188" s="16"/>
      <c r="J188" s="16">
        <f>IF(Source!BB114&lt;&gt; 0, Source!BB114, 1)</f>
        <v>9.14</v>
      </c>
      <c r="K188" s="22">
        <f>Source!Q114</f>
        <v>2752.69</v>
      </c>
      <c r="L188" s="32"/>
    </row>
    <row r="189" spans="1:26" ht="14.25" x14ac:dyDescent="0.2">
      <c r="A189" s="28"/>
      <c r="B189" s="29"/>
      <c r="C189" s="15" t="s">
        <v>534</v>
      </c>
      <c r="D189" s="31"/>
      <c r="E189" s="10"/>
      <c r="F189" s="22">
        <f>Source!AN114</f>
        <v>5.49</v>
      </c>
      <c r="G189" s="16" t="str">
        <f>Source!DF114</f>
        <v/>
      </c>
      <c r="H189" s="22">
        <f>ROUND(Source!AE114*Source!I114, 2)</f>
        <v>16.47</v>
      </c>
      <c r="I189" s="16"/>
      <c r="J189" s="16">
        <f>IF(Source!BS114&lt;&gt; 0, Source!BS114, 1)</f>
        <v>35.270000000000003</v>
      </c>
      <c r="K189" s="22">
        <f>Source!R114</f>
        <v>580.9</v>
      </c>
      <c r="L189" s="32"/>
      <c r="R189">
        <f>H189</f>
        <v>16.47</v>
      </c>
    </row>
    <row r="190" spans="1:26" ht="14.25" x14ac:dyDescent="0.2">
      <c r="A190" s="28"/>
      <c r="B190" s="29"/>
      <c r="C190" s="15" t="s">
        <v>540</v>
      </c>
      <c r="D190" s="31"/>
      <c r="E190" s="10"/>
      <c r="F190" s="22">
        <f>Source!AL114</f>
        <v>33.26</v>
      </c>
      <c r="G190" s="16" t="str">
        <f>Source!DD114</f>
        <v/>
      </c>
      <c r="H190" s="22">
        <f>ROUND(Source!AC114*Source!I114, 2)</f>
        <v>99.78</v>
      </c>
      <c r="I190" s="16"/>
      <c r="J190" s="16">
        <f>IF(Source!BC114&lt;&gt; 0, Source!BC114, 1)</f>
        <v>10.55</v>
      </c>
      <c r="K190" s="22">
        <f>Source!P114</f>
        <v>1052.68</v>
      </c>
      <c r="L190" s="32"/>
    </row>
    <row r="191" spans="1:26" ht="14.25" x14ac:dyDescent="0.2">
      <c r="A191" s="28"/>
      <c r="B191" s="29"/>
      <c r="C191" s="15" t="s">
        <v>535</v>
      </c>
      <c r="D191" s="31" t="s">
        <v>536</v>
      </c>
      <c r="E191" s="10">
        <f>Source!BZ114</f>
        <v>103</v>
      </c>
      <c r="F191" s="33"/>
      <c r="G191" s="16"/>
      <c r="H191" s="22">
        <f>SUM(S186:S194)</f>
        <v>36.74</v>
      </c>
      <c r="I191" s="34"/>
      <c r="J191" s="15">
        <f>Source!AT114</f>
        <v>103</v>
      </c>
      <c r="K191" s="22">
        <f>SUM(T186:T194)</f>
        <v>1295.82</v>
      </c>
      <c r="L191" s="32"/>
    </row>
    <row r="192" spans="1:26" ht="14.25" x14ac:dyDescent="0.2">
      <c r="A192" s="28"/>
      <c r="B192" s="29"/>
      <c r="C192" s="15" t="s">
        <v>537</v>
      </c>
      <c r="D192" s="31" t="s">
        <v>536</v>
      </c>
      <c r="E192" s="10">
        <f>Source!CA114</f>
        <v>60</v>
      </c>
      <c r="F192" s="33"/>
      <c r="G192" s="16"/>
      <c r="H192" s="22">
        <f>SUM(U186:U194)</f>
        <v>21.4</v>
      </c>
      <c r="I192" s="34"/>
      <c r="J192" s="15">
        <f>Source!AU114</f>
        <v>60</v>
      </c>
      <c r="K192" s="22">
        <f>SUM(V186:V194)</f>
        <v>754.85</v>
      </c>
      <c r="L192" s="32"/>
    </row>
    <row r="193" spans="1:28" ht="14.25" x14ac:dyDescent="0.2">
      <c r="A193" s="28"/>
      <c r="B193" s="29"/>
      <c r="C193" s="15" t="s">
        <v>538</v>
      </c>
      <c r="D193" s="31" t="s">
        <v>539</v>
      </c>
      <c r="E193" s="10">
        <f>Source!AQ114</f>
        <v>0.81</v>
      </c>
      <c r="F193" s="22"/>
      <c r="G193" s="16" t="str">
        <f>Source!DI114</f>
        <v/>
      </c>
      <c r="H193" s="22"/>
      <c r="I193" s="16"/>
      <c r="J193" s="16"/>
      <c r="K193" s="22"/>
      <c r="L193" s="35">
        <f>Source!U114</f>
        <v>2.4300000000000002</v>
      </c>
    </row>
    <row r="194" spans="1:28" ht="42.75" x14ac:dyDescent="0.2">
      <c r="A194" s="49" t="str">
        <f>Source!E115</f>
        <v>26,1</v>
      </c>
      <c r="B194" s="49" t="str">
        <f>Source!F115</f>
        <v>204-0004</v>
      </c>
      <c r="C194" s="49" t="s">
        <v>542</v>
      </c>
      <c r="D194" s="50" t="str">
        <f>Source!H115</f>
        <v>т</v>
      </c>
      <c r="E194" s="51">
        <f>Source!I115</f>
        <v>-1.4999999999999999E-2</v>
      </c>
      <c r="F194" s="52">
        <f>Source!AK115</f>
        <v>6594</v>
      </c>
      <c r="G194" s="53" t="s">
        <v>3</v>
      </c>
      <c r="H194" s="52">
        <f>ROUND(Source!AC115*Source!I115, 2)+ROUND((((Source!ET115)-(Source!EU115))+Source!AE115)*Source!I115, 2)+ROUND(Source!AF115*Source!I115, 2)</f>
        <v>-98.91</v>
      </c>
      <c r="I194" s="50"/>
      <c r="J194" s="50">
        <f>IF(Source!BC115&lt;&gt; 0, Source!BC115, 1)</f>
        <v>10.53</v>
      </c>
      <c r="K194" s="52">
        <f>Source!O115</f>
        <v>-1041.52</v>
      </c>
      <c r="L194" s="52"/>
      <c r="S194">
        <f>ROUND((Source!FX115/100)*((ROUND(Source!AF115*Source!I115, 2)+ROUND(Source!AE115*Source!I115, 2))), 2)</f>
        <v>0</v>
      </c>
      <c r="T194">
        <f>Source!X115</f>
        <v>0</v>
      </c>
      <c r="U194">
        <f>ROUND((Source!FY115/100)*((ROUND(Source!AF115*Source!I115, 2)+ROUND(Source!AE115*Source!I115, 2))), 2)</f>
        <v>0</v>
      </c>
      <c r="V194">
        <f>Source!Y115</f>
        <v>0</v>
      </c>
      <c r="Y194">
        <f>IF(Source!BI115=3,H194, 0)</f>
        <v>0</v>
      </c>
      <c r="AA194">
        <f>ROUND(Source!AC115*Source!I115, 2)+ROUND((((Source!ET115)-(Source!EU115))+Source!AE115)*Source!I115, 2)+ROUND(Source!AF115*Source!I115, 2)</f>
        <v>-98.91</v>
      </c>
      <c r="AB194">
        <f>Source!O115</f>
        <v>-1041.52</v>
      </c>
    </row>
    <row r="195" spans="1:28" ht="15" x14ac:dyDescent="0.25">
      <c r="G195" s="89">
        <f>ROUND(Source!AC114*Source!I114, 2)+ROUND(Source!AF114*Source!I114, 2)+ROUND((((Source!ET114)-(Source!EU114))+Source!AE114)*Source!I114, 2)+SUM(H191:H192)+SUM(AA194:AA194)</f>
        <v>379.38</v>
      </c>
      <c r="H195" s="89"/>
      <c r="J195" s="89">
        <f>Source!O114+SUM(K191:K192)+SUM(AB194:AB194)</f>
        <v>5491.7000000000007</v>
      </c>
      <c r="K195" s="89"/>
      <c r="L195" s="37">
        <f>Source!U114</f>
        <v>2.4300000000000002</v>
      </c>
      <c r="O195" s="36">
        <f>G195</f>
        <v>379.38</v>
      </c>
      <c r="P195" s="36">
        <f>J195</f>
        <v>5491.7000000000007</v>
      </c>
      <c r="Q195" s="36">
        <f>L195</f>
        <v>2.4300000000000002</v>
      </c>
      <c r="W195">
        <f>IF(Source!BI114&lt;=1,G195, 0)</f>
        <v>379.38</v>
      </c>
      <c r="X195">
        <f>IF(Source!BI114=2,G195, 0)</f>
        <v>0</v>
      </c>
      <c r="Y195">
        <f>IF(Source!BI114=3,G195, 0)</f>
        <v>0</v>
      </c>
      <c r="Z195">
        <f>IF(Source!BI114=4,G195, 0)</f>
        <v>0</v>
      </c>
    </row>
    <row r="196" spans="1:28" ht="28.5" x14ac:dyDescent="0.2">
      <c r="A196" s="28" t="str">
        <f>Source!E116</f>
        <v>27</v>
      </c>
      <c r="B196" s="29" t="str">
        <f>Source!F116</f>
        <v>101-1641</v>
      </c>
      <c r="C196" s="15" t="str">
        <f>Source!G116</f>
        <v>Сталь угловая равнополочная, марка стали ВСт3кп2, размером 50x50x5 мм</v>
      </c>
      <c r="D196" s="31" t="str">
        <f>Source!H116</f>
        <v>т</v>
      </c>
      <c r="E196" s="10">
        <f>Source!I116</f>
        <v>3.3345E-2</v>
      </c>
      <c r="F196" s="22">
        <f>IF(Source!AK116&lt;&gt; 0, Source!AK116,Source!AL116 + Source!AM116 + Source!AO116)</f>
        <v>6074</v>
      </c>
      <c r="G196" s="16"/>
      <c r="H196" s="22"/>
      <c r="I196" s="16" t="str">
        <f>Source!BO116</f>
        <v>101-1641</v>
      </c>
      <c r="J196" s="16"/>
      <c r="K196" s="22"/>
      <c r="L196" s="32"/>
      <c r="S196">
        <f>ROUND((Source!FX116/100)*((ROUND(Source!AF116*Source!I116, 2)+ROUND(Source!AE116*Source!I116, 2))), 2)</f>
        <v>0</v>
      </c>
      <c r="T196">
        <f>Source!X116</f>
        <v>0</v>
      </c>
      <c r="U196">
        <f>ROUND((Source!FY116/100)*((ROUND(Source!AF116*Source!I116, 2)+ROUND(Source!AE116*Source!I116, 2))), 2)</f>
        <v>0</v>
      </c>
      <c r="V196">
        <f>Source!Y116</f>
        <v>0</v>
      </c>
    </row>
    <row r="197" spans="1:28" x14ac:dyDescent="0.2">
      <c r="C197" s="55" t="str">
        <f>"Объем: "&amp;Source!I116&amp;"=0,011115*"&amp;"3"</f>
        <v>Объем: 0,033345=0,011115*3</v>
      </c>
    </row>
    <row r="198" spans="1:28" ht="14.25" x14ac:dyDescent="0.2">
      <c r="A198" s="38"/>
      <c r="B198" s="39"/>
      <c r="C198" s="40" t="s">
        <v>540</v>
      </c>
      <c r="D198" s="41"/>
      <c r="E198" s="42"/>
      <c r="F198" s="43">
        <f>Source!AL116</f>
        <v>6074</v>
      </c>
      <c r="G198" s="44" t="str">
        <f>Source!DD116</f>
        <v/>
      </c>
      <c r="H198" s="43">
        <f>ROUND(Source!AC116*Source!I116, 2)</f>
        <v>202.54</v>
      </c>
      <c r="I198" s="44"/>
      <c r="J198" s="44">
        <f>IF(Source!BC116&lt;&gt; 0, Source!BC116, 1)</f>
        <v>13.67</v>
      </c>
      <c r="K198" s="43">
        <f>Source!P116</f>
        <v>2768.69</v>
      </c>
      <c r="L198" s="54"/>
    </row>
    <row r="199" spans="1:28" ht="15" x14ac:dyDescent="0.25">
      <c r="G199" s="89">
        <f>ROUND(Source!AC116*Source!I116, 2)+ROUND(Source!AF116*Source!I116, 2)+ROUND((((Source!ET116)-(Source!EU116))+Source!AE116)*Source!I116, 2)</f>
        <v>202.54</v>
      </c>
      <c r="H199" s="89"/>
      <c r="J199" s="89">
        <f>Source!O116</f>
        <v>2768.69</v>
      </c>
      <c r="K199" s="89"/>
      <c r="L199" s="37">
        <f>Source!U116</f>
        <v>0</v>
      </c>
      <c r="O199" s="36">
        <f>G199</f>
        <v>202.54</v>
      </c>
      <c r="P199" s="36">
        <f>J199</f>
        <v>2768.69</v>
      </c>
      <c r="Q199" s="36">
        <f>L199</f>
        <v>0</v>
      </c>
      <c r="W199">
        <f>IF(Source!BI116&lt;=1,G199, 0)</f>
        <v>202.54</v>
      </c>
      <c r="X199">
        <f>IF(Source!BI116=2,G199, 0)</f>
        <v>0</v>
      </c>
      <c r="Y199">
        <f>IF(Source!BI116=3,G199, 0)</f>
        <v>0</v>
      </c>
      <c r="Z199">
        <f>IF(Source!BI116=4,G199, 0)</f>
        <v>0</v>
      </c>
    </row>
    <row r="200" spans="1:28" ht="42.75" x14ac:dyDescent="0.2">
      <c r="A200" s="28" t="str">
        <f>Source!E117</f>
        <v>28</v>
      </c>
      <c r="B200" s="29" t="str">
        <f>Source!F117</f>
        <v>п01-11-010-1</v>
      </c>
      <c r="C200" s="15" t="str">
        <f>Source!G117</f>
        <v>Измерение сопротивления растеканию тока заземлителя</v>
      </c>
      <c r="D200" s="31" t="str">
        <f>Source!H117</f>
        <v>1 измерение</v>
      </c>
      <c r="E200" s="10">
        <f>Source!I117</f>
        <v>6</v>
      </c>
      <c r="F200" s="22">
        <f>IF(Source!AK117&lt;&gt; 0, Source!AK117,Source!AL117 + Source!AM117 + Source!AO117)</f>
        <v>14.6</v>
      </c>
      <c r="G200" s="16"/>
      <c r="H200" s="22"/>
      <c r="I200" s="16" t="str">
        <f>Source!BO117</f>
        <v/>
      </c>
      <c r="J200" s="16"/>
      <c r="K200" s="22"/>
      <c r="L200" s="32"/>
      <c r="S200">
        <f>ROUND((Source!FX117/100)*((ROUND(Source!AF117*Source!I117, 2)+ROUND(Source!AE117*Source!I117, 2))), 2)</f>
        <v>64.819999999999993</v>
      </c>
      <c r="T200">
        <f>Source!X117</f>
        <v>2286.34</v>
      </c>
      <c r="U200">
        <f>ROUND((Source!FY117/100)*((ROUND(Source!AF117*Source!I117, 2)+ROUND(Source!AE117*Source!I117, 2))), 2)</f>
        <v>31.54</v>
      </c>
      <c r="V200">
        <f>Source!Y117</f>
        <v>1112.27</v>
      </c>
    </row>
    <row r="201" spans="1:28" ht="14.25" x14ac:dyDescent="0.2">
      <c r="A201" s="28"/>
      <c r="B201" s="29"/>
      <c r="C201" s="15" t="s">
        <v>533</v>
      </c>
      <c r="D201" s="31"/>
      <c r="E201" s="10"/>
      <c r="F201" s="22">
        <f>Source!AO117</f>
        <v>14.6</v>
      </c>
      <c r="G201" s="16" t="str">
        <f>Source!DG117</f>
        <v/>
      </c>
      <c r="H201" s="22">
        <f>ROUND(Source!AF117*Source!I117, 2)</f>
        <v>87.6</v>
      </c>
      <c r="I201" s="16"/>
      <c r="J201" s="16">
        <f>IF(Source!BA117&lt;&gt; 0, Source!BA117, 1)</f>
        <v>35.270000000000003</v>
      </c>
      <c r="K201" s="22">
        <f>Source!S117</f>
        <v>3089.65</v>
      </c>
      <c r="L201" s="32"/>
      <c r="R201">
        <f>H201</f>
        <v>87.6</v>
      </c>
    </row>
    <row r="202" spans="1:28" ht="14.25" x14ac:dyDescent="0.2">
      <c r="A202" s="28"/>
      <c r="B202" s="29"/>
      <c r="C202" s="15" t="s">
        <v>535</v>
      </c>
      <c r="D202" s="31" t="s">
        <v>536</v>
      </c>
      <c r="E202" s="10">
        <f>Source!BZ117</f>
        <v>74</v>
      </c>
      <c r="F202" s="33"/>
      <c r="G202" s="16"/>
      <c r="H202" s="22">
        <f>SUM(S200:S204)</f>
        <v>64.819999999999993</v>
      </c>
      <c r="I202" s="34"/>
      <c r="J202" s="15">
        <f>Source!AT117</f>
        <v>74</v>
      </c>
      <c r="K202" s="22">
        <f>SUM(T200:T204)</f>
        <v>2286.34</v>
      </c>
      <c r="L202" s="32"/>
    </row>
    <row r="203" spans="1:28" ht="14.25" x14ac:dyDescent="0.2">
      <c r="A203" s="28"/>
      <c r="B203" s="29"/>
      <c r="C203" s="15" t="s">
        <v>537</v>
      </c>
      <c r="D203" s="31" t="s">
        <v>536</v>
      </c>
      <c r="E203" s="10">
        <f>Source!CA117</f>
        <v>36</v>
      </c>
      <c r="F203" s="33"/>
      <c r="G203" s="16"/>
      <c r="H203" s="22">
        <f>SUM(U200:U204)</f>
        <v>31.54</v>
      </c>
      <c r="I203" s="34"/>
      <c r="J203" s="15">
        <f>Source!AU117</f>
        <v>36</v>
      </c>
      <c r="K203" s="22">
        <f>SUM(V200:V204)</f>
        <v>1112.27</v>
      </c>
      <c r="L203" s="32"/>
    </row>
    <row r="204" spans="1:28" ht="14.25" x14ac:dyDescent="0.2">
      <c r="A204" s="38"/>
      <c r="B204" s="39"/>
      <c r="C204" s="40" t="s">
        <v>538</v>
      </c>
      <c r="D204" s="41" t="s">
        <v>539</v>
      </c>
      <c r="E204" s="42">
        <f>Source!AQ117</f>
        <v>1.22</v>
      </c>
      <c r="F204" s="43"/>
      <c r="G204" s="44" t="str">
        <f>Source!DI117</f>
        <v/>
      </c>
      <c r="H204" s="43"/>
      <c r="I204" s="44"/>
      <c r="J204" s="44"/>
      <c r="K204" s="43"/>
      <c r="L204" s="45">
        <f>Source!U117</f>
        <v>7.32</v>
      </c>
    </row>
    <row r="205" spans="1:28" ht="15" x14ac:dyDescent="0.25">
      <c r="G205" s="89">
        <f>ROUND(Source!AC117*Source!I117, 2)+ROUND(Source!AF117*Source!I117, 2)+ROUND((((Source!ET117)-(Source!EU117))+Source!AE117)*Source!I117, 2)+SUM(H202:H203)</f>
        <v>183.95999999999998</v>
      </c>
      <c r="H205" s="89"/>
      <c r="J205" s="89">
        <f>Source!O117+SUM(K202:K203)</f>
        <v>6488.26</v>
      </c>
      <c r="K205" s="89"/>
      <c r="L205" s="37">
        <f>Source!U117</f>
        <v>7.32</v>
      </c>
      <c r="O205" s="36">
        <f>G205</f>
        <v>183.95999999999998</v>
      </c>
      <c r="P205" s="36">
        <f>J205</f>
        <v>6488.26</v>
      </c>
      <c r="Q205" s="36">
        <f>L205</f>
        <v>7.32</v>
      </c>
      <c r="W205">
        <f>IF(Source!BI117&lt;=1,G205, 0)</f>
        <v>0</v>
      </c>
      <c r="X205">
        <f>IF(Source!BI117=2,G205, 0)</f>
        <v>0</v>
      </c>
      <c r="Y205">
        <f>IF(Source!BI117=3,G205, 0)</f>
        <v>0</v>
      </c>
      <c r="Z205">
        <f>IF(Source!BI117=4,G205, 0)</f>
        <v>183.95999999999998</v>
      </c>
    </row>
    <row r="206" spans="1:28" ht="42.75" x14ac:dyDescent="0.2">
      <c r="A206" s="28" t="str">
        <f>Source!E118</f>
        <v>29</v>
      </c>
      <c r="B206" s="29" t="str">
        <f>Source!F118</f>
        <v>п01-11-011-1</v>
      </c>
      <c r="C206" s="15" t="str">
        <f>Source!G118</f>
        <v>Проверка наличия цепи между заземлителями и заземленными элементами</v>
      </c>
      <c r="D206" s="31" t="str">
        <f>Source!H118</f>
        <v>100 точек</v>
      </c>
      <c r="E206" s="10">
        <f>Source!I118</f>
        <v>0.4</v>
      </c>
      <c r="F206" s="22">
        <f>IF(Source!AK118&lt;&gt; 0, Source!AK118,Source!AL118 + Source!AM118 + Source!AO118)</f>
        <v>155.13</v>
      </c>
      <c r="G206" s="16"/>
      <c r="H206" s="22"/>
      <c r="I206" s="16" t="str">
        <f>Source!BO118</f>
        <v/>
      </c>
      <c r="J206" s="16"/>
      <c r="K206" s="22"/>
      <c r="L206" s="32"/>
      <c r="S206">
        <f>ROUND((Source!FX118/100)*((ROUND(Source!AF118*Source!I118, 2)+ROUND(Source!AE118*Source!I118, 2))), 2)</f>
        <v>45.92</v>
      </c>
      <c r="T206">
        <f>Source!X118</f>
        <v>1619.54</v>
      </c>
      <c r="U206">
        <f>ROUND((Source!FY118/100)*((ROUND(Source!AF118*Source!I118, 2)+ROUND(Source!AE118*Source!I118, 2))), 2)</f>
        <v>22.34</v>
      </c>
      <c r="V206">
        <f>Source!Y118</f>
        <v>787.89</v>
      </c>
    </row>
    <row r="207" spans="1:28" x14ac:dyDescent="0.2">
      <c r="C207" s="55" t="str">
        <f>"Объем: "&amp;Source!I118&amp;"=40/"&amp;"100"</f>
        <v>Объем: 0,4=40/100</v>
      </c>
    </row>
    <row r="208" spans="1:28" ht="14.25" x14ac:dyDescent="0.2">
      <c r="A208" s="28"/>
      <c r="B208" s="29"/>
      <c r="C208" s="15" t="s">
        <v>533</v>
      </c>
      <c r="D208" s="31"/>
      <c r="E208" s="10"/>
      <c r="F208" s="22">
        <f>Source!AO118</f>
        <v>155.13</v>
      </c>
      <c r="G208" s="16" t="str">
        <f>Source!DG118</f>
        <v/>
      </c>
      <c r="H208" s="22">
        <f>ROUND(Source!AF118*Source!I118, 2)</f>
        <v>62.05</v>
      </c>
      <c r="I208" s="16"/>
      <c r="J208" s="16">
        <f>IF(Source!BA118&lt;&gt; 0, Source!BA118, 1)</f>
        <v>35.270000000000003</v>
      </c>
      <c r="K208" s="22">
        <f>Source!S118</f>
        <v>2188.5700000000002</v>
      </c>
      <c r="L208" s="32"/>
      <c r="R208">
        <f>H208</f>
        <v>62.05</v>
      </c>
    </row>
    <row r="209" spans="1:39" ht="14.25" x14ac:dyDescent="0.2">
      <c r="A209" s="28"/>
      <c r="B209" s="29"/>
      <c r="C209" s="15" t="s">
        <v>535</v>
      </c>
      <c r="D209" s="31" t="s">
        <v>536</v>
      </c>
      <c r="E209" s="10">
        <f>Source!BZ118</f>
        <v>74</v>
      </c>
      <c r="F209" s="33"/>
      <c r="G209" s="16"/>
      <c r="H209" s="22">
        <f>SUM(S206:S211)</f>
        <v>45.92</v>
      </c>
      <c r="I209" s="34"/>
      <c r="J209" s="15">
        <f>Source!AT118</f>
        <v>74</v>
      </c>
      <c r="K209" s="22">
        <f>SUM(T206:T211)</f>
        <v>1619.54</v>
      </c>
      <c r="L209" s="32"/>
    </row>
    <row r="210" spans="1:39" ht="14.25" x14ac:dyDescent="0.2">
      <c r="A210" s="28"/>
      <c r="B210" s="29"/>
      <c r="C210" s="15" t="s">
        <v>537</v>
      </c>
      <c r="D210" s="31" t="s">
        <v>536</v>
      </c>
      <c r="E210" s="10">
        <f>Source!CA118</f>
        <v>36</v>
      </c>
      <c r="F210" s="33"/>
      <c r="G210" s="16"/>
      <c r="H210" s="22">
        <f>SUM(U206:U211)</f>
        <v>22.34</v>
      </c>
      <c r="I210" s="34"/>
      <c r="J210" s="15">
        <f>Source!AU118</f>
        <v>36</v>
      </c>
      <c r="K210" s="22">
        <f>SUM(V206:V211)</f>
        <v>787.89</v>
      </c>
      <c r="L210" s="32"/>
    </row>
    <row r="211" spans="1:39" ht="14.25" x14ac:dyDescent="0.2">
      <c r="A211" s="38"/>
      <c r="B211" s="39"/>
      <c r="C211" s="40" t="s">
        <v>538</v>
      </c>
      <c r="D211" s="41" t="s">
        <v>539</v>
      </c>
      <c r="E211" s="42">
        <f>Source!AQ118</f>
        <v>12.96</v>
      </c>
      <c r="F211" s="43"/>
      <c r="G211" s="44" t="str">
        <f>Source!DI118</f>
        <v/>
      </c>
      <c r="H211" s="43"/>
      <c r="I211" s="44"/>
      <c r="J211" s="44"/>
      <c r="K211" s="43"/>
      <c r="L211" s="45">
        <f>Source!U118</f>
        <v>5.1840000000000011</v>
      </c>
    </row>
    <row r="212" spans="1:39" ht="15" x14ac:dyDescent="0.25">
      <c r="G212" s="89">
        <f>ROUND(Source!AC118*Source!I118, 2)+ROUND(Source!AF118*Source!I118, 2)+ROUND((((Source!ET118)-(Source!EU118))+Source!AE118)*Source!I118, 2)+SUM(H209:H210)</f>
        <v>130.31</v>
      </c>
      <c r="H212" s="89"/>
      <c r="J212" s="89">
        <f>Source!O118+SUM(K209:K210)</f>
        <v>4596</v>
      </c>
      <c r="K212" s="89"/>
      <c r="L212" s="37">
        <f>Source!U118</f>
        <v>5.1840000000000011</v>
      </c>
      <c r="O212" s="36">
        <f>G212</f>
        <v>130.31</v>
      </c>
      <c r="P212" s="36">
        <f>J212</f>
        <v>4596</v>
      </c>
      <c r="Q212" s="36">
        <f>L212</f>
        <v>5.1840000000000011</v>
      </c>
      <c r="W212">
        <f>IF(Source!BI118&lt;=1,G212, 0)</f>
        <v>0</v>
      </c>
      <c r="X212">
        <f>IF(Source!BI118=2,G212, 0)</f>
        <v>0</v>
      </c>
      <c r="Y212">
        <f>IF(Source!BI118=3,G212, 0)</f>
        <v>0</v>
      </c>
      <c r="Z212">
        <f>IF(Source!BI118=4,G212, 0)</f>
        <v>130.31</v>
      </c>
    </row>
    <row r="214" spans="1:39" ht="15" x14ac:dyDescent="0.25">
      <c r="A214" s="88" t="str">
        <f>CONCATENATE("Итого по разделу: ", Source!G120)</f>
        <v>Итого по разделу: Монтаж реклоузера</v>
      </c>
      <c r="B214" s="88"/>
      <c r="C214" s="88"/>
      <c r="D214" s="88"/>
      <c r="E214" s="88"/>
      <c r="F214" s="88"/>
      <c r="G214" s="89">
        <f>SUM(O61:O213)</f>
        <v>10486.72</v>
      </c>
      <c r="H214" s="90"/>
      <c r="I214" s="46"/>
      <c r="J214" s="89">
        <f>SUM(P61:P213)</f>
        <v>159978.74000000002</v>
      </c>
      <c r="K214" s="90"/>
      <c r="L214" s="37">
        <f>SUM(Q61:Q213)</f>
        <v>67.758212</v>
      </c>
      <c r="AG214" s="47" t="str">
        <f>CONCATENATE("Итого по разделу: ", Source!G120)</f>
        <v>Итого по разделу: Монтаж реклоузера</v>
      </c>
    </row>
    <row r="216" spans="1:39" ht="14.25" x14ac:dyDescent="0.2">
      <c r="C216" s="15" t="str">
        <f>Source!H149</f>
        <v>ОЗП</v>
      </c>
      <c r="J216" s="86">
        <f>Source!F149</f>
        <v>21883.94</v>
      </c>
      <c r="K216" s="86"/>
    </row>
    <row r="217" spans="1:39" ht="14.25" x14ac:dyDescent="0.2">
      <c r="C217" s="15" t="str">
        <f>Source!H150</f>
        <v>ЭММ, в т.ч. ЗПМ</v>
      </c>
      <c r="J217" s="86">
        <f>Source!F150</f>
        <v>22634.89</v>
      </c>
      <c r="K217" s="86"/>
    </row>
    <row r="218" spans="1:39" ht="14.25" x14ac:dyDescent="0.2">
      <c r="C218" s="15" t="str">
        <f>Source!H151</f>
        <v>ЗПМ (справочно)</v>
      </c>
      <c r="J218" s="86">
        <f>Source!F151</f>
        <v>5368.75</v>
      </c>
      <c r="K218" s="86"/>
    </row>
    <row r="219" spans="1:39" ht="14.25" x14ac:dyDescent="0.2">
      <c r="C219" s="15" t="str">
        <f>Source!H152</f>
        <v>Стоимость материалов</v>
      </c>
      <c r="J219" s="86">
        <f>Source!F152</f>
        <v>74534.429999999993</v>
      </c>
      <c r="K219" s="86"/>
    </row>
    <row r="220" spans="1:39" ht="14.25" x14ac:dyDescent="0.2">
      <c r="C220" s="15" t="str">
        <f>Source!H153</f>
        <v>НР</v>
      </c>
      <c r="J220" s="86">
        <f>Source!F153</f>
        <v>26253.64</v>
      </c>
      <c r="K220" s="86"/>
    </row>
    <row r="221" spans="1:39" ht="14.25" x14ac:dyDescent="0.2">
      <c r="C221" s="15" t="str">
        <f>Source!H154</f>
        <v>СП</v>
      </c>
      <c r="J221" s="86">
        <f>Source!F154</f>
        <v>14671.84</v>
      </c>
      <c r="K221" s="86"/>
    </row>
    <row r="222" spans="1:39" ht="14.25" x14ac:dyDescent="0.2">
      <c r="C222" s="15" t="str">
        <f>Source!H155</f>
        <v>Итого</v>
      </c>
      <c r="D222" s="84" t="str">
        <f>"="&amp;Source!F149&amp;"+"&amp;""&amp;Source!F150&amp;"+"&amp;""&amp;Source!F152&amp;"+"&amp;""&amp;Source!F153&amp;"+"&amp;""&amp;Source!F154&amp;""</f>
        <v>=21883,94+22634,89+74534,43+26253,64+14671,84</v>
      </c>
      <c r="E222" s="85"/>
      <c r="F222" s="85"/>
      <c r="G222" s="85"/>
      <c r="H222" s="85"/>
      <c r="I222" s="85"/>
      <c r="J222" s="86">
        <f>Source!F155</f>
        <v>159978.74</v>
      </c>
      <c r="K222" s="86"/>
      <c r="AM222" s="48" t="str">
        <f>"="&amp;Source!F149&amp;"+"&amp;""&amp;Source!F150&amp;"+"&amp;""&amp;Source!F152&amp;"+"&amp;""&amp;Source!F153&amp;"+"&amp;""&amp;Source!F154&amp;""</f>
        <v>=21883,94+22634,89+74534,43+26253,64+14671,84</v>
      </c>
    </row>
    <row r="223" spans="1:39" ht="14.25" x14ac:dyDescent="0.2">
      <c r="C223" s="15" t="str">
        <f>Source!H156</f>
        <v>НДС 20%</v>
      </c>
      <c r="D223" s="84" t="str">
        <f>"="&amp;Source!F155&amp;"*"&amp;"0,2"</f>
        <v>=159978,74*0,2</v>
      </c>
      <c r="E223" s="85"/>
      <c r="F223" s="85"/>
      <c r="G223" s="85"/>
      <c r="H223" s="85"/>
      <c r="I223" s="85"/>
      <c r="J223" s="86">
        <f>Source!F156</f>
        <v>31995.75</v>
      </c>
      <c r="K223" s="86"/>
      <c r="AM223" s="48" t="str">
        <f>"="&amp;Source!F155&amp;"*"&amp;"0,2"</f>
        <v>=159978,74*0,2</v>
      </c>
    </row>
    <row r="224" spans="1:39" ht="14.25" x14ac:dyDescent="0.2">
      <c r="C224" s="15" t="str">
        <f>Source!H157</f>
        <v>Всего с НДС</v>
      </c>
      <c r="D224" s="84" t="str">
        <f>"="&amp;Source!F155&amp;"+"&amp;""&amp;Source!F156&amp;""</f>
        <v>=159978,74+31995,75</v>
      </c>
      <c r="E224" s="85"/>
      <c r="F224" s="85"/>
      <c r="G224" s="85"/>
      <c r="H224" s="85"/>
      <c r="I224" s="85"/>
      <c r="J224" s="86">
        <f>Source!F157</f>
        <v>191974.49</v>
      </c>
      <c r="K224" s="86"/>
      <c r="AM224" s="48" t="str">
        <f>"="&amp;Source!F155&amp;"+"&amp;""&amp;Source!F156&amp;""</f>
        <v>=159978,74+31995,75</v>
      </c>
    </row>
    <row r="227" spans="1:31" ht="16.5" x14ac:dyDescent="0.25">
      <c r="A227" s="91" t="str">
        <f>CONCATENATE("Раздел: ", Source!G159)</f>
        <v>Раздел: Подвеска провода</v>
      </c>
      <c r="B227" s="91"/>
      <c r="C227" s="91"/>
      <c r="D227" s="91"/>
      <c r="E227" s="91"/>
      <c r="F227" s="91"/>
      <c r="G227" s="91"/>
      <c r="H227" s="91"/>
      <c r="I227" s="91"/>
      <c r="J227" s="91"/>
      <c r="K227" s="91"/>
      <c r="L227" s="91"/>
      <c r="AE227" s="27" t="str">
        <f>CONCATENATE("Раздел: ", Source!G159)</f>
        <v>Раздел: Подвеска провода</v>
      </c>
    </row>
    <row r="228" spans="1:31" ht="71.25" x14ac:dyDescent="0.2">
      <c r="A228" s="28" t="str">
        <f>Source!E163</f>
        <v>30</v>
      </c>
      <c r="B228" s="29" t="str">
        <f>Source!F163</f>
        <v>33-04-009-2</v>
      </c>
      <c r="C228" s="15" t="str">
        <f>Source!G163</f>
        <v>Подвеска проводов ВЛ 6-10 кВ в ненаселенной местности сечением свыше 35 мм2 с помощью механизмов</v>
      </c>
      <c r="D228" s="31" t="str">
        <f>Source!H163</f>
        <v>1 км линии (3 провода) при 10 опорах</v>
      </c>
      <c r="E228" s="10">
        <f>Source!I163</f>
        <v>0.05</v>
      </c>
      <c r="F228" s="22">
        <f>IF(Source!AK163&lt;&gt; 0, Source!AK163,Source!AL163 + Source!AM163 + Source!AO163)</f>
        <v>2096.8200000000002</v>
      </c>
      <c r="G228" s="16"/>
      <c r="H228" s="22"/>
      <c r="I228" s="16" t="str">
        <f>Source!BO163</f>
        <v>33-04-009-2</v>
      </c>
      <c r="J228" s="16"/>
      <c r="K228" s="22"/>
      <c r="L228" s="32"/>
      <c r="S228">
        <f>ROUND((Source!FX163/100)*((ROUND(Source!AF163*Source!I163, 2)+ROUND(Source!AE163*Source!I163, 2))), 2)</f>
        <v>29.66</v>
      </c>
      <c r="T228">
        <f>Source!X163</f>
        <v>1046.0999999999999</v>
      </c>
      <c r="U228">
        <f>ROUND((Source!FY163/100)*((ROUND(Source!AF163*Source!I163, 2)+ROUND(Source!AE163*Source!I163, 2))), 2)</f>
        <v>17.28</v>
      </c>
      <c r="V228">
        <f>Source!Y163</f>
        <v>609.38</v>
      </c>
    </row>
    <row r="229" spans="1:31" x14ac:dyDescent="0.2">
      <c r="C229" s="55" t="str">
        <f>"Объем: "&amp;Source!I163&amp;"=(43+"&amp;"7)/"&amp;"1000"</f>
        <v>Объем: 0,05=(43+7)/1000</v>
      </c>
    </row>
    <row r="230" spans="1:31" ht="14.25" x14ac:dyDescent="0.2">
      <c r="A230" s="28"/>
      <c r="B230" s="29"/>
      <c r="C230" s="15" t="s">
        <v>533</v>
      </c>
      <c r="D230" s="31"/>
      <c r="E230" s="10"/>
      <c r="F230" s="22">
        <f>Source!AO163</f>
        <v>424.8</v>
      </c>
      <c r="G230" s="16" t="str">
        <f>Source!DG163</f>
        <v/>
      </c>
      <c r="H230" s="22">
        <f>ROUND(Source!AF163*Source!I163, 2)</f>
        <v>21.24</v>
      </c>
      <c r="I230" s="16"/>
      <c r="J230" s="16">
        <f>IF(Source!BA163&lt;&gt; 0, Source!BA163, 1)</f>
        <v>35.270000000000003</v>
      </c>
      <c r="K230" s="22">
        <f>Source!S163</f>
        <v>749.13</v>
      </c>
      <c r="L230" s="32"/>
      <c r="R230">
        <f>H230</f>
        <v>21.24</v>
      </c>
    </row>
    <row r="231" spans="1:31" ht="14.25" x14ac:dyDescent="0.2">
      <c r="A231" s="28"/>
      <c r="B231" s="29"/>
      <c r="C231" s="15" t="s">
        <v>45</v>
      </c>
      <c r="D231" s="31"/>
      <c r="E231" s="10"/>
      <c r="F231" s="22">
        <f>Source!AM163</f>
        <v>1338.74</v>
      </c>
      <c r="G231" s="16" t="str">
        <f>Source!DE163</f>
        <v/>
      </c>
      <c r="H231" s="22">
        <f>ROUND((((Source!ET163)-(Source!EU163))+Source!AE163)*Source!I163, 2)</f>
        <v>66.94</v>
      </c>
      <c r="I231" s="16"/>
      <c r="J231" s="16">
        <f>IF(Source!BB163&lt;&gt; 0, Source!BB163, 1)</f>
        <v>12.57</v>
      </c>
      <c r="K231" s="22">
        <f>Source!Q163</f>
        <v>841.4</v>
      </c>
      <c r="L231" s="32"/>
    </row>
    <row r="232" spans="1:31" ht="14.25" x14ac:dyDescent="0.2">
      <c r="A232" s="28"/>
      <c r="B232" s="29"/>
      <c r="C232" s="15" t="s">
        <v>534</v>
      </c>
      <c r="D232" s="31"/>
      <c r="E232" s="10"/>
      <c r="F232" s="22">
        <f>Source!AN163</f>
        <v>151.12</v>
      </c>
      <c r="G232" s="16" t="str">
        <f>Source!DF163</f>
        <v/>
      </c>
      <c r="H232" s="22">
        <f>ROUND(Source!AE163*Source!I163, 2)</f>
        <v>7.56</v>
      </c>
      <c r="I232" s="16"/>
      <c r="J232" s="16">
        <f>IF(Source!BS163&lt;&gt; 0, Source!BS163, 1)</f>
        <v>35.270000000000003</v>
      </c>
      <c r="K232" s="22">
        <f>Source!R163</f>
        <v>266.5</v>
      </c>
      <c r="L232" s="32"/>
      <c r="R232">
        <f>H232</f>
        <v>7.56</v>
      </c>
    </row>
    <row r="233" spans="1:31" ht="14.25" x14ac:dyDescent="0.2">
      <c r="A233" s="28"/>
      <c r="B233" s="29"/>
      <c r="C233" s="15" t="s">
        <v>540</v>
      </c>
      <c r="D233" s="31"/>
      <c r="E233" s="10"/>
      <c r="F233" s="22">
        <f>Source!AL163</f>
        <v>333.28</v>
      </c>
      <c r="G233" s="16" t="str">
        <f>Source!DD163</f>
        <v/>
      </c>
      <c r="H233" s="22">
        <f>ROUND(Source!AC163*Source!I163, 2)</f>
        <v>16.66</v>
      </c>
      <c r="I233" s="16"/>
      <c r="J233" s="16">
        <f>IF(Source!BC163&lt;&gt; 0, Source!BC163, 1)</f>
        <v>10.39</v>
      </c>
      <c r="K233" s="22">
        <f>Source!P163</f>
        <v>173.14</v>
      </c>
      <c r="L233" s="32"/>
    </row>
    <row r="234" spans="1:31" ht="14.25" x14ac:dyDescent="0.2">
      <c r="A234" s="28"/>
      <c r="B234" s="29"/>
      <c r="C234" s="15" t="s">
        <v>535</v>
      </c>
      <c r="D234" s="31" t="s">
        <v>536</v>
      </c>
      <c r="E234" s="10">
        <f>Source!BZ163</f>
        <v>103</v>
      </c>
      <c r="F234" s="33"/>
      <c r="G234" s="16"/>
      <c r="H234" s="22">
        <f>SUM(S228:S236)</f>
        <v>29.66</v>
      </c>
      <c r="I234" s="34"/>
      <c r="J234" s="15">
        <f>Source!AT163</f>
        <v>103</v>
      </c>
      <c r="K234" s="22">
        <f>SUM(T228:T236)</f>
        <v>1046.0999999999999</v>
      </c>
      <c r="L234" s="32"/>
    </row>
    <row r="235" spans="1:31" ht="14.25" x14ac:dyDescent="0.2">
      <c r="A235" s="28"/>
      <c r="B235" s="29"/>
      <c r="C235" s="15" t="s">
        <v>537</v>
      </c>
      <c r="D235" s="31" t="s">
        <v>536</v>
      </c>
      <c r="E235" s="10">
        <f>Source!CA163</f>
        <v>60</v>
      </c>
      <c r="F235" s="33"/>
      <c r="G235" s="16"/>
      <c r="H235" s="22">
        <f>SUM(U228:U236)</f>
        <v>17.28</v>
      </c>
      <c r="I235" s="34"/>
      <c r="J235" s="15">
        <f>Source!AU163</f>
        <v>60</v>
      </c>
      <c r="K235" s="22">
        <f>SUM(V228:V236)</f>
        <v>609.38</v>
      </c>
      <c r="L235" s="32"/>
    </row>
    <row r="236" spans="1:31" ht="14.25" x14ac:dyDescent="0.2">
      <c r="A236" s="38"/>
      <c r="B236" s="39"/>
      <c r="C236" s="40" t="s">
        <v>538</v>
      </c>
      <c r="D236" s="41" t="s">
        <v>539</v>
      </c>
      <c r="E236" s="42">
        <f>Source!AQ163</f>
        <v>48.94</v>
      </c>
      <c r="F236" s="43"/>
      <c r="G236" s="44" t="str">
        <f>Source!DI163</f>
        <v/>
      </c>
      <c r="H236" s="43"/>
      <c r="I236" s="44"/>
      <c r="J236" s="44"/>
      <c r="K236" s="43"/>
      <c r="L236" s="45">
        <f>Source!U163</f>
        <v>2.4470000000000001</v>
      </c>
    </row>
    <row r="237" spans="1:31" ht="15" x14ac:dyDescent="0.25">
      <c r="G237" s="89">
        <f>ROUND(Source!AC163*Source!I163, 2)+ROUND(Source!AF163*Source!I163, 2)+ROUND((((Source!ET163)-(Source!EU163))+Source!AE163)*Source!I163, 2)+SUM(H234:H235)</f>
        <v>151.78</v>
      </c>
      <c r="H237" s="89"/>
      <c r="J237" s="89">
        <f>Source!O163+SUM(K234:K235)</f>
        <v>3419.15</v>
      </c>
      <c r="K237" s="89"/>
      <c r="L237" s="37">
        <f>Source!U163</f>
        <v>2.4470000000000001</v>
      </c>
      <c r="O237" s="36">
        <f>G237</f>
        <v>151.78</v>
      </c>
      <c r="P237" s="36">
        <f>J237</f>
        <v>3419.15</v>
      </c>
      <c r="Q237" s="36">
        <f>L237</f>
        <v>2.4470000000000001</v>
      </c>
      <c r="W237">
        <f>IF(Source!BI163&lt;=1,G237, 0)</f>
        <v>151.78</v>
      </c>
      <c r="X237">
        <f>IF(Source!BI163=2,G237, 0)</f>
        <v>0</v>
      </c>
      <c r="Y237">
        <f>IF(Source!BI163=3,G237, 0)</f>
        <v>0</v>
      </c>
      <c r="Z237">
        <f>IF(Source!BI163=4,G237, 0)</f>
        <v>0</v>
      </c>
    </row>
    <row r="238" spans="1:31" ht="28.5" x14ac:dyDescent="0.2">
      <c r="A238" s="28" t="str">
        <f>Source!E167</f>
        <v>31</v>
      </c>
      <c r="B238" s="29" t="str">
        <f>Source!F167</f>
        <v>509-5892</v>
      </c>
      <c r="C238" s="15" t="str">
        <f>Source!G167</f>
        <v>Зажим плашечный соединительный ПА 2-2</v>
      </c>
      <c r="D238" s="31" t="str">
        <f>Source!H167</f>
        <v>шт.</v>
      </c>
      <c r="E238" s="10">
        <f>Source!I167</f>
        <v>3</v>
      </c>
      <c r="F238" s="22">
        <f>IF(Source!AK167&lt;&gt; 0, Source!AK167,Source!AL167 + Source!AM167 + Source!AO167)</f>
        <v>6.89</v>
      </c>
      <c r="G238" s="16"/>
      <c r="H238" s="22"/>
      <c r="I238" s="16" t="str">
        <f>Source!BO167</f>
        <v>509-5892</v>
      </c>
      <c r="J238" s="16"/>
      <c r="K238" s="22"/>
      <c r="L238" s="32"/>
      <c r="S238">
        <f>ROUND((Source!FX167/100)*((ROUND(Source!AF167*Source!I167, 2)+ROUND(Source!AE167*Source!I167, 2))), 2)</f>
        <v>0</v>
      </c>
      <c r="T238">
        <f>Source!X167</f>
        <v>0</v>
      </c>
      <c r="U238">
        <f>ROUND((Source!FY167/100)*((ROUND(Source!AF167*Source!I167, 2)+ROUND(Source!AE167*Source!I167, 2))), 2)</f>
        <v>0</v>
      </c>
      <c r="V238">
        <f>Source!Y167</f>
        <v>0</v>
      </c>
    </row>
    <row r="239" spans="1:31" ht="14.25" x14ac:dyDescent="0.2">
      <c r="A239" s="38"/>
      <c r="B239" s="39"/>
      <c r="C239" s="40" t="s">
        <v>540</v>
      </c>
      <c r="D239" s="41"/>
      <c r="E239" s="42"/>
      <c r="F239" s="43">
        <f>Source!AL167</f>
        <v>6.89</v>
      </c>
      <c r="G239" s="44" t="str">
        <f>Source!DD167</f>
        <v/>
      </c>
      <c r="H239" s="43">
        <f>ROUND(Source!AC167*Source!I167, 2)</f>
        <v>20.67</v>
      </c>
      <c r="I239" s="44"/>
      <c r="J239" s="44">
        <f>IF(Source!BC167&lt;&gt; 0, Source!BC167, 1)</f>
        <v>10.73</v>
      </c>
      <c r="K239" s="43">
        <f>Source!P167</f>
        <v>221.79</v>
      </c>
      <c r="L239" s="54"/>
    </row>
    <row r="240" spans="1:31" ht="15" x14ac:dyDescent="0.25">
      <c r="G240" s="89">
        <f>ROUND(Source!AC167*Source!I167, 2)+ROUND(Source!AF167*Source!I167, 2)+ROUND((((Source!ET167)-(Source!EU167))+Source!AE167)*Source!I167, 2)</f>
        <v>20.67</v>
      </c>
      <c r="H240" s="89"/>
      <c r="J240" s="89">
        <f>Source!O167</f>
        <v>221.79</v>
      </c>
      <c r="K240" s="89"/>
      <c r="L240" s="37">
        <f>Source!U167</f>
        <v>0</v>
      </c>
      <c r="O240" s="36">
        <f>G240</f>
        <v>20.67</v>
      </c>
      <c r="P240" s="36">
        <f>J240</f>
        <v>221.79</v>
      </c>
      <c r="Q240" s="36">
        <f>L240</f>
        <v>0</v>
      </c>
      <c r="W240">
        <f>IF(Source!BI167&lt;=1,G240, 0)</f>
        <v>0</v>
      </c>
      <c r="X240">
        <f>IF(Source!BI167=2,G240, 0)</f>
        <v>20.67</v>
      </c>
      <c r="Y240">
        <f>IF(Source!BI167=3,G240, 0)</f>
        <v>0</v>
      </c>
      <c r="Z240">
        <f>IF(Source!BI167=4,G240, 0)</f>
        <v>0</v>
      </c>
    </row>
    <row r="241" spans="1:33" ht="57" x14ac:dyDescent="0.2">
      <c r="A241" s="28" t="str">
        <f>Source!E168</f>
        <v>32</v>
      </c>
      <c r="B241" s="29" t="str">
        <f>Source!F168</f>
        <v>502-0860</v>
      </c>
      <c r="C241" s="15" t="str">
        <f>Source!G168</f>
        <v>Провода самонесущие изолированные для воздушных линий электропередачи с алюминиевыми жилами марки СИП-3 1х70-20</v>
      </c>
      <c r="D241" s="31" t="str">
        <f>Source!H168</f>
        <v>1000 м</v>
      </c>
      <c r="E241" s="10">
        <f>Source!I168</f>
        <v>2.1000000000000001E-2</v>
      </c>
      <c r="F241" s="22">
        <f>IF(Source!AK168&lt;&gt; 0, Source!AK168,Source!AL168 + Source!AM168 + Source!AO168)</f>
        <v>23908.94</v>
      </c>
      <c r="G241" s="16"/>
      <c r="H241" s="22"/>
      <c r="I241" s="16" t="str">
        <f>Source!BO168</f>
        <v>502-0860</v>
      </c>
      <c r="J241" s="16"/>
      <c r="K241" s="22"/>
      <c r="L241" s="32"/>
      <c r="S241">
        <f>ROUND((Source!FX168/100)*((ROUND(Source!AF168*Source!I168, 2)+ROUND(Source!AE168*Source!I168, 2))), 2)</f>
        <v>0</v>
      </c>
      <c r="T241">
        <f>Source!X168</f>
        <v>0</v>
      </c>
      <c r="U241">
        <f>ROUND((Source!FY168/100)*((ROUND(Source!AF168*Source!I168, 2)+ROUND(Source!AE168*Source!I168, 2))), 2)</f>
        <v>0</v>
      </c>
      <c r="V241">
        <f>Source!Y168</f>
        <v>0</v>
      </c>
    </row>
    <row r="242" spans="1:33" x14ac:dyDescent="0.2">
      <c r="C242" s="55" t="str">
        <f>"Объем: "&amp;Source!I168&amp;"=21/"&amp;"1000"</f>
        <v>Объем: 0,021=21/1000</v>
      </c>
    </row>
    <row r="243" spans="1:33" ht="14.25" x14ac:dyDescent="0.2">
      <c r="A243" s="38"/>
      <c r="B243" s="39"/>
      <c r="C243" s="40" t="s">
        <v>540</v>
      </c>
      <c r="D243" s="41"/>
      <c r="E243" s="42"/>
      <c r="F243" s="43">
        <f>Source!AL168</f>
        <v>23908.94</v>
      </c>
      <c r="G243" s="44" t="str">
        <f>Source!DD168</f>
        <v/>
      </c>
      <c r="H243" s="43">
        <f>ROUND(Source!AC168*Source!I168, 2)</f>
        <v>502.09</v>
      </c>
      <c r="I243" s="44"/>
      <c r="J243" s="44">
        <f>IF(Source!BC168&lt;&gt; 0, Source!BC168, 1)</f>
        <v>3.78</v>
      </c>
      <c r="K243" s="43">
        <f>Source!P168</f>
        <v>1897.89</v>
      </c>
      <c r="L243" s="54"/>
    </row>
    <row r="244" spans="1:33" ht="15" x14ac:dyDescent="0.25">
      <c r="G244" s="89">
        <f>ROUND(Source!AC168*Source!I168, 2)+ROUND(Source!AF168*Source!I168, 2)+ROUND((((Source!ET168)-(Source!EU168))+Source!AE168)*Source!I168, 2)</f>
        <v>502.09</v>
      </c>
      <c r="H244" s="89"/>
      <c r="J244" s="89">
        <f>Source!O168</f>
        <v>1897.89</v>
      </c>
      <c r="K244" s="89"/>
      <c r="L244" s="37">
        <f>Source!U168</f>
        <v>0</v>
      </c>
      <c r="O244" s="36">
        <f>G244</f>
        <v>502.09</v>
      </c>
      <c r="P244" s="36">
        <f>J244</f>
        <v>1897.89</v>
      </c>
      <c r="Q244" s="36">
        <f>L244</f>
        <v>0</v>
      </c>
      <c r="W244">
        <f>IF(Source!BI168&lt;=1,G244, 0)</f>
        <v>0</v>
      </c>
      <c r="X244">
        <f>IF(Source!BI168=2,G244, 0)</f>
        <v>502.09</v>
      </c>
      <c r="Y244">
        <f>IF(Source!BI168=3,G244, 0)</f>
        <v>0</v>
      </c>
      <c r="Z244">
        <f>IF(Source!BI168=4,G244, 0)</f>
        <v>0</v>
      </c>
    </row>
    <row r="245" spans="1:33" ht="42.75" x14ac:dyDescent="0.2">
      <c r="A245" s="28" t="str">
        <f>Source!E169</f>
        <v>33</v>
      </c>
      <c r="B245" s="29" t="str">
        <f>Source!F169</f>
        <v>111-3249</v>
      </c>
      <c r="C245" s="15" t="str">
        <f>Source!G169</f>
        <v>Наконечник изолированный алюминиевый с медной клеммой (СИП) CPTAU 70</v>
      </c>
      <c r="D245" s="31" t="str">
        <f>Source!H169</f>
        <v>шт.</v>
      </c>
      <c r="E245" s="10">
        <f>Source!I169</f>
        <v>6</v>
      </c>
      <c r="F245" s="22">
        <f>IF(Source!AK169&lt;&gt; 0, Source!AK169,Source!AL169 + Source!AM169 + Source!AO169)</f>
        <v>57.83</v>
      </c>
      <c r="G245" s="16"/>
      <c r="H245" s="22"/>
      <c r="I245" s="16" t="str">
        <f>Source!BO169</f>
        <v>111-3249</v>
      </c>
      <c r="J245" s="16"/>
      <c r="K245" s="22"/>
      <c r="L245" s="32"/>
      <c r="S245">
        <f>ROUND((Source!FX169/100)*((ROUND(Source!AF169*Source!I169, 2)+ROUND(Source!AE169*Source!I169, 2))), 2)</f>
        <v>0</v>
      </c>
      <c r="T245">
        <f>Source!X169</f>
        <v>0</v>
      </c>
      <c r="U245">
        <f>ROUND((Source!FY169/100)*((ROUND(Source!AF169*Source!I169, 2)+ROUND(Source!AE169*Source!I169, 2))), 2)</f>
        <v>0</v>
      </c>
      <c r="V245">
        <f>Source!Y169</f>
        <v>0</v>
      </c>
    </row>
    <row r="246" spans="1:33" ht="14.25" x14ac:dyDescent="0.2">
      <c r="A246" s="38"/>
      <c r="B246" s="39"/>
      <c r="C246" s="40" t="s">
        <v>540</v>
      </c>
      <c r="D246" s="41"/>
      <c r="E246" s="42"/>
      <c r="F246" s="43">
        <f>Source!AL169</f>
        <v>57.83</v>
      </c>
      <c r="G246" s="44" t="str">
        <f>Source!DD169</f>
        <v/>
      </c>
      <c r="H246" s="43">
        <f>ROUND(Source!AC169*Source!I169, 2)</f>
        <v>346.98</v>
      </c>
      <c r="I246" s="44"/>
      <c r="J246" s="44">
        <f>IF(Source!BC169&lt;&gt; 0, Source!BC169, 1)</f>
        <v>10.95</v>
      </c>
      <c r="K246" s="43">
        <f>Source!P169</f>
        <v>3799.43</v>
      </c>
      <c r="L246" s="54"/>
    </row>
    <row r="247" spans="1:33" ht="15" x14ac:dyDescent="0.25">
      <c r="G247" s="89">
        <f>ROUND(Source!AC169*Source!I169, 2)+ROUND(Source!AF169*Source!I169, 2)+ROUND((((Source!ET169)-(Source!EU169))+Source!AE169)*Source!I169, 2)</f>
        <v>346.98</v>
      </c>
      <c r="H247" s="89"/>
      <c r="J247" s="89">
        <f>Source!O169</f>
        <v>3799.43</v>
      </c>
      <c r="K247" s="89"/>
      <c r="L247" s="37">
        <f>Source!U169</f>
        <v>0</v>
      </c>
      <c r="O247" s="36">
        <f>G247</f>
        <v>346.98</v>
      </c>
      <c r="P247" s="36">
        <f>J247</f>
        <v>3799.43</v>
      </c>
      <c r="Q247" s="36">
        <f>L247</f>
        <v>0</v>
      </c>
      <c r="W247">
        <f>IF(Source!BI169&lt;=1,G247, 0)</f>
        <v>346.98</v>
      </c>
      <c r="X247">
        <f>IF(Source!BI169=2,G247, 0)</f>
        <v>0</v>
      </c>
      <c r="Y247">
        <f>IF(Source!BI169=3,G247, 0)</f>
        <v>0</v>
      </c>
      <c r="Z247">
        <f>IF(Source!BI169=4,G247, 0)</f>
        <v>0</v>
      </c>
    </row>
    <row r="249" spans="1:33" ht="15" x14ac:dyDescent="0.25">
      <c r="A249" s="88" t="str">
        <f>CONCATENATE("Итого по разделу: ", Source!G171)</f>
        <v>Итого по разделу: Подвеска провода</v>
      </c>
      <c r="B249" s="88"/>
      <c r="C249" s="88"/>
      <c r="D249" s="88"/>
      <c r="E249" s="88"/>
      <c r="F249" s="88"/>
      <c r="G249" s="89">
        <f>SUM(O227:O248)</f>
        <v>1021.52</v>
      </c>
      <c r="H249" s="90"/>
      <c r="I249" s="46"/>
      <c r="J249" s="89">
        <f>SUM(P227:P248)</f>
        <v>9338.26</v>
      </c>
      <c r="K249" s="90"/>
      <c r="L249" s="37">
        <f>SUM(Q227:Q248)</f>
        <v>2.4470000000000001</v>
      </c>
      <c r="AG249" s="47" t="str">
        <f>CONCATENATE("Итого по разделу: ", Source!G171)</f>
        <v>Итого по разделу: Подвеска провода</v>
      </c>
    </row>
    <row r="251" spans="1:33" ht="14.25" x14ac:dyDescent="0.2">
      <c r="C251" s="15" t="str">
        <f>Source!H200</f>
        <v>ОЗП</v>
      </c>
      <c r="J251" s="86">
        <f>Source!F200</f>
        <v>749.13</v>
      </c>
      <c r="K251" s="86"/>
    </row>
    <row r="252" spans="1:33" ht="14.25" x14ac:dyDescent="0.2">
      <c r="C252" s="15" t="str">
        <f>Source!H201</f>
        <v>ЭММ, в т.ч. ЗПМ</v>
      </c>
      <c r="J252" s="86">
        <f>Source!F201</f>
        <v>841.4</v>
      </c>
      <c r="K252" s="86"/>
    </row>
    <row r="253" spans="1:33" ht="14.25" x14ac:dyDescent="0.2">
      <c r="C253" s="15" t="str">
        <f>Source!H202</f>
        <v>ЗПМ (справочно)</v>
      </c>
      <c r="J253" s="86">
        <f>Source!F202</f>
        <v>266.5</v>
      </c>
      <c r="K253" s="86"/>
    </row>
    <row r="254" spans="1:33" ht="14.25" x14ac:dyDescent="0.2">
      <c r="C254" s="15" t="str">
        <f>Source!H203</f>
        <v>Стоимость материалов</v>
      </c>
      <c r="J254" s="86">
        <f>Source!F203</f>
        <v>6092.25</v>
      </c>
      <c r="K254" s="86"/>
    </row>
    <row r="255" spans="1:33" ht="14.25" x14ac:dyDescent="0.2">
      <c r="C255" s="15" t="str">
        <f>Source!H204</f>
        <v>НР</v>
      </c>
      <c r="J255" s="86">
        <f>Source!F204</f>
        <v>1046.0999999999999</v>
      </c>
      <c r="K255" s="86"/>
    </row>
    <row r="256" spans="1:33" ht="14.25" x14ac:dyDescent="0.2">
      <c r="C256" s="15" t="str">
        <f>Source!H205</f>
        <v>СП</v>
      </c>
      <c r="J256" s="86">
        <f>Source!F205</f>
        <v>609.38</v>
      </c>
      <c r="K256" s="86"/>
    </row>
    <row r="257" spans="1:39" ht="14.25" x14ac:dyDescent="0.2">
      <c r="C257" s="15" t="str">
        <f>Source!H206</f>
        <v>Итого</v>
      </c>
      <c r="D257" s="84" t="str">
        <f>"="&amp;Source!F200&amp;"+"&amp;""&amp;Source!F201&amp;"+"&amp;""&amp;Source!F203&amp;"+"&amp;""&amp;Source!F204&amp;"+"&amp;""&amp;Source!F205&amp;""</f>
        <v>=749,13+841,4+6092,25+1046,1+609,38</v>
      </c>
      <c r="E257" s="85"/>
      <c r="F257" s="85"/>
      <c r="G257" s="85"/>
      <c r="H257" s="85"/>
      <c r="I257" s="85"/>
      <c r="J257" s="86">
        <f>Source!F206</f>
        <v>9338.26</v>
      </c>
      <c r="K257" s="86"/>
      <c r="AM257" s="48" t="str">
        <f>"="&amp;Source!F200&amp;"+"&amp;""&amp;Source!F201&amp;"+"&amp;""&amp;Source!F203&amp;"+"&amp;""&amp;Source!F204&amp;"+"&amp;""&amp;Source!F205&amp;""</f>
        <v>=749,13+841,4+6092,25+1046,1+609,38</v>
      </c>
    </row>
    <row r="258" spans="1:39" ht="14.25" x14ac:dyDescent="0.2">
      <c r="C258" s="15" t="str">
        <f>Source!H207</f>
        <v>НДС 20%</v>
      </c>
      <c r="D258" s="84" t="str">
        <f>"="&amp;Source!F206&amp;"*"&amp;"0,2"</f>
        <v>=9338,26*0,2</v>
      </c>
      <c r="E258" s="85"/>
      <c r="F258" s="85"/>
      <c r="G258" s="85"/>
      <c r="H258" s="85"/>
      <c r="I258" s="85"/>
      <c r="J258" s="86">
        <f>Source!F207</f>
        <v>1867.65</v>
      </c>
      <c r="K258" s="86"/>
      <c r="AM258" s="48" t="str">
        <f>"="&amp;Source!F206&amp;"*"&amp;"0,2"</f>
        <v>=9338,26*0,2</v>
      </c>
    </row>
    <row r="259" spans="1:39" ht="14.25" x14ac:dyDescent="0.2">
      <c r="C259" s="15" t="str">
        <f>Source!H208</f>
        <v>Всего с НДС</v>
      </c>
      <c r="D259" s="84" t="str">
        <f>"="&amp;Source!F206&amp;"+"&amp;""&amp;Source!F207&amp;""</f>
        <v>=9338,26+1867,65</v>
      </c>
      <c r="E259" s="85"/>
      <c r="F259" s="85"/>
      <c r="G259" s="85"/>
      <c r="H259" s="85"/>
      <c r="I259" s="85"/>
      <c r="J259" s="86">
        <f>Source!F208</f>
        <v>11205.91</v>
      </c>
      <c r="K259" s="86"/>
      <c r="AM259" s="48" t="str">
        <f>"="&amp;Source!F206&amp;"+"&amp;""&amp;Source!F207&amp;""</f>
        <v>=9338,26+1867,65</v>
      </c>
    </row>
    <row r="262" spans="1:39" ht="15" hidden="1" x14ac:dyDescent="0.25">
      <c r="A262" s="88" t="str">
        <f>CONCATENATE("Итого по локальной смете: ", Source!G210)</f>
        <v xml:space="preserve">Итого по локальной смете: </v>
      </c>
      <c r="B262" s="88"/>
      <c r="C262" s="88"/>
      <c r="D262" s="88"/>
      <c r="E262" s="88"/>
      <c r="F262" s="88"/>
      <c r="G262" s="89">
        <f>SUM(O37:O261)</f>
        <v>11605.110000000002</v>
      </c>
      <c r="H262" s="90"/>
      <c r="I262" s="46"/>
      <c r="J262" s="89">
        <f>SUM(P37:P261)</f>
        <v>171585.53</v>
      </c>
      <c r="K262" s="90"/>
      <c r="L262" s="37">
        <f>SUM(Q37:Q261)</f>
        <v>72.235212000000004</v>
      </c>
      <c r="AG262" s="47" t="str">
        <f>CONCATENATE("Итого по локальной смете: ", Source!G210)</f>
        <v xml:space="preserve">Итого по локальной смете: </v>
      </c>
    </row>
    <row r="263" spans="1:39" hidden="1" x14ac:dyDescent="0.2"/>
    <row r="264" spans="1:39" ht="14.25" hidden="1" x14ac:dyDescent="0.2">
      <c r="C264" s="15" t="str">
        <f>Source!H239</f>
        <v>ОЗП</v>
      </c>
      <c r="J264" s="86">
        <f>Source!F239</f>
        <v>23203.74</v>
      </c>
      <c r="K264" s="86"/>
    </row>
    <row r="265" spans="1:39" ht="14.25" hidden="1" x14ac:dyDescent="0.2">
      <c r="C265" s="15" t="str">
        <f>Source!H240</f>
        <v>ЭММ, в т.ч. ЗПМ</v>
      </c>
      <c r="J265" s="86">
        <f>Source!F240</f>
        <v>24011.119999999999</v>
      </c>
      <c r="K265" s="86"/>
    </row>
    <row r="266" spans="1:39" ht="14.25" hidden="1" x14ac:dyDescent="0.2">
      <c r="C266" s="15" t="str">
        <f>Source!H241</f>
        <v>ЗПМ (справочно)</v>
      </c>
      <c r="J266" s="86">
        <f>Source!F241</f>
        <v>5778.09</v>
      </c>
      <c r="K266" s="86"/>
    </row>
    <row r="267" spans="1:39" ht="14.25" hidden="1" x14ac:dyDescent="0.2">
      <c r="C267" s="15" t="str">
        <f>Source!H242</f>
        <v>Стоимость материалов</v>
      </c>
      <c r="J267" s="86">
        <f>Source!F242</f>
        <v>80626.679999999993</v>
      </c>
      <c r="K267" s="86"/>
    </row>
    <row r="268" spans="1:39" ht="14.25" hidden="1" x14ac:dyDescent="0.2">
      <c r="C268" s="15" t="str">
        <f>Source!H243</f>
        <v>НР</v>
      </c>
      <c r="J268" s="86">
        <f>Source!F243</f>
        <v>28034.66</v>
      </c>
      <c r="K268" s="86"/>
    </row>
    <row r="269" spans="1:39" ht="14.25" hidden="1" x14ac:dyDescent="0.2">
      <c r="C269" s="15" t="str">
        <f>Source!H244</f>
        <v>СП</v>
      </c>
      <c r="J269" s="86">
        <f>Source!F244</f>
        <v>15709.33</v>
      </c>
      <c r="K269" s="86"/>
    </row>
    <row r="270" spans="1:39" ht="14.25" hidden="1" x14ac:dyDescent="0.2">
      <c r="C270" s="15" t="str">
        <f>Source!H245</f>
        <v>Итого</v>
      </c>
      <c r="D270" s="84" t="str">
        <f>"="&amp;Source!F239&amp;"+"&amp;""&amp;Source!F240&amp;"+"&amp;""&amp;Source!F242&amp;"+"&amp;""&amp;Source!F243&amp;"+"&amp;""&amp;Source!F244&amp;""</f>
        <v>=23203,74+24011,12+80626,68+28034,66+15709,33</v>
      </c>
      <c r="E270" s="85"/>
      <c r="F270" s="85"/>
      <c r="G270" s="85"/>
      <c r="H270" s="85"/>
      <c r="I270" s="85"/>
      <c r="J270" s="86">
        <f>Source!F245</f>
        <v>171585.53</v>
      </c>
      <c r="K270" s="86"/>
      <c r="AM270" s="48" t="str">
        <f>"="&amp;Source!F239&amp;"+"&amp;""&amp;Source!F240&amp;"+"&amp;""&amp;Source!F242&amp;"+"&amp;""&amp;Source!F243&amp;"+"&amp;""&amp;Source!F244&amp;""</f>
        <v>=23203,74+24011,12+80626,68+28034,66+15709,33</v>
      </c>
    </row>
    <row r="271" spans="1:39" ht="14.25" hidden="1" x14ac:dyDescent="0.2">
      <c r="C271" s="15" t="str">
        <f>Source!H246</f>
        <v>НДС 20%</v>
      </c>
      <c r="D271" s="84" t="str">
        <f>"="&amp;Source!F245&amp;"*"&amp;"0,2"</f>
        <v>=171585,53*0,2</v>
      </c>
      <c r="E271" s="85"/>
      <c r="F271" s="85"/>
      <c r="G271" s="85"/>
      <c r="H271" s="85"/>
      <c r="I271" s="85"/>
      <c r="J271" s="86">
        <f>Source!F246</f>
        <v>34317.11</v>
      </c>
      <c r="K271" s="86"/>
      <c r="AM271" s="48" t="str">
        <f>"="&amp;Source!F245&amp;"*"&amp;"0,2"</f>
        <v>=171585,53*0,2</v>
      </c>
    </row>
    <row r="272" spans="1:39" ht="14.25" hidden="1" x14ac:dyDescent="0.2">
      <c r="C272" s="15" t="str">
        <f>Source!H247</f>
        <v>Всего с НДС</v>
      </c>
      <c r="D272" s="84" t="str">
        <f>"="&amp;Source!F245&amp;"+"&amp;""&amp;Source!F246&amp;""</f>
        <v>=171585,53+34317,11</v>
      </c>
      <c r="E272" s="85"/>
      <c r="F272" s="85"/>
      <c r="G272" s="85"/>
      <c r="H272" s="85"/>
      <c r="I272" s="85"/>
      <c r="J272" s="86">
        <f>Source!F247</f>
        <v>205902.64</v>
      </c>
      <c r="K272" s="86"/>
      <c r="AM272" s="48" t="str">
        <f>"="&amp;Source!F245&amp;"+"&amp;""&amp;Source!F246&amp;""</f>
        <v>=171585,53+34317,11</v>
      </c>
    </row>
    <row r="273" spans="1:39" hidden="1" x14ac:dyDescent="0.2"/>
    <row r="274" spans="1:39" hidden="1" x14ac:dyDescent="0.2"/>
    <row r="275" spans="1:39" ht="30" x14ac:dyDescent="0.25">
      <c r="A275" s="88" t="str">
        <f>CONCATENATE("Итого по смете: ", Source!G249)</f>
        <v>Итого по смете: Установка реклоузеров на ВЛ-6 кВ на линии №15 в п. Сосновка, Заволжье</v>
      </c>
      <c r="B275" s="88"/>
      <c r="C275" s="88"/>
      <c r="D275" s="88"/>
      <c r="E275" s="88"/>
      <c r="F275" s="88"/>
      <c r="G275" s="89">
        <f>SUM(O1:O274)</f>
        <v>11605.110000000002</v>
      </c>
      <c r="H275" s="90"/>
      <c r="I275" s="46"/>
      <c r="J275" s="89">
        <f>SUM(P1:P274)</f>
        <v>171585.53</v>
      </c>
      <c r="K275" s="90"/>
      <c r="L275" s="37">
        <f>SUM(Q1:Q274)</f>
        <v>72.235212000000004</v>
      </c>
      <c r="AG275" s="47" t="str">
        <f>CONCATENATE("Итого по смете: ", Source!G249)</f>
        <v>Итого по смете: Установка реклоузеров на ВЛ-6 кВ на линии №15 в п. Сосновка, Заволжье</v>
      </c>
    </row>
    <row r="277" spans="1:39" ht="14.25" x14ac:dyDescent="0.2">
      <c r="C277" s="15" t="str">
        <f>Source!H278</f>
        <v>ОЗП</v>
      </c>
      <c r="J277" s="86">
        <f>Source!F278</f>
        <v>23203.74</v>
      </c>
      <c r="K277" s="86"/>
    </row>
    <row r="278" spans="1:39" ht="14.25" x14ac:dyDescent="0.2">
      <c r="C278" s="15" t="str">
        <f>Source!H279</f>
        <v>ЭММ, в т.ч. ЗПМ</v>
      </c>
      <c r="J278" s="86">
        <f>Source!F279</f>
        <v>24011.119999999999</v>
      </c>
      <c r="K278" s="86"/>
    </row>
    <row r="279" spans="1:39" ht="14.25" x14ac:dyDescent="0.2">
      <c r="C279" s="15" t="str">
        <f>Source!H280</f>
        <v>ЗПМ (справочно)</v>
      </c>
      <c r="J279" s="86">
        <f>Source!F280</f>
        <v>5778.09</v>
      </c>
      <c r="K279" s="86"/>
    </row>
    <row r="280" spans="1:39" ht="14.25" x14ac:dyDescent="0.2">
      <c r="C280" s="15" t="str">
        <f>Source!H281</f>
        <v>Стоимость материалов</v>
      </c>
      <c r="J280" s="86">
        <f>Source!F281</f>
        <v>80626.679999999993</v>
      </c>
      <c r="K280" s="86"/>
    </row>
    <row r="281" spans="1:39" ht="14.25" x14ac:dyDescent="0.2">
      <c r="C281" s="15" t="str">
        <f>Source!H282</f>
        <v>НР</v>
      </c>
      <c r="J281" s="86">
        <f>Source!F282</f>
        <v>28034.66</v>
      </c>
      <c r="K281" s="86"/>
    </row>
    <row r="282" spans="1:39" ht="14.25" x14ac:dyDescent="0.2">
      <c r="C282" s="15" t="str">
        <f>Source!H283</f>
        <v>СП</v>
      </c>
      <c r="J282" s="86">
        <f>Source!F283</f>
        <v>15709.33</v>
      </c>
      <c r="K282" s="86"/>
    </row>
    <row r="283" spans="1:39" s="77" customFormat="1" ht="15" x14ac:dyDescent="0.25">
      <c r="C283" s="47" t="str">
        <f>Source!H284</f>
        <v>Итого</v>
      </c>
      <c r="D283" s="87" t="str">
        <f>"="&amp;Source!F278&amp;"+"&amp;""&amp;Source!F279&amp;"+"&amp;""&amp;Source!F281&amp;"+"&amp;""&amp;Source!F282&amp;"+"&amp;""&amp;Source!F283&amp;""</f>
        <v>=23203,74+24011,12+80626,68+28034,66+15709,33</v>
      </c>
      <c r="E283" s="88"/>
      <c r="F283" s="88"/>
      <c r="G283" s="88"/>
      <c r="H283" s="88"/>
      <c r="I283" s="88"/>
      <c r="J283" s="89">
        <f>Source!F284</f>
        <v>171585.53</v>
      </c>
      <c r="K283" s="89"/>
      <c r="AM283" s="78" t="str">
        <f>"="&amp;Source!F278&amp;"+"&amp;""&amp;Source!F279&amp;"+"&amp;""&amp;Source!F281&amp;"+"&amp;""&amp;Source!F282&amp;"+"&amp;""&amp;Source!F283&amp;""</f>
        <v>=23203,74+24011,12+80626,68+28034,66+15709,33</v>
      </c>
    </row>
    <row r="284" spans="1:39" ht="14.25" x14ac:dyDescent="0.2">
      <c r="C284" s="15" t="str">
        <f>Source!H285</f>
        <v>НДС 20%</v>
      </c>
      <c r="D284" s="84" t="str">
        <f>"="&amp;Source!F284&amp;"*"&amp;"0,2"</f>
        <v>=171585,53*0,2</v>
      </c>
      <c r="E284" s="85"/>
      <c r="F284" s="85"/>
      <c r="G284" s="85"/>
      <c r="H284" s="85"/>
      <c r="I284" s="85"/>
      <c r="J284" s="86">
        <f>Source!F285</f>
        <v>34317.11</v>
      </c>
      <c r="K284" s="86"/>
      <c r="AM284" s="48" t="str">
        <f>"="&amp;Source!F284&amp;"*"&amp;"0,2"</f>
        <v>=171585,53*0,2</v>
      </c>
    </row>
    <row r="285" spans="1:39" s="77" customFormat="1" ht="15" x14ac:dyDescent="0.25">
      <c r="C285" s="47" t="str">
        <f>Source!H286</f>
        <v>Всего с НДС</v>
      </c>
      <c r="D285" s="87" t="str">
        <f>"="&amp;Source!F284&amp;"+"&amp;""&amp;Source!F285&amp;""</f>
        <v>=171585,53+34317,11</v>
      </c>
      <c r="E285" s="88"/>
      <c r="F285" s="88"/>
      <c r="G285" s="88"/>
      <c r="H285" s="88"/>
      <c r="I285" s="88"/>
      <c r="J285" s="89">
        <f>Source!F286</f>
        <v>205902.64</v>
      </c>
      <c r="K285" s="89"/>
      <c r="AM285" s="78" t="str">
        <f>"="&amp;Source!F284&amp;"+"&amp;""&amp;Source!F285&amp;""</f>
        <v>=171585,53+34317,11</v>
      </c>
    </row>
    <row r="289" spans="1:12" ht="14.25" x14ac:dyDescent="0.2">
      <c r="A289" s="82" t="s">
        <v>543</v>
      </c>
      <c r="B289" s="82"/>
      <c r="C289" s="56" t="str">
        <f>IF(Source!AC12&lt;&gt;"", Source!AC12," ")</f>
        <v xml:space="preserve"> </v>
      </c>
      <c r="D289" s="11"/>
      <c r="E289" s="56"/>
      <c r="F289" s="56"/>
      <c r="G289" s="11"/>
      <c r="H289" s="56" t="str">
        <f>IF(Source!AB12&lt;&gt;"", Source!AB12," ")</f>
        <v xml:space="preserve"> </v>
      </c>
      <c r="I289" s="56"/>
      <c r="J289" s="56"/>
      <c r="K289" s="56"/>
      <c r="L289" s="11"/>
    </row>
    <row r="290" spans="1:12" ht="14.25" x14ac:dyDescent="0.2">
      <c r="A290" s="11"/>
      <c r="B290" s="11"/>
      <c r="C290" s="57" t="s">
        <v>544</v>
      </c>
      <c r="D290" s="11"/>
      <c r="E290" s="83" t="s">
        <v>545</v>
      </c>
      <c r="F290" s="83"/>
      <c r="G290" s="11"/>
      <c r="H290" s="83" t="s">
        <v>546</v>
      </c>
      <c r="I290" s="83"/>
      <c r="J290" s="83"/>
      <c r="K290" s="83"/>
      <c r="L290" s="11"/>
    </row>
    <row r="291" spans="1:12" ht="14.25" x14ac:dyDescent="0.2">
      <c r="A291" s="11"/>
      <c r="B291" s="10"/>
      <c r="C291" s="11"/>
      <c r="D291" s="10"/>
      <c r="E291" s="11" t="s">
        <v>547</v>
      </c>
      <c r="F291" s="11"/>
      <c r="G291" s="11"/>
      <c r="H291" s="11"/>
      <c r="I291" s="11"/>
      <c r="J291" s="11"/>
      <c r="K291" s="11"/>
      <c r="L291" s="11"/>
    </row>
    <row r="292" spans="1:12" ht="14.25" x14ac:dyDescent="0.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</row>
    <row r="293" spans="1:12" ht="14.25" x14ac:dyDescent="0.2">
      <c r="A293" s="82" t="s">
        <v>548</v>
      </c>
      <c r="B293" s="82"/>
      <c r="C293" s="56" t="str">
        <f>IF(Source!AE12&lt;&gt;"", Source!AE12," ")</f>
        <v xml:space="preserve"> </v>
      </c>
      <c r="D293" s="11"/>
      <c r="E293" s="56"/>
      <c r="F293" s="56"/>
      <c r="G293" s="11"/>
      <c r="H293" s="56" t="str">
        <f>IF(Source!AD12&lt;&gt;"", Source!AD12," ")</f>
        <v xml:space="preserve"> </v>
      </c>
      <c r="I293" s="56"/>
      <c r="J293" s="56"/>
      <c r="K293" s="56"/>
      <c r="L293" s="11"/>
    </row>
    <row r="294" spans="1:12" ht="14.25" x14ac:dyDescent="0.2">
      <c r="A294" s="11"/>
      <c r="B294" s="11"/>
      <c r="C294" s="57" t="s">
        <v>544</v>
      </c>
      <c r="D294" s="11"/>
      <c r="E294" s="83" t="s">
        <v>545</v>
      </c>
      <c r="F294" s="83"/>
      <c r="G294" s="11"/>
      <c r="H294" s="83" t="s">
        <v>546</v>
      </c>
      <c r="I294" s="83"/>
      <c r="J294" s="83"/>
      <c r="K294" s="83"/>
      <c r="L294" s="11"/>
    </row>
    <row r="295" spans="1:12" ht="14.25" x14ac:dyDescent="0.2">
      <c r="C295" s="11"/>
      <c r="D295" s="58"/>
      <c r="E295" s="11" t="s">
        <v>547</v>
      </c>
      <c r="L295" s="11"/>
    </row>
  </sheetData>
  <mergeCells count="201">
    <mergeCell ref="B3:E3"/>
    <mergeCell ref="H3:L3"/>
    <mergeCell ref="B4:E4"/>
    <mergeCell ref="H4:L4"/>
    <mergeCell ref="H6:L6"/>
    <mergeCell ref="B15:K15"/>
    <mergeCell ref="B17:K17"/>
    <mergeCell ref="B19:K19"/>
    <mergeCell ref="H5:L5"/>
    <mergeCell ref="B20:K20"/>
    <mergeCell ref="A22:L22"/>
    <mergeCell ref="G25:H25"/>
    <mergeCell ref="I25:J25"/>
    <mergeCell ref="H7:L7"/>
    <mergeCell ref="B11:K11"/>
    <mergeCell ref="F13:G13"/>
    <mergeCell ref="H13:K13"/>
    <mergeCell ref="B9:E9"/>
    <mergeCell ref="H9:L9"/>
    <mergeCell ref="B10:E10"/>
    <mergeCell ref="H10:L10"/>
    <mergeCell ref="C28:F28"/>
    <mergeCell ref="G28:H28"/>
    <mergeCell ref="I28:J28"/>
    <mergeCell ref="K28:L28"/>
    <mergeCell ref="C29:F29"/>
    <mergeCell ref="G29:H29"/>
    <mergeCell ref="I29:J29"/>
    <mergeCell ref="K29:L29"/>
    <mergeCell ref="C26:F26"/>
    <mergeCell ref="G26:H26"/>
    <mergeCell ref="I26:J26"/>
    <mergeCell ref="K26:L26"/>
    <mergeCell ref="C27:F27"/>
    <mergeCell ref="G27:H27"/>
    <mergeCell ref="I27:J27"/>
    <mergeCell ref="K27:L27"/>
    <mergeCell ref="C32:F32"/>
    <mergeCell ref="G32:H32"/>
    <mergeCell ref="I32:J32"/>
    <mergeCell ref="K32:L32"/>
    <mergeCell ref="A34:L34"/>
    <mergeCell ref="A38:L38"/>
    <mergeCell ref="C30:F30"/>
    <mergeCell ref="G30:H30"/>
    <mergeCell ref="I30:J30"/>
    <mergeCell ref="K30:L30"/>
    <mergeCell ref="C31:F31"/>
    <mergeCell ref="G31:H31"/>
    <mergeCell ref="I31:J31"/>
    <mergeCell ref="K31:L31"/>
    <mergeCell ref="J51:K51"/>
    <mergeCell ref="J52:K52"/>
    <mergeCell ref="J53:K53"/>
    <mergeCell ref="J54:K54"/>
    <mergeCell ref="J55:K55"/>
    <mergeCell ref="D56:I56"/>
    <mergeCell ref="J56:K56"/>
    <mergeCell ref="G46:H46"/>
    <mergeCell ref="J46:K46"/>
    <mergeCell ref="A48:F48"/>
    <mergeCell ref="J48:K48"/>
    <mergeCell ref="G48:H48"/>
    <mergeCell ref="J50:K50"/>
    <mergeCell ref="G78:H78"/>
    <mergeCell ref="J78:K78"/>
    <mergeCell ref="G88:H88"/>
    <mergeCell ref="J88:K88"/>
    <mergeCell ref="G91:H91"/>
    <mergeCell ref="J91:K91"/>
    <mergeCell ref="D57:I57"/>
    <mergeCell ref="J57:K57"/>
    <mergeCell ref="D58:I58"/>
    <mergeCell ref="J58:K58"/>
    <mergeCell ref="A61:L61"/>
    <mergeCell ref="G69:H69"/>
    <mergeCell ref="J69:K69"/>
    <mergeCell ref="G103:H103"/>
    <mergeCell ref="J103:K103"/>
    <mergeCell ref="G106:H106"/>
    <mergeCell ref="J106:K106"/>
    <mergeCell ref="G109:H109"/>
    <mergeCell ref="J109:K109"/>
    <mergeCell ref="G94:H94"/>
    <mergeCell ref="J94:K94"/>
    <mergeCell ref="G97:H97"/>
    <mergeCell ref="J97:K97"/>
    <mergeCell ref="G100:H100"/>
    <mergeCell ref="J100:K100"/>
    <mergeCell ref="G121:H121"/>
    <mergeCell ref="J121:K121"/>
    <mergeCell ref="G130:H130"/>
    <mergeCell ref="J130:K130"/>
    <mergeCell ref="G133:H133"/>
    <mergeCell ref="J133:K133"/>
    <mergeCell ref="G112:H112"/>
    <mergeCell ref="J112:K112"/>
    <mergeCell ref="G115:H115"/>
    <mergeCell ref="J115:K115"/>
    <mergeCell ref="G118:H118"/>
    <mergeCell ref="J118:K118"/>
    <mergeCell ref="G157:H157"/>
    <mergeCell ref="J157:K157"/>
    <mergeCell ref="C158:L158"/>
    <mergeCell ref="G165:H165"/>
    <mergeCell ref="J165:K165"/>
    <mergeCell ref="G172:H172"/>
    <mergeCell ref="J172:K172"/>
    <mergeCell ref="G143:H143"/>
    <mergeCell ref="J143:K143"/>
    <mergeCell ref="G147:H147"/>
    <mergeCell ref="J147:K147"/>
    <mergeCell ref="G155:H155"/>
    <mergeCell ref="J155:K155"/>
    <mergeCell ref="G199:H199"/>
    <mergeCell ref="J199:K199"/>
    <mergeCell ref="G205:H205"/>
    <mergeCell ref="J205:K205"/>
    <mergeCell ref="G212:H212"/>
    <mergeCell ref="J212:K212"/>
    <mergeCell ref="G182:H182"/>
    <mergeCell ref="J182:K182"/>
    <mergeCell ref="G185:H185"/>
    <mergeCell ref="J185:K185"/>
    <mergeCell ref="G195:H195"/>
    <mergeCell ref="J195:K195"/>
    <mergeCell ref="J219:K219"/>
    <mergeCell ref="J220:K220"/>
    <mergeCell ref="J221:K221"/>
    <mergeCell ref="D222:I222"/>
    <mergeCell ref="J222:K222"/>
    <mergeCell ref="D223:I223"/>
    <mergeCell ref="J223:K223"/>
    <mergeCell ref="A214:F214"/>
    <mergeCell ref="J214:K214"/>
    <mergeCell ref="G214:H214"/>
    <mergeCell ref="J216:K216"/>
    <mergeCell ref="J217:K217"/>
    <mergeCell ref="J218:K218"/>
    <mergeCell ref="G244:H244"/>
    <mergeCell ref="J244:K244"/>
    <mergeCell ref="G247:H247"/>
    <mergeCell ref="J247:K247"/>
    <mergeCell ref="A249:F249"/>
    <mergeCell ref="J249:K249"/>
    <mergeCell ref="G249:H249"/>
    <mergeCell ref="D224:I224"/>
    <mergeCell ref="J224:K224"/>
    <mergeCell ref="A227:L227"/>
    <mergeCell ref="G237:H237"/>
    <mergeCell ref="J237:K237"/>
    <mergeCell ref="G240:H240"/>
    <mergeCell ref="J240:K240"/>
    <mergeCell ref="D257:I257"/>
    <mergeCell ref="J257:K257"/>
    <mergeCell ref="D258:I258"/>
    <mergeCell ref="J258:K258"/>
    <mergeCell ref="D259:I259"/>
    <mergeCell ref="J259:K259"/>
    <mergeCell ref="J251:K251"/>
    <mergeCell ref="J252:K252"/>
    <mergeCell ref="J253:K253"/>
    <mergeCell ref="J254:K254"/>
    <mergeCell ref="J255:K255"/>
    <mergeCell ref="J256:K256"/>
    <mergeCell ref="J267:K267"/>
    <mergeCell ref="J268:K268"/>
    <mergeCell ref="J269:K269"/>
    <mergeCell ref="D270:I270"/>
    <mergeCell ref="J270:K270"/>
    <mergeCell ref="D271:I271"/>
    <mergeCell ref="J271:K271"/>
    <mergeCell ref="A262:F262"/>
    <mergeCell ref="J262:K262"/>
    <mergeCell ref="G262:H262"/>
    <mergeCell ref="J264:K264"/>
    <mergeCell ref="J265:K265"/>
    <mergeCell ref="J266:K266"/>
    <mergeCell ref="J278:K278"/>
    <mergeCell ref="J279:K279"/>
    <mergeCell ref="J280:K280"/>
    <mergeCell ref="J281:K281"/>
    <mergeCell ref="J282:K282"/>
    <mergeCell ref="D283:I283"/>
    <mergeCell ref="J283:K283"/>
    <mergeCell ref="D272:I272"/>
    <mergeCell ref="J272:K272"/>
    <mergeCell ref="A275:F275"/>
    <mergeCell ref="J275:K275"/>
    <mergeCell ref="G275:H275"/>
    <mergeCell ref="J277:K277"/>
    <mergeCell ref="A293:B293"/>
    <mergeCell ref="E294:F294"/>
    <mergeCell ref="H294:K294"/>
    <mergeCell ref="D284:I284"/>
    <mergeCell ref="J284:K284"/>
    <mergeCell ref="D285:I285"/>
    <mergeCell ref="J285:K285"/>
    <mergeCell ref="A289:B289"/>
    <mergeCell ref="E290:F290"/>
    <mergeCell ref="H290:K290"/>
  </mergeCells>
  <pageMargins left="0.4" right="0.2" top="0.2" bottom="0.4" header="0.2" footer="0.2"/>
  <pageSetup paperSize="9" scale="58" orientation="portrait" verticalDpi="0" r:id="rId1"/>
  <headerFooter>
    <oddHeader>&amp;L&amp;8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A43D3-F08E-4A74-A3F5-3E7B226C2388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87640-E161-468C-9E5C-C2674B2E3B6E}">
  <dimension ref="A1:AB57"/>
  <sheetViews>
    <sheetView workbookViewId="0"/>
  </sheetViews>
  <sheetFormatPr defaultRowHeight="12.75" x14ac:dyDescent="0.2"/>
  <sheetData>
    <row r="1" spans="1:28" x14ac:dyDescent="0.2">
      <c r="A1" t="s">
        <v>577</v>
      </c>
      <c r="B1" t="s">
        <v>579</v>
      </c>
      <c r="C1" t="s">
        <v>580</v>
      </c>
      <c r="D1" t="s">
        <v>581</v>
      </c>
      <c r="E1" t="s">
        <v>582</v>
      </c>
      <c r="F1" t="s">
        <v>583</v>
      </c>
      <c r="G1" t="s">
        <v>584</v>
      </c>
      <c r="H1" t="s">
        <v>585</v>
      </c>
      <c r="I1" t="s">
        <v>586</v>
      </c>
      <c r="J1" t="s">
        <v>587</v>
      </c>
      <c r="K1" t="s">
        <v>588</v>
      </c>
      <c r="L1" t="s">
        <v>589</v>
      </c>
      <c r="M1" t="s">
        <v>590</v>
      </c>
      <c r="N1" t="s">
        <v>591</v>
      </c>
      <c r="O1" t="s">
        <v>578</v>
      </c>
    </row>
    <row r="2" spans="1:28" x14ac:dyDescent="0.2">
      <c r="A2">
        <v>1</v>
      </c>
      <c r="B2">
        <v>0</v>
      </c>
      <c r="C2">
        <v>0</v>
      </c>
      <c r="D2">
        <v>1</v>
      </c>
      <c r="E2">
        <v>1</v>
      </c>
      <c r="F2">
        <v>1</v>
      </c>
      <c r="G2">
        <v>1</v>
      </c>
      <c r="H2">
        <v>0</v>
      </c>
      <c r="I2">
        <v>1</v>
      </c>
      <c r="J2">
        <v>0</v>
      </c>
      <c r="K2">
        <v>1</v>
      </c>
      <c r="L2">
        <v>84186534</v>
      </c>
      <c r="M2">
        <v>0</v>
      </c>
      <c r="N2">
        <v>0</v>
      </c>
      <c r="O2">
        <v>0</v>
      </c>
    </row>
    <row r="4" spans="1:28" x14ac:dyDescent="0.2">
      <c r="A4" t="s">
        <v>549</v>
      </c>
      <c r="B4" t="s">
        <v>550</v>
      </c>
      <c r="C4" t="s">
        <v>551</v>
      </c>
      <c r="D4" t="s">
        <v>552</v>
      </c>
      <c r="E4" t="s">
        <v>553</v>
      </c>
      <c r="F4" t="s">
        <v>554</v>
      </c>
      <c r="G4" t="s">
        <v>555</v>
      </c>
      <c r="H4" t="s">
        <v>556</v>
      </c>
      <c r="I4" t="s">
        <v>557</v>
      </c>
      <c r="J4" t="s">
        <v>558</v>
      </c>
      <c r="K4" t="s">
        <v>559</v>
      </c>
      <c r="L4" t="s">
        <v>560</v>
      </c>
      <c r="M4" t="s">
        <v>561</v>
      </c>
      <c r="N4" t="s">
        <v>562</v>
      </c>
      <c r="O4" t="s">
        <v>563</v>
      </c>
      <c r="P4" t="s">
        <v>564</v>
      </c>
      <c r="Q4" t="s">
        <v>565</v>
      </c>
      <c r="R4" t="s">
        <v>566</v>
      </c>
      <c r="S4" t="s">
        <v>567</v>
      </c>
      <c r="T4" t="s">
        <v>568</v>
      </c>
      <c r="U4" t="s">
        <v>572</v>
      </c>
      <c r="V4" t="s">
        <v>573</v>
      </c>
      <c r="W4" t="s">
        <v>574</v>
      </c>
      <c r="X4" t="s">
        <v>575</v>
      </c>
      <c r="Y4" t="s">
        <v>576</v>
      </c>
      <c r="Z4" t="s">
        <v>569</v>
      </c>
      <c r="AA4" t="s">
        <v>570</v>
      </c>
      <c r="AB4" t="s">
        <v>571</v>
      </c>
    </row>
    <row r="6" spans="1:28" x14ac:dyDescent="0.2">
      <c r="A6">
        <f>Source!A20</f>
        <v>3</v>
      </c>
      <c r="B6">
        <v>20</v>
      </c>
      <c r="G6" t="str">
        <f>Source!G20</f>
        <v/>
      </c>
    </row>
    <row r="7" spans="1:28" x14ac:dyDescent="0.2">
      <c r="A7">
        <f>Source!A24</f>
        <v>4</v>
      </c>
      <c r="B7">
        <v>24</v>
      </c>
      <c r="G7" t="str">
        <f>Source!G24</f>
        <v>Демонтажные работы</v>
      </c>
    </row>
    <row r="8" spans="1:28" x14ac:dyDescent="0.2">
      <c r="A8">
        <f>Source!A69</f>
        <v>4</v>
      </c>
      <c r="B8">
        <v>69</v>
      </c>
      <c r="G8" t="str">
        <f>Source!G69</f>
        <v>Монтаж реклоузера</v>
      </c>
    </row>
    <row r="9" spans="1:28" x14ac:dyDescent="0.2">
      <c r="A9">
        <v>20</v>
      </c>
      <c r="B9">
        <v>21</v>
      </c>
      <c r="C9">
        <v>3</v>
      </c>
      <c r="D9">
        <v>0</v>
      </c>
      <c r="E9">
        <f>SmtRes!AV21</f>
        <v>0</v>
      </c>
      <c r="F9" t="str">
        <f>SmtRes!I21</f>
        <v>999-9950</v>
      </c>
      <c r="G9" t="str">
        <f>SmtRes!K21</f>
        <v>Вспомогательные ненормируемые материалы (2% от ОЗП)</v>
      </c>
      <c r="H9" t="str">
        <f>SmtRes!O21</f>
        <v>РУБ</v>
      </c>
      <c r="I9">
        <f>SmtRes!Y21*Source!I74</f>
        <v>0.31818279999999999</v>
      </c>
      <c r="J9">
        <f>SmtRes!AO21</f>
        <v>1</v>
      </c>
      <c r="K9">
        <f>SmtRes!AE21</f>
        <v>1</v>
      </c>
      <c r="L9">
        <f>SmtRes!DB21</f>
        <v>11.18</v>
      </c>
      <c r="M9">
        <f>ROUND(ROUND(L9*Source!I74, 2)*1, 2)</f>
        <v>0.32</v>
      </c>
      <c r="N9">
        <f>SmtRes!AA21</f>
        <v>1</v>
      </c>
      <c r="O9">
        <f>ROUND(ROUND(L9*Source!I74, 2)*SmtRes!DA21, 2)</f>
        <v>0.32</v>
      </c>
      <c r="P9">
        <f>SmtRes!AG21</f>
        <v>0</v>
      </c>
      <c r="Q9">
        <f>SmtRes!DC21</f>
        <v>0</v>
      </c>
      <c r="R9">
        <f>ROUND(ROUND(Q9*Source!I74, 2)*1, 2)</f>
        <v>0</v>
      </c>
      <c r="S9">
        <f>SmtRes!AC21</f>
        <v>0</v>
      </c>
      <c r="T9">
        <f>ROUND(ROUND(Q9*Source!I74, 2)*SmtRes!AK21, 2)</f>
        <v>0</v>
      </c>
      <c r="U9">
        <v>3</v>
      </c>
      <c r="Z9">
        <f>SmtRes!X21</f>
        <v>2131831278</v>
      </c>
      <c r="AA9">
        <v>1992150135</v>
      </c>
      <c r="AB9">
        <v>1992150135</v>
      </c>
    </row>
    <row r="10" spans="1:28" x14ac:dyDescent="0.2">
      <c r="A10">
        <v>20</v>
      </c>
      <c r="B10">
        <v>20</v>
      </c>
      <c r="C10">
        <v>3</v>
      </c>
      <c r="D10">
        <v>0</v>
      </c>
      <c r="E10">
        <f>SmtRes!AV20</f>
        <v>0</v>
      </c>
      <c r="F10" t="str">
        <f>SmtRes!I20</f>
        <v>408-0141</v>
      </c>
      <c r="G10" t="str">
        <f>SmtRes!K20</f>
        <v>Песок природный для строительных растворов средний</v>
      </c>
      <c r="H10" t="str">
        <f>SmtRes!O20</f>
        <v>м3</v>
      </c>
      <c r="I10">
        <f>SmtRes!Y20*Source!I74</f>
        <v>4.2689999999999994E-3</v>
      </c>
      <c r="J10">
        <f>SmtRes!AO20</f>
        <v>1</v>
      </c>
      <c r="K10">
        <f>SmtRes!AE20</f>
        <v>64.959999999999994</v>
      </c>
      <c r="L10">
        <f>SmtRes!DB20</f>
        <v>9.74</v>
      </c>
      <c r="M10">
        <f>ROUND(ROUND(L10*Source!I74, 2)*1, 2)</f>
        <v>0.28000000000000003</v>
      </c>
      <c r="N10">
        <f>SmtRes!AA20</f>
        <v>975.05</v>
      </c>
      <c r="O10">
        <f>ROUND(ROUND(L10*Source!I74, 2)*SmtRes!DA20, 2)</f>
        <v>4.2</v>
      </c>
      <c r="P10">
        <f>SmtRes!AG20</f>
        <v>0</v>
      </c>
      <c r="Q10">
        <f>SmtRes!DC20</f>
        <v>0</v>
      </c>
      <c r="R10">
        <f>ROUND(ROUND(Q10*Source!I74, 2)*1, 2)</f>
        <v>0</v>
      </c>
      <c r="S10">
        <f>SmtRes!AC20</f>
        <v>0</v>
      </c>
      <c r="T10">
        <f>ROUND(ROUND(Q10*Source!I74, 2)*SmtRes!AK20, 2)</f>
        <v>0</v>
      </c>
      <c r="U10">
        <v>3</v>
      </c>
      <c r="Z10">
        <f>SmtRes!X20</f>
        <v>1123154371</v>
      </c>
      <c r="AA10">
        <v>1317345418</v>
      </c>
      <c r="AB10">
        <v>1589826181</v>
      </c>
    </row>
    <row r="11" spans="1:28" x14ac:dyDescent="0.2">
      <c r="A11">
        <v>20</v>
      </c>
      <c r="B11">
        <v>19</v>
      </c>
      <c r="C11">
        <v>3</v>
      </c>
      <c r="D11">
        <v>0</v>
      </c>
      <c r="E11">
        <f>SmtRes!AV19</f>
        <v>0</v>
      </c>
      <c r="F11" t="str">
        <f>SmtRes!I19</f>
        <v>201-0843</v>
      </c>
      <c r="G11" t="str">
        <f>SmtRes!K19</f>
        <v>Конструкции стальные индивидуальные решетчатые сварные массой до 0,1 т</v>
      </c>
      <c r="H11" t="str">
        <f>SmtRes!O19</f>
        <v>т</v>
      </c>
      <c r="I11">
        <f>SmtRes!Y19*Source!I74</f>
        <v>2.8459999999999999E-2</v>
      </c>
      <c r="J11">
        <f>SmtRes!AO19</f>
        <v>1</v>
      </c>
      <c r="K11">
        <f>SmtRes!AE19</f>
        <v>11672.49</v>
      </c>
      <c r="L11">
        <f>SmtRes!DB19</f>
        <v>11672.49</v>
      </c>
      <c r="M11">
        <f>ROUND(ROUND(L11*Source!I74, 2)*1, 2)</f>
        <v>332.2</v>
      </c>
      <c r="N11">
        <f>SmtRes!AA19</f>
        <v>125245.82</v>
      </c>
      <c r="O11">
        <f>ROUND(ROUND(L11*Source!I74, 2)*SmtRes!DA19, 2)</f>
        <v>3564.51</v>
      </c>
      <c r="P11">
        <f>SmtRes!AG19</f>
        <v>0</v>
      </c>
      <c r="Q11">
        <f>SmtRes!DC19</f>
        <v>0</v>
      </c>
      <c r="R11">
        <f>ROUND(ROUND(Q11*Source!I74, 2)*1, 2)</f>
        <v>0</v>
      </c>
      <c r="S11">
        <f>SmtRes!AC19</f>
        <v>0</v>
      </c>
      <c r="T11">
        <f>ROUND(ROUND(Q11*Source!I74, 2)*SmtRes!AK19, 2)</f>
        <v>0</v>
      </c>
      <c r="U11">
        <v>3</v>
      </c>
      <c r="Z11">
        <f>SmtRes!X19</f>
        <v>-1120195284</v>
      </c>
      <c r="AA11">
        <v>1540553624</v>
      </c>
      <c r="AB11">
        <v>-1567632015</v>
      </c>
    </row>
    <row r="12" spans="1:28" x14ac:dyDescent="0.2">
      <c r="A12">
        <v>20</v>
      </c>
      <c r="B12">
        <v>18</v>
      </c>
      <c r="C12">
        <v>3</v>
      </c>
      <c r="D12">
        <v>0</v>
      </c>
      <c r="E12">
        <f>SmtRes!AV18</f>
        <v>0</v>
      </c>
      <c r="F12" t="str">
        <f>SmtRes!I18</f>
        <v>101-1977</v>
      </c>
      <c r="G12" t="str">
        <f>SmtRes!K18</f>
        <v>Болты с гайками и шайбами строительные</v>
      </c>
      <c r="H12" t="str">
        <f>SmtRes!O18</f>
        <v>кг</v>
      </c>
      <c r="I12">
        <f>SmtRes!Y18*Source!I74</f>
        <v>0.76841999999999999</v>
      </c>
      <c r="J12">
        <f>SmtRes!AO18</f>
        <v>1</v>
      </c>
      <c r="K12">
        <f>SmtRes!AE18</f>
        <v>9.49</v>
      </c>
      <c r="L12">
        <f>SmtRes!DB18</f>
        <v>256.23</v>
      </c>
      <c r="M12">
        <f>ROUND(ROUND(L12*Source!I74, 2)*1, 2)</f>
        <v>7.29</v>
      </c>
      <c r="N12">
        <f>SmtRes!AA18</f>
        <v>288.5</v>
      </c>
      <c r="O12">
        <f>ROUND(ROUND(L12*Source!I74, 2)*SmtRes!DA18, 2)</f>
        <v>221.62</v>
      </c>
      <c r="P12">
        <f>SmtRes!AG18</f>
        <v>0</v>
      </c>
      <c r="Q12">
        <f>SmtRes!DC18</f>
        <v>0</v>
      </c>
      <c r="R12">
        <f>ROUND(ROUND(Q12*Source!I74, 2)*1, 2)</f>
        <v>0</v>
      </c>
      <c r="S12">
        <f>SmtRes!AC18</f>
        <v>0</v>
      </c>
      <c r="T12">
        <f>ROUND(ROUND(Q12*Source!I74, 2)*SmtRes!AK18, 2)</f>
        <v>0</v>
      </c>
      <c r="U12">
        <v>3</v>
      </c>
      <c r="Z12">
        <f>SmtRes!X18</f>
        <v>-1815671160</v>
      </c>
      <c r="AA12">
        <v>1358235642</v>
      </c>
      <c r="AB12">
        <v>1334651650</v>
      </c>
    </row>
    <row r="13" spans="1:28" x14ac:dyDescent="0.2">
      <c r="A13">
        <v>20</v>
      </c>
      <c r="B13">
        <v>17</v>
      </c>
      <c r="C13">
        <v>3</v>
      </c>
      <c r="D13">
        <v>0</v>
      </c>
      <c r="E13">
        <f>SmtRes!AV17</f>
        <v>0</v>
      </c>
      <c r="F13" t="str">
        <f>SmtRes!I17</f>
        <v>101-1924</v>
      </c>
      <c r="G13" t="str">
        <f>SmtRes!K17</f>
        <v>Электроды диаметром 4 мм Э42А</v>
      </c>
      <c r="H13" t="str">
        <f>SmtRes!O17</f>
        <v>кг</v>
      </c>
      <c r="I13">
        <f>SmtRes!Y17*Source!I74</f>
        <v>0.119532</v>
      </c>
      <c r="J13">
        <f>SmtRes!AO17</f>
        <v>1</v>
      </c>
      <c r="K13">
        <f>SmtRes!AE17</f>
        <v>12.65</v>
      </c>
      <c r="L13">
        <f>SmtRes!DB17</f>
        <v>53.13</v>
      </c>
      <c r="M13">
        <f>ROUND(ROUND(L13*Source!I74, 2)*1, 2)</f>
        <v>1.51</v>
      </c>
      <c r="N13">
        <f>SmtRes!AA17</f>
        <v>121.82</v>
      </c>
      <c r="O13">
        <f>ROUND(ROUND(L13*Source!I74, 2)*SmtRes!DA17, 2)</f>
        <v>14.54</v>
      </c>
      <c r="P13">
        <f>SmtRes!AG17</f>
        <v>0</v>
      </c>
      <c r="Q13">
        <f>SmtRes!DC17</f>
        <v>0</v>
      </c>
      <c r="R13">
        <f>ROUND(ROUND(Q13*Source!I74, 2)*1, 2)</f>
        <v>0</v>
      </c>
      <c r="S13">
        <f>SmtRes!AC17</f>
        <v>0</v>
      </c>
      <c r="T13">
        <f>ROUND(ROUND(Q13*Source!I74, 2)*SmtRes!AK17, 2)</f>
        <v>0</v>
      </c>
      <c r="U13">
        <v>3</v>
      </c>
      <c r="Z13">
        <f>SmtRes!X17</f>
        <v>-347328291</v>
      </c>
      <c r="AA13">
        <v>-1317950517</v>
      </c>
      <c r="AB13">
        <v>280888119</v>
      </c>
    </row>
    <row r="14" spans="1:28" x14ac:dyDescent="0.2">
      <c r="A14">
        <v>20</v>
      </c>
      <c r="B14">
        <v>16</v>
      </c>
      <c r="C14">
        <v>3</v>
      </c>
      <c r="D14">
        <v>0</v>
      </c>
      <c r="E14">
        <f>SmtRes!AV16</f>
        <v>0</v>
      </c>
      <c r="F14" t="str">
        <f>SmtRes!I16</f>
        <v>101-1728</v>
      </c>
      <c r="G14" t="str">
        <f>SmtRes!K16</f>
        <v>Дюбели распорные с гайкой</v>
      </c>
      <c r="H14" t="str">
        <f>SmtRes!O16</f>
        <v>100 шт.</v>
      </c>
      <c r="I14">
        <f>SmtRes!Y16*Source!I74</f>
        <v>2.2768E-2</v>
      </c>
      <c r="J14">
        <f>SmtRes!AO16</f>
        <v>1</v>
      </c>
      <c r="K14">
        <f>SmtRes!AE16</f>
        <v>111.65</v>
      </c>
      <c r="L14">
        <f>SmtRes!DB16</f>
        <v>89.32</v>
      </c>
      <c r="M14">
        <f>ROUND(ROUND(L14*Source!I74, 2)*1, 2)</f>
        <v>2.54</v>
      </c>
      <c r="N14">
        <f>SmtRes!AA16</f>
        <v>464.46</v>
      </c>
      <c r="O14">
        <f>ROUND(ROUND(L14*Source!I74, 2)*SmtRes!DA16, 2)</f>
        <v>10.57</v>
      </c>
      <c r="P14">
        <f>SmtRes!AG16</f>
        <v>0</v>
      </c>
      <c r="Q14">
        <f>SmtRes!DC16</f>
        <v>0</v>
      </c>
      <c r="R14">
        <f>ROUND(ROUND(Q14*Source!I74, 2)*1, 2)</f>
        <v>0</v>
      </c>
      <c r="S14">
        <f>SmtRes!AC16</f>
        <v>0</v>
      </c>
      <c r="T14">
        <f>ROUND(ROUND(Q14*Source!I74, 2)*SmtRes!AK16, 2)</f>
        <v>0</v>
      </c>
      <c r="U14">
        <v>3</v>
      </c>
      <c r="Z14">
        <f>SmtRes!X16</f>
        <v>-1585051097</v>
      </c>
      <c r="AA14">
        <v>-1280685159</v>
      </c>
      <c r="AB14">
        <v>-844708560</v>
      </c>
    </row>
    <row r="15" spans="1:28" x14ac:dyDescent="0.2">
      <c r="A15">
        <v>20</v>
      </c>
      <c r="B15">
        <v>15</v>
      </c>
      <c r="C15">
        <v>3</v>
      </c>
      <c r="D15">
        <v>0</v>
      </c>
      <c r="E15">
        <f>SmtRes!AV15</f>
        <v>0</v>
      </c>
      <c r="F15" t="str">
        <f>SmtRes!I15</f>
        <v>101-1306</v>
      </c>
      <c r="G15" t="str">
        <f>SmtRes!K15</f>
        <v>Портландцемент общестроительного назначения бездобавочный, марки 500</v>
      </c>
      <c r="H15" t="str">
        <f>SmtRes!O15</f>
        <v>т</v>
      </c>
      <c r="I15">
        <f>SmtRes!Y15*Source!I74</f>
        <v>5.1227999999999994E-3</v>
      </c>
      <c r="J15">
        <f>SmtRes!AO15</f>
        <v>1</v>
      </c>
      <c r="K15">
        <f>SmtRes!AE15</f>
        <v>582</v>
      </c>
      <c r="L15">
        <f>SmtRes!DB15</f>
        <v>104.76</v>
      </c>
      <c r="M15">
        <f>ROUND(ROUND(L15*Source!I74, 2)*1, 2)</f>
        <v>2.98</v>
      </c>
      <c r="N15">
        <f>SmtRes!AA15</f>
        <v>10045.32</v>
      </c>
      <c r="O15">
        <f>ROUND(ROUND(L15*Source!I74, 2)*SmtRes!DA15, 2)</f>
        <v>51.43</v>
      </c>
      <c r="P15">
        <f>SmtRes!AG15</f>
        <v>0</v>
      </c>
      <c r="Q15">
        <f>SmtRes!DC15</f>
        <v>0</v>
      </c>
      <c r="R15">
        <f>ROUND(ROUND(Q15*Source!I74, 2)*1, 2)</f>
        <v>0</v>
      </c>
      <c r="S15">
        <f>SmtRes!AC15</f>
        <v>0</v>
      </c>
      <c r="T15">
        <f>ROUND(ROUND(Q15*Source!I74, 2)*SmtRes!AK15, 2)</f>
        <v>0</v>
      </c>
      <c r="U15">
        <v>3</v>
      </c>
      <c r="Z15">
        <f>SmtRes!X15</f>
        <v>994982934</v>
      </c>
      <c r="AA15">
        <v>-921879620</v>
      </c>
      <c r="AB15">
        <v>1108209291</v>
      </c>
    </row>
    <row r="16" spans="1:28" x14ac:dyDescent="0.2">
      <c r="A16">
        <v>20</v>
      </c>
      <c r="B16">
        <v>40</v>
      </c>
      <c r="C16">
        <v>3</v>
      </c>
      <c r="D16">
        <v>0</v>
      </c>
      <c r="E16">
        <f>SmtRes!AV40</f>
        <v>0</v>
      </c>
      <c r="F16" t="str">
        <f>SmtRes!I40</f>
        <v>509-1073</v>
      </c>
      <c r="G16" t="str">
        <f>SmtRes!K40</f>
        <v>Колпачки полиэтиленовые</v>
      </c>
      <c r="H16" t="str">
        <f>SmtRes!O40</f>
        <v>шт.</v>
      </c>
      <c r="I16">
        <f>SmtRes!Y40*Source!I75</f>
        <v>6</v>
      </c>
      <c r="J16">
        <f>SmtRes!AO40</f>
        <v>1</v>
      </c>
      <c r="K16">
        <f>SmtRes!AE40</f>
        <v>6.2</v>
      </c>
      <c r="L16">
        <f>SmtRes!DB40</f>
        <v>37.200000000000003</v>
      </c>
      <c r="M16">
        <f>ROUND(ROUND(L16*Source!I75, 2)*1, 2)</f>
        <v>37.200000000000003</v>
      </c>
      <c r="N16">
        <f>SmtRes!AA40</f>
        <v>15.19</v>
      </c>
      <c r="O16">
        <f>ROUND(ROUND(L16*Source!I75, 2)*SmtRes!DA40, 2)</f>
        <v>91.14</v>
      </c>
      <c r="P16">
        <f>SmtRes!AG40</f>
        <v>0</v>
      </c>
      <c r="Q16">
        <f>SmtRes!DC40</f>
        <v>0</v>
      </c>
      <c r="R16">
        <f>ROUND(ROUND(Q16*Source!I75, 2)*1, 2)</f>
        <v>0</v>
      </c>
      <c r="S16">
        <f>SmtRes!AC40</f>
        <v>0</v>
      </c>
      <c r="T16">
        <f>ROUND(ROUND(Q16*Source!I75, 2)*SmtRes!AK40, 2)</f>
        <v>0</v>
      </c>
      <c r="U16">
        <v>3</v>
      </c>
      <c r="Z16">
        <f>SmtRes!X40</f>
        <v>1199042919</v>
      </c>
      <c r="AA16">
        <v>-254957445</v>
      </c>
      <c r="AB16">
        <v>1171172368</v>
      </c>
    </row>
    <row r="17" spans="1:28" x14ac:dyDescent="0.2">
      <c r="A17">
        <v>20</v>
      </c>
      <c r="B17">
        <v>35</v>
      </c>
      <c r="C17">
        <v>3</v>
      </c>
      <c r="D17">
        <v>0</v>
      </c>
      <c r="E17">
        <f>SmtRes!AV35</f>
        <v>0</v>
      </c>
      <c r="F17" t="str">
        <f>SmtRes!I35</f>
        <v>113-0079</v>
      </c>
      <c r="G17" t="str">
        <f>SmtRes!K35</f>
        <v>Лак БТ-577</v>
      </c>
      <c r="H17" t="str">
        <f>SmtRes!O35</f>
        <v>т</v>
      </c>
      <c r="I17">
        <f>SmtRes!Y35*Source!I75</f>
        <v>1E-4</v>
      </c>
      <c r="J17">
        <f>SmtRes!AO35</f>
        <v>1</v>
      </c>
      <c r="K17">
        <f>SmtRes!AE35</f>
        <v>9550.01</v>
      </c>
      <c r="L17">
        <f>SmtRes!DB35</f>
        <v>0.96</v>
      </c>
      <c r="M17">
        <f>ROUND(ROUND(L17*Source!I75, 2)*1, 2)</f>
        <v>0.96</v>
      </c>
      <c r="N17">
        <f>SmtRes!AA35</f>
        <v>85854.59</v>
      </c>
      <c r="O17">
        <f>ROUND(ROUND(L17*Source!I75, 2)*SmtRes!DA35, 2)</f>
        <v>8.6300000000000008</v>
      </c>
      <c r="P17">
        <f>SmtRes!AG35</f>
        <v>0</v>
      </c>
      <c r="Q17">
        <f>SmtRes!DC35</f>
        <v>0</v>
      </c>
      <c r="R17">
        <f>ROUND(ROUND(Q17*Source!I75, 2)*1, 2)</f>
        <v>0</v>
      </c>
      <c r="S17">
        <f>SmtRes!AC35</f>
        <v>0</v>
      </c>
      <c r="T17">
        <f>ROUND(ROUND(Q17*Source!I75, 2)*SmtRes!AK35, 2)</f>
        <v>0</v>
      </c>
      <c r="U17">
        <v>3</v>
      </c>
      <c r="Z17">
        <f>SmtRes!X35</f>
        <v>911236404</v>
      </c>
      <c r="AA17">
        <v>433044666</v>
      </c>
      <c r="AB17">
        <v>-92041477</v>
      </c>
    </row>
    <row r="18" spans="1:28" x14ac:dyDescent="0.2">
      <c r="A18">
        <v>20</v>
      </c>
      <c r="B18">
        <v>30</v>
      </c>
      <c r="C18">
        <v>3</v>
      </c>
      <c r="D18">
        <v>0</v>
      </c>
      <c r="E18">
        <f>SmtRes!AV30</f>
        <v>0</v>
      </c>
      <c r="F18" t="str">
        <f>SmtRes!I30</f>
        <v>101-2349</v>
      </c>
      <c r="G18" t="str">
        <f>SmtRes!K30</f>
        <v>Смазка ЗЭС</v>
      </c>
      <c r="H18" t="str">
        <f>SmtRes!O30</f>
        <v>кг</v>
      </c>
      <c r="I18">
        <f>SmtRes!Y30*Source!I75</f>
        <v>0.1</v>
      </c>
      <c r="J18">
        <f>SmtRes!AO30</f>
        <v>1</v>
      </c>
      <c r="K18">
        <f>SmtRes!AE30</f>
        <v>14.62</v>
      </c>
      <c r="L18">
        <f>SmtRes!DB30</f>
        <v>1.46</v>
      </c>
      <c r="M18">
        <f>ROUND(ROUND(L18*Source!I75, 2)*1, 2)</f>
        <v>1.46</v>
      </c>
      <c r="N18">
        <f>SmtRes!AA30</f>
        <v>238.6</v>
      </c>
      <c r="O18">
        <f>ROUND(ROUND(L18*Source!I75, 2)*SmtRes!DA30, 2)</f>
        <v>23.83</v>
      </c>
      <c r="P18">
        <f>SmtRes!AG30</f>
        <v>0</v>
      </c>
      <c r="Q18">
        <f>SmtRes!DC30</f>
        <v>0</v>
      </c>
      <c r="R18">
        <f>ROUND(ROUND(Q18*Source!I75, 2)*1, 2)</f>
        <v>0</v>
      </c>
      <c r="S18">
        <f>SmtRes!AC30</f>
        <v>0</v>
      </c>
      <c r="T18">
        <f>ROUND(ROUND(Q18*Source!I75, 2)*SmtRes!AK30, 2)</f>
        <v>0</v>
      </c>
      <c r="U18">
        <v>3</v>
      </c>
      <c r="Z18">
        <f>SmtRes!X30</f>
        <v>-1589564529</v>
      </c>
      <c r="AA18">
        <v>931675150</v>
      </c>
      <c r="AB18">
        <v>1099975433</v>
      </c>
    </row>
    <row r="19" spans="1:28" x14ac:dyDescent="0.2">
      <c r="A19">
        <v>20</v>
      </c>
      <c r="B19">
        <v>29</v>
      </c>
      <c r="C19">
        <v>3</v>
      </c>
      <c r="D19">
        <v>0</v>
      </c>
      <c r="E19">
        <f>SmtRes!AV29</f>
        <v>0</v>
      </c>
      <c r="F19" t="str">
        <f>SmtRes!I29</f>
        <v>101-1757</v>
      </c>
      <c r="G19" t="str">
        <f>SmtRes!K29</f>
        <v>Ветошь</v>
      </c>
      <c r="H19" t="str">
        <f>SmtRes!O29</f>
        <v>кг</v>
      </c>
      <c r="I19">
        <f>SmtRes!Y29*Source!I75</f>
        <v>0.02</v>
      </c>
      <c r="J19">
        <f>SmtRes!AO29</f>
        <v>1</v>
      </c>
      <c r="K19">
        <f>SmtRes!AE29</f>
        <v>1.82</v>
      </c>
      <c r="L19">
        <f>SmtRes!DB29</f>
        <v>0.04</v>
      </c>
      <c r="M19">
        <f>ROUND(ROUND(L19*Source!I75, 2)*1, 2)</f>
        <v>0.04</v>
      </c>
      <c r="N19">
        <f>SmtRes!AA29</f>
        <v>27.37</v>
      </c>
      <c r="O19">
        <f>ROUND(ROUND(L19*Source!I75, 2)*SmtRes!DA29, 2)</f>
        <v>0.6</v>
      </c>
      <c r="P19">
        <f>SmtRes!AG29</f>
        <v>0</v>
      </c>
      <c r="Q19">
        <f>SmtRes!DC29</f>
        <v>0</v>
      </c>
      <c r="R19">
        <f>ROUND(ROUND(Q19*Source!I75, 2)*1, 2)</f>
        <v>0</v>
      </c>
      <c r="S19">
        <f>SmtRes!AC29</f>
        <v>0</v>
      </c>
      <c r="T19">
        <f>ROUND(ROUND(Q19*Source!I75, 2)*SmtRes!AK29, 2)</f>
        <v>0</v>
      </c>
      <c r="U19">
        <v>3</v>
      </c>
      <c r="Z19">
        <f>SmtRes!X29</f>
        <v>844235703</v>
      </c>
      <c r="AA19">
        <v>-1982503573</v>
      </c>
      <c r="AB19">
        <v>1926936468</v>
      </c>
    </row>
    <row r="20" spans="1:28" x14ac:dyDescent="0.2">
      <c r="A20">
        <v>20</v>
      </c>
      <c r="B20">
        <v>27</v>
      </c>
      <c r="C20">
        <v>3</v>
      </c>
      <c r="D20">
        <v>0</v>
      </c>
      <c r="E20">
        <f>SmtRes!AV27</f>
        <v>0</v>
      </c>
      <c r="F20" t="str">
        <f>SmtRes!I27</f>
        <v>101-0962</v>
      </c>
      <c r="G20" t="str">
        <f>SmtRes!K27</f>
        <v>Смазка солидол жировой марки «Ж»</v>
      </c>
      <c r="H20" t="str">
        <f>SmtRes!O27</f>
        <v>т</v>
      </c>
      <c r="I20">
        <f>SmtRes!Y27*Source!I75</f>
        <v>3.0000000000000001E-5</v>
      </c>
      <c r="J20">
        <f>SmtRes!AO27</f>
        <v>1</v>
      </c>
      <c r="K20">
        <f>SmtRes!AE27</f>
        <v>9662</v>
      </c>
      <c r="L20">
        <f>SmtRes!DB27</f>
        <v>0.28999999999999998</v>
      </c>
      <c r="M20">
        <f>ROUND(ROUND(L20*Source!I75, 2)*1, 2)</f>
        <v>0.28999999999999998</v>
      </c>
      <c r="N20">
        <f>SmtRes!AA27</f>
        <v>163867.51999999999</v>
      </c>
      <c r="O20">
        <f>ROUND(ROUND(L20*Source!I75, 2)*SmtRes!DA27, 2)</f>
        <v>4.92</v>
      </c>
      <c r="P20">
        <f>SmtRes!AG27</f>
        <v>0</v>
      </c>
      <c r="Q20">
        <f>SmtRes!DC27</f>
        <v>0</v>
      </c>
      <c r="R20">
        <f>ROUND(ROUND(Q20*Source!I75, 2)*1, 2)</f>
        <v>0</v>
      </c>
      <c r="S20">
        <f>SmtRes!AC27</f>
        <v>0</v>
      </c>
      <c r="T20">
        <f>ROUND(ROUND(Q20*Source!I75, 2)*SmtRes!AK27, 2)</f>
        <v>0</v>
      </c>
      <c r="U20">
        <v>3</v>
      </c>
      <c r="Z20">
        <f>SmtRes!X27</f>
        <v>-1121770783</v>
      </c>
      <c r="AA20">
        <v>187131418</v>
      </c>
      <c r="AB20">
        <v>2090751514</v>
      </c>
    </row>
    <row r="21" spans="1:28" x14ac:dyDescent="0.2">
      <c r="A21">
        <v>20</v>
      </c>
      <c r="B21">
        <v>26</v>
      </c>
      <c r="C21">
        <v>3</v>
      </c>
      <c r="D21">
        <v>0</v>
      </c>
      <c r="E21">
        <f>SmtRes!AV26</f>
        <v>0</v>
      </c>
      <c r="F21" t="str">
        <f>SmtRes!I26</f>
        <v>101-0404</v>
      </c>
      <c r="G21" t="str">
        <f>SmtRes!K26</f>
        <v>Краска для наружных работ черная, марок МА-015, ПФ-014</v>
      </c>
      <c r="H21" t="str">
        <f>SmtRes!O26</f>
        <v>т</v>
      </c>
      <c r="I21">
        <f>SmtRes!Y26*Source!I75</f>
        <v>4.0000000000000002E-4</v>
      </c>
      <c r="J21">
        <f>SmtRes!AO26</f>
        <v>1</v>
      </c>
      <c r="K21">
        <f>SmtRes!AE26</f>
        <v>15954.5</v>
      </c>
      <c r="L21">
        <f>SmtRes!DB26</f>
        <v>6.38</v>
      </c>
      <c r="M21">
        <f>ROUND(ROUND(L21*Source!I75, 2)*1, 2)</f>
        <v>6.38</v>
      </c>
      <c r="N21">
        <f>SmtRes!AA26</f>
        <v>83122.95</v>
      </c>
      <c r="O21">
        <f>ROUND(ROUND(L21*Source!I75, 2)*SmtRes!DA26, 2)</f>
        <v>33.24</v>
      </c>
      <c r="P21">
        <f>SmtRes!AG26</f>
        <v>0</v>
      </c>
      <c r="Q21">
        <f>SmtRes!DC26</f>
        <v>0</v>
      </c>
      <c r="R21">
        <f>ROUND(ROUND(Q21*Source!I75, 2)*1, 2)</f>
        <v>0</v>
      </c>
      <c r="S21">
        <f>SmtRes!AC26</f>
        <v>0</v>
      </c>
      <c r="T21">
        <f>ROUND(ROUND(Q21*Source!I75, 2)*SmtRes!AK26, 2)</f>
        <v>0</v>
      </c>
      <c r="U21">
        <v>3</v>
      </c>
      <c r="Z21">
        <f>SmtRes!X26</f>
        <v>-1700027683</v>
      </c>
      <c r="AA21">
        <v>1995854254</v>
      </c>
      <c r="AB21">
        <v>513487788</v>
      </c>
    </row>
    <row r="22" spans="1:28" x14ac:dyDescent="0.2">
      <c r="A22">
        <f>Source!A85</f>
        <v>17</v>
      </c>
      <c r="B22">
        <v>85</v>
      </c>
      <c r="C22">
        <v>3</v>
      </c>
      <c r="D22">
        <f>Source!BI85</f>
        <v>1</v>
      </c>
      <c r="E22">
        <f>Source!FS85</f>
        <v>0</v>
      </c>
      <c r="F22" t="str">
        <f>Source!F85</f>
        <v>403-2127</v>
      </c>
      <c r="G22" t="str">
        <f>Source!G85</f>
        <v>Стойка опоры СВ 110-3,5 /бетон В30 (М400), объем 0,45 м3, расход ар-ры 66,8 кг/ (серия 3.407.1-143 вып.7)</v>
      </c>
      <c r="H22" t="str">
        <f>Source!H85</f>
        <v>шт.</v>
      </c>
      <c r="I22">
        <f>Source!I85</f>
        <v>2</v>
      </c>
      <c r="J22">
        <v>1</v>
      </c>
      <c r="K22">
        <f>Source!AC85</f>
        <v>1525.42</v>
      </c>
      <c r="M22">
        <f t="shared" ref="M22:M32" si="0">ROUND(K22*I22, 2)</f>
        <v>3050.84</v>
      </c>
      <c r="N22">
        <f>Source!AC85*IF(Source!BC85&lt;&gt; 0, Source!BC85, 1)</f>
        <v>19311.817200000001</v>
      </c>
      <c r="O22">
        <f t="shared" ref="O22:O32" si="1">ROUND(N22*I22, 2)</f>
        <v>38623.629999999997</v>
      </c>
      <c r="P22">
        <f>Source!AE85</f>
        <v>0</v>
      </c>
      <c r="R22">
        <f t="shared" ref="R22:R32" si="2">ROUND(P22*I22, 2)</f>
        <v>0</v>
      </c>
      <c r="S22">
        <f>Source!AE85*IF(Source!BS85&lt;&gt; 0, Source!BS85, 1)</f>
        <v>0</v>
      </c>
      <c r="T22">
        <f t="shared" ref="T22:T32" si="3">ROUND(S22*I22, 2)</f>
        <v>0</v>
      </c>
      <c r="U22">
        <v>3</v>
      </c>
      <c r="Z22">
        <f>Source!GF85</f>
        <v>-1757675419</v>
      </c>
      <c r="AA22">
        <v>497275943</v>
      </c>
      <c r="AB22">
        <v>1258684363</v>
      </c>
    </row>
    <row r="23" spans="1:28" x14ac:dyDescent="0.2">
      <c r="A23">
        <f>Source!A86</f>
        <v>17</v>
      </c>
      <c r="B23">
        <v>86</v>
      </c>
      <c r="C23">
        <v>3</v>
      </c>
      <c r="D23">
        <f>Source!BI86</f>
        <v>1</v>
      </c>
      <c r="E23">
        <f>Source!FS86</f>
        <v>0</v>
      </c>
      <c r="F23" t="str">
        <f>Source!F86</f>
        <v>201-8113</v>
      </c>
      <c r="G23" t="str">
        <f>Source!G86</f>
        <v>Траверсы стальные (Траверса ТМ-71 21,76 кг и траверса ТМ-66 6,7 кг)</v>
      </c>
      <c r="H23" t="str">
        <f>Source!H86</f>
        <v>т</v>
      </c>
      <c r="I23">
        <f>Source!I86</f>
        <v>2.8459999999999999E-2</v>
      </c>
      <c r="J23">
        <v>1</v>
      </c>
      <c r="K23">
        <f>Source!AC86</f>
        <v>10995.42</v>
      </c>
      <c r="M23">
        <f t="shared" si="0"/>
        <v>312.93</v>
      </c>
      <c r="N23">
        <f>Source!AC86*IF(Source!BC86&lt;&gt; 0, Source!BC86, 1)</f>
        <v>251795.11799999999</v>
      </c>
      <c r="O23">
        <f t="shared" si="1"/>
        <v>7166.09</v>
      </c>
      <c r="P23">
        <f>Source!AE86</f>
        <v>0</v>
      </c>
      <c r="R23">
        <f t="shared" si="2"/>
        <v>0</v>
      </c>
      <c r="S23">
        <f>Source!AE86*IF(Source!BS86&lt;&gt; 0, Source!BS86, 1)</f>
        <v>0</v>
      </c>
      <c r="T23">
        <f t="shared" si="3"/>
        <v>0</v>
      </c>
      <c r="U23">
        <v>3</v>
      </c>
      <c r="Z23">
        <f>Source!GF86</f>
        <v>-735871856</v>
      </c>
      <c r="AA23">
        <v>-590417042</v>
      </c>
      <c r="AB23">
        <v>-537919849</v>
      </c>
    </row>
    <row r="24" spans="1:28" x14ac:dyDescent="0.2">
      <c r="A24">
        <f>Source!A87</f>
        <v>17</v>
      </c>
      <c r="B24">
        <v>87</v>
      </c>
      <c r="C24">
        <v>3</v>
      </c>
      <c r="D24">
        <f>Source!BI87</f>
        <v>1</v>
      </c>
      <c r="E24">
        <f>Source!FS87</f>
        <v>0</v>
      </c>
      <c r="F24" t="str">
        <f>Source!F87</f>
        <v>201-0856</v>
      </c>
      <c r="G24" t="str">
        <f>Source!G87</f>
        <v>Хомуты стальные (Хомут Х-12 1,18 кг)</v>
      </c>
      <c r="H24" t="str">
        <f>Source!H87</f>
        <v>кг</v>
      </c>
      <c r="I24">
        <f>Source!I87</f>
        <v>2.36</v>
      </c>
      <c r="J24">
        <v>1</v>
      </c>
      <c r="K24">
        <f>Source!AC87</f>
        <v>9.74</v>
      </c>
      <c r="M24">
        <f t="shared" si="0"/>
        <v>22.99</v>
      </c>
      <c r="N24">
        <f>Source!AC87*IF(Source!BC87&lt;&gt; 0, Source!BC87, 1)</f>
        <v>71.881200000000007</v>
      </c>
      <c r="O24">
        <f t="shared" si="1"/>
        <v>169.64</v>
      </c>
      <c r="P24">
        <f>Source!AE87</f>
        <v>0</v>
      </c>
      <c r="R24">
        <f t="shared" si="2"/>
        <v>0</v>
      </c>
      <c r="S24">
        <f>Source!AE87*IF(Source!BS87&lt;&gt; 0, Source!BS87, 1)</f>
        <v>0</v>
      </c>
      <c r="T24">
        <f t="shared" si="3"/>
        <v>0</v>
      </c>
      <c r="U24">
        <v>3</v>
      </c>
      <c r="Z24">
        <f>Source!GF87</f>
        <v>-262877765</v>
      </c>
      <c r="AA24">
        <v>1852318982</v>
      </c>
      <c r="AB24">
        <v>-969601686</v>
      </c>
    </row>
    <row r="25" spans="1:28" x14ac:dyDescent="0.2">
      <c r="A25">
        <f>Source!A88</f>
        <v>17</v>
      </c>
      <c r="B25">
        <v>88</v>
      </c>
      <c r="C25">
        <v>3</v>
      </c>
      <c r="D25">
        <f>Source!BI88</f>
        <v>1</v>
      </c>
      <c r="E25">
        <f>Source!FS88</f>
        <v>0</v>
      </c>
      <c r="F25" t="str">
        <f>Source!F88</f>
        <v>204-0003</v>
      </c>
      <c r="G25" t="str">
        <f>Source!G88</f>
        <v>Горячекатаная арматурная сталь гладкая класса А-I, диаметром 10 мм</v>
      </c>
      <c r="H25" t="str">
        <f>Source!H88</f>
        <v>т</v>
      </c>
      <c r="I25">
        <f>Source!I88</f>
        <v>5.169E-3</v>
      </c>
      <c r="J25">
        <v>1</v>
      </c>
      <c r="K25">
        <f>Source!AC88</f>
        <v>6813</v>
      </c>
      <c r="M25">
        <f t="shared" si="0"/>
        <v>35.22</v>
      </c>
      <c r="N25">
        <f>Source!AC88*IF(Source!BC88&lt;&gt; 0, Source!BC88, 1)</f>
        <v>71059.59</v>
      </c>
      <c r="O25">
        <f t="shared" si="1"/>
        <v>367.31</v>
      </c>
      <c r="P25">
        <f>Source!AE88</f>
        <v>0</v>
      </c>
      <c r="R25">
        <f t="shared" si="2"/>
        <v>0</v>
      </c>
      <c r="S25">
        <f>Source!AE88*IF(Source!BS88&lt;&gt; 0, Source!BS88, 1)</f>
        <v>0</v>
      </c>
      <c r="T25">
        <f t="shared" si="3"/>
        <v>0</v>
      </c>
      <c r="U25">
        <v>3</v>
      </c>
      <c r="Z25">
        <f>Source!GF88</f>
        <v>-1375793846</v>
      </c>
      <c r="AA25">
        <v>-25435460</v>
      </c>
      <c r="AB25">
        <v>371618959</v>
      </c>
    </row>
    <row r="26" spans="1:28" x14ac:dyDescent="0.2">
      <c r="A26">
        <f>Source!A89</f>
        <v>17</v>
      </c>
      <c r="B26">
        <v>89</v>
      </c>
      <c r="C26">
        <v>3</v>
      </c>
      <c r="D26">
        <f>Source!BI89</f>
        <v>1</v>
      </c>
      <c r="E26">
        <f>Source!FS89</f>
        <v>0</v>
      </c>
      <c r="F26" t="str">
        <f>Source!F89</f>
        <v>110-0318</v>
      </c>
      <c r="G26" t="str">
        <f>Source!G89</f>
        <v>Изоляторы линейные штыревые высоковольтные ШФ 20-Г (прим. Изолятор ШФ-20)</v>
      </c>
      <c r="H26" t="str">
        <f>Source!H89</f>
        <v>шт.</v>
      </c>
      <c r="I26">
        <f>Source!I89</f>
        <v>3</v>
      </c>
      <c r="J26">
        <v>1</v>
      </c>
      <c r="K26">
        <f>Source!AC89</f>
        <v>43.95</v>
      </c>
      <c r="M26">
        <f t="shared" si="0"/>
        <v>131.85</v>
      </c>
      <c r="N26">
        <f>Source!AC89*IF(Source!BC89&lt;&gt; 0, Source!BC89, 1)</f>
        <v>291.38850000000002</v>
      </c>
      <c r="O26">
        <f t="shared" si="1"/>
        <v>874.17</v>
      </c>
      <c r="P26">
        <f>Source!AE89</f>
        <v>0</v>
      </c>
      <c r="R26">
        <f t="shared" si="2"/>
        <v>0</v>
      </c>
      <c r="S26">
        <f>Source!AE89*IF(Source!BS89&lt;&gt; 0, Source!BS89, 1)</f>
        <v>0</v>
      </c>
      <c r="T26">
        <f t="shared" si="3"/>
        <v>0</v>
      </c>
      <c r="U26">
        <v>3</v>
      </c>
      <c r="Z26">
        <f>Source!GF89</f>
        <v>-1794469599</v>
      </c>
      <c r="AA26">
        <v>-111976166</v>
      </c>
      <c r="AB26">
        <v>1528588727</v>
      </c>
    </row>
    <row r="27" spans="1:28" x14ac:dyDescent="0.2">
      <c r="A27">
        <f>Source!A90</f>
        <v>17</v>
      </c>
      <c r="B27">
        <v>90</v>
      </c>
      <c r="C27">
        <v>3</v>
      </c>
      <c r="D27">
        <f>Source!BI90</f>
        <v>2</v>
      </c>
      <c r="E27">
        <f>Source!FS90</f>
        <v>0</v>
      </c>
      <c r="F27" t="str">
        <f>Source!F90</f>
        <v>509-1714</v>
      </c>
      <c r="G27" t="str">
        <f>Source!G90</f>
        <v>Зажим натяжной болтовый НБ-2-6</v>
      </c>
      <c r="H27" t="str">
        <f>Source!H90</f>
        <v>шт.</v>
      </c>
      <c r="I27">
        <f>Source!I90</f>
        <v>3</v>
      </c>
      <c r="J27">
        <v>1</v>
      </c>
      <c r="K27">
        <f>Source!AC90</f>
        <v>90.78</v>
      </c>
      <c r="M27">
        <f t="shared" si="0"/>
        <v>272.33999999999997</v>
      </c>
      <c r="N27">
        <f>Source!AC90*IF(Source!BC90&lt;&gt; 0, Source!BC90, 1)</f>
        <v>752.56619999999998</v>
      </c>
      <c r="O27">
        <f t="shared" si="1"/>
        <v>2257.6999999999998</v>
      </c>
      <c r="P27">
        <f>Source!AE90</f>
        <v>0</v>
      </c>
      <c r="R27">
        <f t="shared" si="2"/>
        <v>0</v>
      </c>
      <c r="S27">
        <f>Source!AE90*IF(Source!BS90&lt;&gt; 0, Source!BS90, 1)</f>
        <v>0</v>
      </c>
      <c r="T27">
        <f t="shared" si="3"/>
        <v>0</v>
      </c>
      <c r="U27">
        <v>3</v>
      </c>
      <c r="Z27">
        <f>Source!GF90</f>
        <v>1038320011</v>
      </c>
      <c r="AA27">
        <v>1588715676</v>
      </c>
      <c r="AB27">
        <v>323588553</v>
      </c>
    </row>
    <row r="28" spans="1:28" x14ac:dyDescent="0.2">
      <c r="A28">
        <f>Source!A91</f>
        <v>17</v>
      </c>
      <c r="B28">
        <v>91</v>
      </c>
      <c r="C28">
        <v>3</v>
      </c>
      <c r="D28">
        <f>Source!BI91</f>
        <v>1</v>
      </c>
      <c r="E28">
        <f>Source!FS91</f>
        <v>0</v>
      </c>
      <c r="F28" t="str">
        <f>Source!F91</f>
        <v>110-0316</v>
      </c>
      <c r="G28" t="str">
        <f>Source!G91</f>
        <v>Звено промежуточное трехлапчатое ПРТ-7-1</v>
      </c>
      <c r="H28" t="str">
        <f>Source!H91</f>
        <v>шт.</v>
      </c>
      <c r="I28">
        <f>Source!I91</f>
        <v>3</v>
      </c>
      <c r="J28">
        <v>1</v>
      </c>
      <c r="K28">
        <f>Source!AC91</f>
        <v>36.979999999999997</v>
      </c>
      <c r="M28">
        <f t="shared" si="0"/>
        <v>110.94</v>
      </c>
      <c r="N28">
        <f>Source!AC91*IF(Source!BC91&lt;&gt; 0, Source!BC91, 1)</f>
        <v>181.94159999999999</v>
      </c>
      <c r="O28">
        <f t="shared" si="1"/>
        <v>545.82000000000005</v>
      </c>
      <c r="P28">
        <f>Source!AE91</f>
        <v>0</v>
      </c>
      <c r="R28">
        <f t="shared" si="2"/>
        <v>0</v>
      </c>
      <c r="S28">
        <f>Source!AE91*IF(Source!BS91&lt;&gt; 0, Source!BS91, 1)</f>
        <v>0</v>
      </c>
      <c r="T28">
        <f t="shared" si="3"/>
        <v>0</v>
      </c>
      <c r="U28">
        <v>3</v>
      </c>
      <c r="Z28">
        <f>Source!GF91</f>
        <v>-367802843</v>
      </c>
      <c r="AA28">
        <v>2020657303</v>
      </c>
      <c r="AB28">
        <v>-1018128656</v>
      </c>
    </row>
    <row r="29" spans="1:28" x14ac:dyDescent="0.2">
      <c r="A29">
        <f>Source!A92</f>
        <v>17</v>
      </c>
      <c r="B29">
        <v>92</v>
      </c>
      <c r="C29">
        <v>3</v>
      </c>
      <c r="D29">
        <f>Source!BI92</f>
        <v>2</v>
      </c>
      <c r="E29">
        <f>Source!FS92</f>
        <v>0</v>
      </c>
      <c r="F29" t="str">
        <f>Source!F92</f>
        <v>509-1771</v>
      </c>
      <c r="G29" t="str">
        <f>Source!G92</f>
        <v>Ушко однолапчатое У1-7-16</v>
      </c>
      <c r="H29" t="str">
        <f>Source!H92</f>
        <v>шт.</v>
      </c>
      <c r="I29">
        <f>Source!I92</f>
        <v>3</v>
      </c>
      <c r="J29">
        <v>1</v>
      </c>
      <c r="K29">
        <f>Source!AC92</f>
        <v>39.909999999999997</v>
      </c>
      <c r="M29">
        <f t="shared" si="0"/>
        <v>119.73</v>
      </c>
      <c r="N29">
        <f>Source!AC92*IF(Source!BC92&lt;&gt; 0, Source!BC92, 1)</f>
        <v>179.59499999999997</v>
      </c>
      <c r="O29">
        <f t="shared" si="1"/>
        <v>538.79</v>
      </c>
      <c r="P29">
        <f>Source!AE92</f>
        <v>0</v>
      </c>
      <c r="R29">
        <f t="shared" si="2"/>
        <v>0</v>
      </c>
      <c r="S29">
        <f>Source!AE92*IF(Source!BS92&lt;&gt; 0, Source!BS92, 1)</f>
        <v>0</v>
      </c>
      <c r="T29">
        <f t="shared" si="3"/>
        <v>0</v>
      </c>
      <c r="U29">
        <v>3</v>
      </c>
      <c r="Z29">
        <f>Source!GF92</f>
        <v>-1642552679</v>
      </c>
      <c r="AA29">
        <v>1384331352</v>
      </c>
      <c r="AB29">
        <v>651493885</v>
      </c>
    </row>
    <row r="30" spans="1:28" x14ac:dyDescent="0.2">
      <c r="A30">
        <f>Source!A93</f>
        <v>17</v>
      </c>
      <c r="B30">
        <v>93</v>
      </c>
      <c r="C30">
        <v>3</v>
      </c>
      <c r="D30">
        <f>Source!BI93</f>
        <v>1</v>
      </c>
      <c r="E30">
        <f>Source!FS93</f>
        <v>0</v>
      </c>
      <c r="F30" t="str">
        <f>Source!F93</f>
        <v>110-0345</v>
      </c>
      <c r="G30" t="str">
        <f>Source!G93</f>
        <v>Изоляторы линейные подвесные стеклянные ПСД-70Е  (прим. Изолятор ПС-70)</v>
      </c>
      <c r="H30" t="str">
        <f>Source!H93</f>
        <v>шт.</v>
      </c>
      <c r="I30">
        <f>Source!I93</f>
        <v>6</v>
      </c>
      <c r="J30">
        <v>1</v>
      </c>
      <c r="K30">
        <f>Source!AC93</f>
        <v>171.79</v>
      </c>
      <c r="M30">
        <f t="shared" si="0"/>
        <v>1030.74</v>
      </c>
      <c r="N30">
        <f>Source!AC93*IF(Source!BC93&lt;&gt; 0, Source!BC93, 1)</f>
        <v>1743.6685</v>
      </c>
      <c r="O30">
        <f t="shared" si="1"/>
        <v>10462.01</v>
      </c>
      <c r="P30">
        <f>Source!AE93</f>
        <v>0</v>
      </c>
      <c r="R30">
        <f t="shared" si="2"/>
        <v>0</v>
      </c>
      <c r="S30">
        <f>Source!AE93*IF(Source!BS93&lt;&gt; 0, Source!BS93, 1)</f>
        <v>0</v>
      </c>
      <c r="T30">
        <f t="shared" si="3"/>
        <v>0</v>
      </c>
      <c r="U30">
        <v>3</v>
      </c>
      <c r="Z30">
        <f>Source!GF93</f>
        <v>-1870749598</v>
      </c>
      <c r="AA30">
        <v>-121472904</v>
      </c>
      <c r="AB30">
        <v>-1190233930</v>
      </c>
    </row>
    <row r="31" spans="1:28" x14ac:dyDescent="0.2">
      <c r="A31">
        <f>Source!A94</f>
        <v>17</v>
      </c>
      <c r="B31">
        <v>94</v>
      </c>
      <c r="C31">
        <v>3</v>
      </c>
      <c r="D31">
        <f>Source!BI94</f>
        <v>2</v>
      </c>
      <c r="E31">
        <f>Source!FS94</f>
        <v>0</v>
      </c>
      <c r="F31" t="str">
        <f>Source!F94</f>
        <v>509-5944</v>
      </c>
      <c r="G31" t="str">
        <f>Source!G94</f>
        <v>Зажим аппаратный прессуемый А1А-70-2</v>
      </c>
      <c r="H31" t="str">
        <f>Source!H94</f>
        <v>шт.</v>
      </c>
      <c r="I31">
        <f>Source!I94</f>
        <v>6</v>
      </c>
      <c r="J31">
        <v>1</v>
      </c>
      <c r="K31">
        <f>Source!AC94</f>
        <v>17.260000000000002</v>
      </c>
      <c r="M31">
        <f t="shared" si="0"/>
        <v>103.56</v>
      </c>
      <c r="N31">
        <f>Source!AC94*IF(Source!BC94&lt;&gt; 0, Source!BC94, 1)</f>
        <v>145.32920000000001</v>
      </c>
      <c r="O31">
        <f t="shared" si="1"/>
        <v>871.98</v>
      </c>
      <c r="P31">
        <f>Source!AE94</f>
        <v>0</v>
      </c>
      <c r="R31">
        <f t="shared" si="2"/>
        <v>0</v>
      </c>
      <c r="S31">
        <f>Source!AE94*IF(Source!BS94&lt;&gt; 0, Source!BS94, 1)</f>
        <v>0</v>
      </c>
      <c r="T31">
        <f t="shared" si="3"/>
        <v>0</v>
      </c>
      <c r="U31">
        <v>3</v>
      </c>
      <c r="Z31">
        <f>Source!GF94</f>
        <v>-2066277925</v>
      </c>
      <c r="AA31">
        <v>-277154372</v>
      </c>
      <c r="AB31">
        <v>-157471096</v>
      </c>
    </row>
    <row r="32" spans="1:28" x14ac:dyDescent="0.2">
      <c r="A32">
        <f>Source!A95</f>
        <v>17</v>
      </c>
      <c r="B32">
        <v>95</v>
      </c>
      <c r="C32">
        <v>3</v>
      </c>
      <c r="D32">
        <f>Source!BI95</f>
        <v>1</v>
      </c>
      <c r="E32">
        <f>Source!FS95</f>
        <v>0</v>
      </c>
      <c r="F32" t="str">
        <f>Source!F95</f>
        <v>Прайс-лист</v>
      </c>
      <c r="G32" t="str">
        <f>Source!G95</f>
        <v>Узел крепления У-1</v>
      </c>
      <c r="H32" t="str">
        <f>Source!H95</f>
        <v>шт.</v>
      </c>
      <c r="I32">
        <f>Source!I95</f>
        <v>1</v>
      </c>
      <c r="J32">
        <v>1</v>
      </c>
      <c r="K32">
        <f>Source!AC95</f>
        <v>583.33000000000004</v>
      </c>
      <c r="M32">
        <f t="shared" si="0"/>
        <v>583.33000000000004</v>
      </c>
      <c r="N32">
        <f>Source!AC95*IF(Source!BC95&lt;&gt; 0, Source!BC95, 1)</f>
        <v>583.33000000000004</v>
      </c>
      <c r="O32">
        <f t="shared" si="1"/>
        <v>583.33000000000004</v>
      </c>
      <c r="P32">
        <f>Source!AE95</f>
        <v>0</v>
      </c>
      <c r="R32">
        <f t="shared" si="2"/>
        <v>0</v>
      </c>
      <c r="S32">
        <f>Source!AE95*IF(Source!BS95&lt;&gt; 0, Source!BS95, 1)</f>
        <v>0</v>
      </c>
      <c r="T32">
        <f t="shared" si="3"/>
        <v>0</v>
      </c>
      <c r="U32">
        <v>3</v>
      </c>
      <c r="Z32">
        <f>Source!GF95</f>
        <v>-1753609087</v>
      </c>
      <c r="AA32">
        <v>-2064534955</v>
      </c>
      <c r="AB32">
        <v>-2064534955</v>
      </c>
    </row>
    <row r="33" spans="1:28" x14ac:dyDescent="0.2">
      <c r="A33">
        <v>20</v>
      </c>
      <c r="B33">
        <v>52</v>
      </c>
      <c r="C33">
        <v>3</v>
      </c>
      <c r="D33">
        <v>0</v>
      </c>
      <c r="E33">
        <f>SmtRes!AV52</f>
        <v>0</v>
      </c>
      <c r="F33" t="str">
        <f>SmtRes!I52</f>
        <v>113-0079</v>
      </c>
      <c r="G33" t="str">
        <f>SmtRes!K52</f>
        <v>Лак БТ-577</v>
      </c>
      <c r="H33" t="str">
        <f>SmtRes!O52</f>
        <v>т</v>
      </c>
      <c r="I33">
        <f>SmtRes!Y52*Source!I96</f>
        <v>1E-4</v>
      </c>
      <c r="J33">
        <f>SmtRes!AO52</f>
        <v>1</v>
      </c>
      <c r="K33">
        <f>SmtRes!AE52</f>
        <v>9550.01</v>
      </c>
      <c r="L33">
        <f>SmtRes!DB52</f>
        <v>0.96</v>
      </c>
      <c r="M33">
        <f>ROUND(ROUND(L33*Source!I96, 2)*1, 2)</f>
        <v>0.96</v>
      </c>
      <c r="N33">
        <f>SmtRes!AA52</f>
        <v>85854.59</v>
      </c>
      <c r="O33">
        <f>ROUND(ROUND(L33*Source!I96, 2)*SmtRes!DA52, 2)</f>
        <v>8.6300000000000008</v>
      </c>
      <c r="P33">
        <f>SmtRes!AG52</f>
        <v>0</v>
      </c>
      <c r="Q33">
        <f>SmtRes!DC52</f>
        <v>0</v>
      </c>
      <c r="R33">
        <f>ROUND(ROUND(Q33*Source!I96, 2)*1, 2)</f>
        <v>0</v>
      </c>
      <c r="S33">
        <f>SmtRes!AC52</f>
        <v>0</v>
      </c>
      <c r="T33">
        <f>ROUND(ROUND(Q33*Source!I96, 2)*SmtRes!AK52, 2)</f>
        <v>0</v>
      </c>
      <c r="U33">
        <v>3</v>
      </c>
      <c r="Z33">
        <f>SmtRes!X52</f>
        <v>911236404</v>
      </c>
      <c r="AA33">
        <v>433044666</v>
      </c>
      <c r="AB33">
        <v>-92041477</v>
      </c>
    </row>
    <row r="34" spans="1:28" x14ac:dyDescent="0.2">
      <c r="A34">
        <v>20</v>
      </c>
      <c r="B34">
        <v>49</v>
      </c>
      <c r="C34">
        <v>3</v>
      </c>
      <c r="D34">
        <v>0</v>
      </c>
      <c r="E34">
        <f>SmtRes!AV49</f>
        <v>0</v>
      </c>
      <c r="F34" t="str">
        <f>SmtRes!I49</f>
        <v>101-2349</v>
      </c>
      <c r="G34" t="str">
        <f>SmtRes!K49</f>
        <v>Смазка ЗЭС</v>
      </c>
      <c r="H34" t="str">
        <f>SmtRes!O49</f>
        <v>кг</v>
      </c>
      <c r="I34">
        <f>SmtRes!Y49*Source!I96</f>
        <v>0.1</v>
      </c>
      <c r="J34">
        <f>SmtRes!AO49</f>
        <v>1</v>
      </c>
      <c r="K34">
        <f>SmtRes!AE49</f>
        <v>14.62</v>
      </c>
      <c r="L34">
        <f>SmtRes!DB49</f>
        <v>1.46</v>
      </c>
      <c r="M34">
        <f>ROUND(ROUND(L34*Source!I96, 2)*1, 2)</f>
        <v>1.46</v>
      </c>
      <c r="N34">
        <f>SmtRes!AA49</f>
        <v>238.6</v>
      </c>
      <c r="O34">
        <f>ROUND(ROUND(L34*Source!I96, 2)*SmtRes!DA49, 2)</f>
        <v>23.83</v>
      </c>
      <c r="P34">
        <f>SmtRes!AG49</f>
        <v>0</v>
      </c>
      <c r="Q34">
        <f>SmtRes!DC49</f>
        <v>0</v>
      </c>
      <c r="R34">
        <f>ROUND(ROUND(Q34*Source!I96, 2)*1, 2)</f>
        <v>0</v>
      </c>
      <c r="S34">
        <f>SmtRes!AC49</f>
        <v>0</v>
      </c>
      <c r="T34">
        <f>ROUND(ROUND(Q34*Source!I96, 2)*SmtRes!AK49, 2)</f>
        <v>0</v>
      </c>
      <c r="U34">
        <v>3</v>
      </c>
      <c r="Z34">
        <f>SmtRes!X49</f>
        <v>-1589564529</v>
      </c>
      <c r="AA34">
        <v>931675150</v>
      </c>
      <c r="AB34">
        <v>1099975433</v>
      </c>
    </row>
    <row r="35" spans="1:28" x14ac:dyDescent="0.2">
      <c r="A35">
        <v>20</v>
      </c>
      <c r="B35">
        <v>48</v>
      </c>
      <c r="C35">
        <v>3</v>
      </c>
      <c r="D35">
        <v>0</v>
      </c>
      <c r="E35">
        <f>SmtRes!AV48</f>
        <v>0</v>
      </c>
      <c r="F35" t="str">
        <f>SmtRes!I48</f>
        <v>101-1757</v>
      </c>
      <c r="G35" t="str">
        <f>SmtRes!K48</f>
        <v>Ветошь</v>
      </c>
      <c r="H35" t="str">
        <f>SmtRes!O48</f>
        <v>кг</v>
      </c>
      <c r="I35">
        <f>SmtRes!Y48*Source!I96</f>
        <v>0.02</v>
      </c>
      <c r="J35">
        <f>SmtRes!AO48</f>
        <v>1</v>
      </c>
      <c r="K35">
        <f>SmtRes!AE48</f>
        <v>1.82</v>
      </c>
      <c r="L35">
        <f>SmtRes!DB48</f>
        <v>0.04</v>
      </c>
      <c r="M35">
        <f>ROUND(ROUND(L35*Source!I96, 2)*1, 2)</f>
        <v>0.04</v>
      </c>
      <c r="N35">
        <f>SmtRes!AA48</f>
        <v>27.37</v>
      </c>
      <c r="O35">
        <f>ROUND(ROUND(L35*Source!I96, 2)*SmtRes!DA48, 2)</f>
        <v>0.6</v>
      </c>
      <c r="P35">
        <f>SmtRes!AG48</f>
        <v>0</v>
      </c>
      <c r="Q35">
        <f>SmtRes!DC48</f>
        <v>0</v>
      </c>
      <c r="R35">
        <f>ROUND(ROUND(Q35*Source!I96, 2)*1, 2)</f>
        <v>0</v>
      </c>
      <c r="S35">
        <f>SmtRes!AC48</f>
        <v>0</v>
      </c>
      <c r="T35">
        <f>ROUND(ROUND(Q35*Source!I96, 2)*SmtRes!AK48, 2)</f>
        <v>0</v>
      </c>
      <c r="U35">
        <v>3</v>
      </c>
      <c r="Z35">
        <f>SmtRes!X48</f>
        <v>844235703</v>
      </c>
      <c r="AA35">
        <v>-1982503573</v>
      </c>
      <c r="AB35">
        <v>1926936468</v>
      </c>
    </row>
    <row r="36" spans="1:28" x14ac:dyDescent="0.2">
      <c r="A36">
        <v>20</v>
      </c>
      <c r="B36">
        <v>46</v>
      </c>
      <c r="C36">
        <v>3</v>
      </c>
      <c r="D36">
        <v>0</v>
      </c>
      <c r="E36">
        <f>SmtRes!AV46</f>
        <v>0</v>
      </c>
      <c r="F36" t="str">
        <f>SmtRes!I46</f>
        <v>101-1292</v>
      </c>
      <c r="G36" t="str">
        <f>SmtRes!K46</f>
        <v>Уайт-спирит</v>
      </c>
      <c r="H36" t="str">
        <f>SmtRes!O46</f>
        <v>т</v>
      </c>
      <c r="I36">
        <f>SmtRes!Y46*Source!I96</f>
        <v>3.0000000000000001E-5</v>
      </c>
      <c r="J36">
        <f>SmtRes!AO46</f>
        <v>1</v>
      </c>
      <c r="K36">
        <f>SmtRes!AE46</f>
        <v>6667</v>
      </c>
      <c r="L36">
        <f>SmtRes!DB46</f>
        <v>0.2</v>
      </c>
      <c r="M36">
        <f>ROUND(ROUND(L36*Source!I96, 2)*1, 2)</f>
        <v>0.2</v>
      </c>
      <c r="N36">
        <f>SmtRes!AA46</f>
        <v>74870.41</v>
      </c>
      <c r="O36">
        <f>ROUND(ROUND(L36*Source!I96, 2)*SmtRes!DA46, 2)</f>
        <v>2.25</v>
      </c>
      <c r="P36">
        <f>SmtRes!AG46</f>
        <v>0</v>
      </c>
      <c r="Q36">
        <f>SmtRes!DC46</f>
        <v>0</v>
      </c>
      <c r="R36">
        <f>ROUND(ROUND(Q36*Source!I96, 2)*1, 2)</f>
        <v>0</v>
      </c>
      <c r="S36">
        <f>SmtRes!AC46</f>
        <v>0</v>
      </c>
      <c r="T36">
        <f>ROUND(ROUND(Q36*Source!I96, 2)*SmtRes!AK46, 2)</f>
        <v>0</v>
      </c>
      <c r="U36">
        <v>3</v>
      </c>
      <c r="Z36">
        <f>SmtRes!X46</f>
        <v>-31802417</v>
      </c>
      <c r="AA36">
        <v>1057528375</v>
      </c>
      <c r="AB36">
        <v>-2009841352</v>
      </c>
    </row>
    <row r="37" spans="1:28" x14ac:dyDescent="0.2">
      <c r="A37">
        <v>20</v>
      </c>
      <c r="B37">
        <v>45</v>
      </c>
      <c r="C37">
        <v>3</v>
      </c>
      <c r="D37">
        <v>0</v>
      </c>
      <c r="E37">
        <f>SmtRes!AV45</f>
        <v>0</v>
      </c>
      <c r="F37" t="str">
        <f>SmtRes!I45</f>
        <v>101-0962</v>
      </c>
      <c r="G37" t="str">
        <f>SmtRes!K45</f>
        <v>Смазка солидол жировой марки «Ж»</v>
      </c>
      <c r="H37" t="str">
        <f>SmtRes!O45</f>
        <v>т</v>
      </c>
      <c r="I37">
        <f>SmtRes!Y45*Source!I96</f>
        <v>3.0000000000000001E-5</v>
      </c>
      <c r="J37">
        <f>SmtRes!AO45</f>
        <v>1</v>
      </c>
      <c r="K37">
        <f>SmtRes!AE45</f>
        <v>9662</v>
      </c>
      <c r="L37">
        <f>SmtRes!DB45</f>
        <v>0.28999999999999998</v>
      </c>
      <c r="M37">
        <f>ROUND(ROUND(L37*Source!I96, 2)*1, 2)</f>
        <v>0.28999999999999998</v>
      </c>
      <c r="N37">
        <f>SmtRes!AA45</f>
        <v>163867.51999999999</v>
      </c>
      <c r="O37">
        <f>ROUND(ROUND(L37*Source!I96, 2)*SmtRes!DA45, 2)</f>
        <v>4.92</v>
      </c>
      <c r="P37">
        <f>SmtRes!AG45</f>
        <v>0</v>
      </c>
      <c r="Q37">
        <f>SmtRes!DC45</f>
        <v>0</v>
      </c>
      <c r="R37">
        <f>ROUND(ROUND(Q37*Source!I96, 2)*1, 2)</f>
        <v>0</v>
      </c>
      <c r="S37">
        <f>SmtRes!AC45</f>
        <v>0</v>
      </c>
      <c r="T37">
        <f>ROUND(ROUND(Q37*Source!I96, 2)*SmtRes!AK45, 2)</f>
        <v>0</v>
      </c>
      <c r="U37">
        <v>3</v>
      </c>
      <c r="Z37">
        <f>SmtRes!X45</f>
        <v>-1121770783</v>
      </c>
      <c r="AA37">
        <v>187131418</v>
      </c>
      <c r="AB37">
        <v>2090751514</v>
      </c>
    </row>
    <row r="38" spans="1:28" x14ac:dyDescent="0.2">
      <c r="A38">
        <f>Source!A102</f>
        <v>17</v>
      </c>
      <c r="B38">
        <v>102</v>
      </c>
      <c r="C38">
        <v>3</v>
      </c>
      <c r="D38">
        <f>Source!BI102</f>
        <v>1</v>
      </c>
      <c r="E38">
        <f>Source!FS102</f>
        <v>0</v>
      </c>
      <c r="F38" t="str">
        <f>Source!F102</f>
        <v>204-0003</v>
      </c>
      <c r="G38" t="str">
        <f>Source!G102</f>
        <v>Горячекатаная арматурная сталь гладкая класса А-I, диаметром 10 мм</v>
      </c>
      <c r="H38" t="str">
        <f>Source!H102</f>
        <v>т</v>
      </c>
      <c r="I38">
        <f>Source!I102</f>
        <v>5.169E-3</v>
      </c>
      <c r="J38">
        <v>1</v>
      </c>
      <c r="K38">
        <f>Source!AC102</f>
        <v>6813</v>
      </c>
      <c r="M38">
        <f>ROUND(K38*I38, 2)</f>
        <v>35.22</v>
      </c>
      <c r="N38">
        <f>Source!AC102*IF(Source!BC102&lt;&gt; 0, Source!BC102, 1)</f>
        <v>71059.59</v>
      </c>
      <c r="O38">
        <f>ROUND(N38*I38, 2)</f>
        <v>367.31</v>
      </c>
      <c r="P38">
        <f>Source!AE102</f>
        <v>0</v>
      </c>
      <c r="R38">
        <f>ROUND(P38*I38, 2)</f>
        <v>0</v>
      </c>
      <c r="S38">
        <f>Source!AE102*IF(Source!BS102&lt;&gt; 0, Source!BS102, 1)</f>
        <v>0</v>
      </c>
      <c r="T38">
        <f>ROUND(S38*I38, 2)</f>
        <v>0</v>
      </c>
      <c r="U38">
        <v>3</v>
      </c>
      <c r="Z38">
        <f>Source!GF102</f>
        <v>-1375793846</v>
      </c>
      <c r="AA38">
        <v>-25435460</v>
      </c>
      <c r="AB38">
        <v>371618959</v>
      </c>
    </row>
    <row r="39" spans="1:28" x14ac:dyDescent="0.2">
      <c r="A39">
        <v>20</v>
      </c>
      <c r="B39">
        <v>60</v>
      </c>
      <c r="C39">
        <v>3</v>
      </c>
      <c r="D39">
        <v>0</v>
      </c>
      <c r="E39">
        <f>SmtRes!AV60</f>
        <v>0</v>
      </c>
      <c r="F39" t="str">
        <f>SmtRes!I60</f>
        <v>101-1513</v>
      </c>
      <c r="G39" t="str">
        <f>SmtRes!K60</f>
        <v>Электроды диаметром 4 мм Э42</v>
      </c>
      <c r="H39" t="str">
        <f>SmtRes!O60</f>
        <v>т</v>
      </c>
      <c r="I39">
        <f>SmtRes!Y60*Source!I103</f>
        <v>6.0000000000000002E-5</v>
      </c>
      <c r="J39">
        <f>SmtRes!AO60</f>
        <v>1</v>
      </c>
      <c r="K39">
        <f>SmtRes!AE60</f>
        <v>9750</v>
      </c>
      <c r="L39">
        <f>SmtRes!DB60</f>
        <v>0.28999999999999998</v>
      </c>
      <c r="M39">
        <f>ROUND(ROUND(L39*Source!I103, 2)*1, 2)</f>
        <v>0.57999999999999996</v>
      </c>
      <c r="N39">
        <f>SmtRes!AA60</f>
        <v>119730</v>
      </c>
      <c r="O39">
        <f>ROUND(ROUND(L39*Source!I103, 2)*SmtRes!DA60, 2)</f>
        <v>7.12</v>
      </c>
      <c r="P39">
        <f>SmtRes!AG60</f>
        <v>0</v>
      </c>
      <c r="Q39">
        <f>SmtRes!DC60</f>
        <v>0</v>
      </c>
      <c r="R39">
        <f>ROUND(ROUND(Q39*Source!I103, 2)*1, 2)</f>
        <v>0</v>
      </c>
      <c r="S39">
        <f>SmtRes!AC60</f>
        <v>0</v>
      </c>
      <c r="T39">
        <f>ROUND(ROUND(Q39*Source!I103, 2)*SmtRes!AK60, 2)</f>
        <v>0</v>
      </c>
      <c r="U39">
        <v>3</v>
      </c>
      <c r="Z39">
        <f>SmtRes!X60</f>
        <v>1483167196</v>
      </c>
      <c r="AA39">
        <v>1048653327</v>
      </c>
      <c r="AB39">
        <v>-458246638</v>
      </c>
    </row>
    <row r="40" spans="1:28" x14ac:dyDescent="0.2">
      <c r="A40">
        <f>Source!A105</f>
        <v>17</v>
      </c>
      <c r="B40">
        <v>105</v>
      </c>
      <c r="C40">
        <v>3</v>
      </c>
      <c r="D40">
        <f>Source!BI105</f>
        <v>1</v>
      </c>
      <c r="E40">
        <f>Source!FS105</f>
        <v>0</v>
      </c>
      <c r="F40" t="str">
        <f>Source!F105</f>
        <v>101-1641</v>
      </c>
      <c r="G40" t="str">
        <f>Source!G105</f>
        <v>Сталь угловая равнополочная, марка стали ВСт3кп2, размером 50x50x5 мм</v>
      </c>
      <c r="H40" t="str">
        <f>Source!H105</f>
        <v>т</v>
      </c>
      <c r="I40">
        <f>Source!I105</f>
        <v>2.223E-2</v>
      </c>
      <c r="J40">
        <v>1</v>
      </c>
      <c r="K40">
        <f>Source!AC105</f>
        <v>6074</v>
      </c>
      <c r="M40">
        <f>ROUND(K40*I40, 2)</f>
        <v>135.03</v>
      </c>
      <c r="N40">
        <f>Source!AC105*IF(Source!BC105&lt;&gt; 0, Source!BC105, 1)</f>
        <v>83031.58</v>
      </c>
      <c r="O40">
        <f>ROUND(N40*I40, 2)</f>
        <v>1845.79</v>
      </c>
      <c r="P40">
        <f>Source!AE105</f>
        <v>0</v>
      </c>
      <c r="R40">
        <f>ROUND(P40*I40, 2)</f>
        <v>0</v>
      </c>
      <c r="S40">
        <f>Source!AE105*IF(Source!BS105&lt;&gt; 0, Source!BS105, 1)</f>
        <v>0</v>
      </c>
      <c r="T40">
        <f>ROUND(S40*I40, 2)</f>
        <v>0</v>
      </c>
      <c r="U40">
        <v>3</v>
      </c>
      <c r="Z40">
        <f>Source!GF105</f>
        <v>-362657570</v>
      </c>
      <c r="AA40">
        <v>-293074326</v>
      </c>
      <c r="AB40">
        <v>-1273745666</v>
      </c>
    </row>
    <row r="41" spans="1:28" x14ac:dyDescent="0.2">
      <c r="A41">
        <v>20</v>
      </c>
      <c r="B41">
        <v>77</v>
      </c>
      <c r="C41">
        <v>3</v>
      </c>
      <c r="D41">
        <v>0</v>
      </c>
      <c r="E41">
        <f>SmtRes!AV77</f>
        <v>0</v>
      </c>
      <c r="F41" t="str">
        <f>SmtRes!I77</f>
        <v>999-9950</v>
      </c>
      <c r="G41" t="str">
        <f>SmtRes!K77</f>
        <v>Вспомогательные ненормируемые материалы (2% от ОЗП)</v>
      </c>
      <c r="H41" t="str">
        <f>SmtRes!O77</f>
        <v>РУБ</v>
      </c>
      <c r="I41">
        <f>SmtRes!Y77*Source!I112</f>
        <v>0.26279999999999998</v>
      </c>
      <c r="J41">
        <f>SmtRes!AO77</f>
        <v>1</v>
      </c>
      <c r="K41">
        <f>SmtRes!AE77</f>
        <v>1</v>
      </c>
      <c r="L41">
        <f>SmtRes!DB77</f>
        <v>2.92</v>
      </c>
      <c r="M41">
        <f>ROUND(ROUND(L41*Source!I112, 2)*1, 2)</f>
        <v>0.26</v>
      </c>
      <c r="N41">
        <f>SmtRes!AA77</f>
        <v>1</v>
      </c>
      <c r="O41">
        <f>ROUND(ROUND(L41*Source!I112, 2)*SmtRes!DA77, 2)</f>
        <v>0.26</v>
      </c>
      <c r="P41">
        <f>SmtRes!AG77</f>
        <v>0</v>
      </c>
      <c r="Q41">
        <f>SmtRes!DC77</f>
        <v>0</v>
      </c>
      <c r="R41">
        <f>ROUND(ROUND(Q41*Source!I112, 2)*1, 2)</f>
        <v>0</v>
      </c>
      <c r="S41">
        <f>SmtRes!AC77</f>
        <v>0</v>
      </c>
      <c r="T41">
        <f>ROUND(ROUND(Q41*Source!I112, 2)*SmtRes!AK77, 2)</f>
        <v>0</v>
      </c>
      <c r="U41">
        <v>3</v>
      </c>
      <c r="Z41">
        <f>SmtRes!X77</f>
        <v>2131831278</v>
      </c>
      <c r="AA41">
        <v>1992150135</v>
      </c>
      <c r="AB41">
        <v>1992150135</v>
      </c>
    </row>
    <row r="42" spans="1:28" x14ac:dyDescent="0.2">
      <c r="A42">
        <v>20</v>
      </c>
      <c r="B42">
        <v>76</v>
      </c>
      <c r="C42">
        <v>3</v>
      </c>
      <c r="D42">
        <v>0</v>
      </c>
      <c r="E42">
        <f>SmtRes!AV76</f>
        <v>0</v>
      </c>
      <c r="F42" t="str">
        <f>SmtRes!I76</f>
        <v>113-1786</v>
      </c>
      <c r="G42" t="str">
        <f>SmtRes!K76</f>
        <v>Лак битумный БТ-123</v>
      </c>
      <c r="H42" t="str">
        <f>SmtRes!O76</f>
        <v>т</v>
      </c>
      <c r="I42">
        <f>SmtRes!Y76*Source!I112</f>
        <v>3.3300000000000002E-4</v>
      </c>
      <c r="J42">
        <f>SmtRes!AO76</f>
        <v>1</v>
      </c>
      <c r="K42">
        <f>SmtRes!AE76</f>
        <v>9528</v>
      </c>
      <c r="L42">
        <f>SmtRes!DB76</f>
        <v>35.25</v>
      </c>
      <c r="M42">
        <f>ROUND(ROUND(L42*Source!I112, 2)*1, 2)</f>
        <v>3.17</v>
      </c>
      <c r="N42">
        <f>SmtRes!AA76</f>
        <v>77557.919999999998</v>
      </c>
      <c r="O42">
        <f>ROUND(ROUND(L42*Source!I112, 2)*SmtRes!DA76, 2)</f>
        <v>25.8</v>
      </c>
      <c r="P42">
        <f>SmtRes!AG76</f>
        <v>0</v>
      </c>
      <c r="Q42">
        <f>SmtRes!DC76</f>
        <v>0</v>
      </c>
      <c r="R42">
        <f>ROUND(ROUND(Q42*Source!I112, 2)*1, 2)</f>
        <v>0</v>
      </c>
      <c r="S42">
        <f>SmtRes!AC76</f>
        <v>0</v>
      </c>
      <c r="T42">
        <f>ROUND(ROUND(Q42*Source!I112, 2)*SmtRes!AK76, 2)</f>
        <v>0</v>
      </c>
      <c r="U42">
        <v>3</v>
      </c>
      <c r="Z42">
        <f>SmtRes!X76</f>
        <v>-1286039561</v>
      </c>
      <c r="AA42">
        <v>-989385321</v>
      </c>
      <c r="AB42">
        <v>1752246270</v>
      </c>
    </row>
    <row r="43" spans="1:28" x14ac:dyDescent="0.2">
      <c r="A43">
        <v>20</v>
      </c>
      <c r="B43">
        <v>75</v>
      </c>
      <c r="C43">
        <v>3</v>
      </c>
      <c r="D43">
        <v>0</v>
      </c>
      <c r="E43">
        <f>SmtRes!AV75</f>
        <v>0</v>
      </c>
      <c r="F43" t="str">
        <f>SmtRes!I75</f>
        <v>101-1924</v>
      </c>
      <c r="G43" t="str">
        <f>SmtRes!K75</f>
        <v>Электроды диаметром 4 мм Э42А</v>
      </c>
      <c r="H43" t="str">
        <f>SmtRes!O75</f>
        <v>кг</v>
      </c>
      <c r="I43">
        <f>SmtRes!Y75*Source!I112</f>
        <v>8.1000000000000003E-2</v>
      </c>
      <c r="J43">
        <f>SmtRes!AO75</f>
        <v>1</v>
      </c>
      <c r="K43">
        <f>SmtRes!AE75</f>
        <v>12.65</v>
      </c>
      <c r="L43">
        <f>SmtRes!DB75</f>
        <v>11.39</v>
      </c>
      <c r="M43">
        <f>ROUND(ROUND(L43*Source!I112, 2)*1, 2)</f>
        <v>1.03</v>
      </c>
      <c r="N43">
        <f>SmtRes!AA75</f>
        <v>121.82</v>
      </c>
      <c r="O43">
        <f>ROUND(ROUND(L43*Source!I112, 2)*SmtRes!DA75, 2)</f>
        <v>9.92</v>
      </c>
      <c r="P43">
        <f>SmtRes!AG75</f>
        <v>0</v>
      </c>
      <c r="Q43">
        <f>SmtRes!DC75</f>
        <v>0</v>
      </c>
      <c r="R43">
        <f>ROUND(ROUND(Q43*Source!I112, 2)*1, 2)</f>
        <v>0</v>
      </c>
      <c r="S43">
        <f>SmtRes!AC75</f>
        <v>0</v>
      </c>
      <c r="T43">
        <f>ROUND(ROUND(Q43*Source!I112, 2)*SmtRes!AK75, 2)</f>
        <v>0</v>
      </c>
      <c r="U43">
        <v>3</v>
      </c>
      <c r="Z43">
        <f>SmtRes!X75</f>
        <v>-347328291</v>
      </c>
      <c r="AA43">
        <v>-1317950517</v>
      </c>
      <c r="AB43">
        <v>280888119</v>
      </c>
    </row>
    <row r="44" spans="1:28" x14ac:dyDescent="0.2">
      <c r="A44">
        <f>Source!A113</f>
        <v>17</v>
      </c>
      <c r="B44">
        <v>113</v>
      </c>
      <c r="C44">
        <v>3</v>
      </c>
      <c r="D44">
        <f>Source!BI113</f>
        <v>1</v>
      </c>
      <c r="E44">
        <f>Source!FS113</f>
        <v>0</v>
      </c>
      <c r="F44" t="str">
        <f>Source!F113</f>
        <v>101-2548</v>
      </c>
      <c r="G44" t="str">
        <f>Source!G113</f>
        <v>Сталь полосовая 40х4 мм</v>
      </c>
      <c r="H44" t="str">
        <f>Source!H113</f>
        <v>т</v>
      </c>
      <c r="I44">
        <f>Source!I113</f>
        <v>3.3345E-2</v>
      </c>
      <c r="J44">
        <v>1</v>
      </c>
      <c r="K44">
        <f>Source!AC113</f>
        <v>6258.8</v>
      </c>
      <c r="M44">
        <f>ROUND(K44*I44, 2)</f>
        <v>208.7</v>
      </c>
      <c r="N44">
        <f>Source!AC113*IF(Source!BC113&lt;&gt; 0, Source!BC113, 1)</f>
        <v>88436.844000000012</v>
      </c>
      <c r="O44">
        <f>ROUND(N44*I44, 2)</f>
        <v>2948.93</v>
      </c>
      <c r="P44">
        <f>Source!AE113</f>
        <v>0</v>
      </c>
      <c r="R44">
        <f>ROUND(P44*I44, 2)</f>
        <v>0</v>
      </c>
      <c r="S44">
        <f>Source!AE113*IF(Source!BS113&lt;&gt; 0, Source!BS113, 1)</f>
        <v>0</v>
      </c>
      <c r="T44">
        <f>ROUND(S44*I44, 2)</f>
        <v>0</v>
      </c>
      <c r="U44">
        <v>3</v>
      </c>
      <c r="Z44">
        <f>Source!GF113</f>
        <v>1445180807</v>
      </c>
      <c r="AA44">
        <v>2140074567</v>
      </c>
      <c r="AB44">
        <v>1986113436</v>
      </c>
    </row>
    <row r="45" spans="1:28" x14ac:dyDescent="0.2">
      <c r="A45">
        <v>20</v>
      </c>
      <c r="B45">
        <v>83</v>
      </c>
      <c r="C45">
        <v>3</v>
      </c>
      <c r="D45">
        <v>0</v>
      </c>
      <c r="E45">
        <f>SmtRes!AV83</f>
        <v>0</v>
      </c>
      <c r="F45" t="str">
        <f>SmtRes!I83</f>
        <v>101-1513</v>
      </c>
      <c r="G45" t="str">
        <f>SmtRes!K83</f>
        <v>Электроды диаметром 4 мм Э42</v>
      </c>
      <c r="H45" t="str">
        <f>SmtRes!O83</f>
        <v>т</v>
      </c>
      <c r="I45">
        <f>SmtRes!Y83*Source!I114</f>
        <v>9.0000000000000006E-5</v>
      </c>
      <c r="J45">
        <f>SmtRes!AO83</f>
        <v>1</v>
      </c>
      <c r="K45">
        <f>SmtRes!AE83</f>
        <v>9750</v>
      </c>
      <c r="L45">
        <f>SmtRes!DB83</f>
        <v>0.28999999999999998</v>
      </c>
      <c r="M45">
        <f>ROUND(ROUND(L45*Source!I114, 2)*1, 2)</f>
        <v>0.87</v>
      </c>
      <c r="N45">
        <f>SmtRes!AA83</f>
        <v>119730</v>
      </c>
      <c r="O45">
        <f>ROUND(ROUND(L45*Source!I114, 2)*SmtRes!DA83, 2)</f>
        <v>10.68</v>
      </c>
      <c r="P45">
        <f>SmtRes!AG83</f>
        <v>0</v>
      </c>
      <c r="Q45">
        <f>SmtRes!DC83</f>
        <v>0</v>
      </c>
      <c r="R45">
        <f>ROUND(ROUND(Q45*Source!I114, 2)*1, 2)</f>
        <v>0</v>
      </c>
      <c r="S45">
        <f>SmtRes!AC83</f>
        <v>0</v>
      </c>
      <c r="T45">
        <f>ROUND(ROUND(Q45*Source!I114, 2)*SmtRes!AK83, 2)</f>
        <v>0</v>
      </c>
      <c r="U45">
        <v>3</v>
      </c>
      <c r="Z45">
        <f>SmtRes!X83</f>
        <v>1483167196</v>
      </c>
      <c r="AA45">
        <v>1048653327</v>
      </c>
      <c r="AB45">
        <v>-458246638</v>
      </c>
    </row>
    <row r="46" spans="1:28" x14ac:dyDescent="0.2">
      <c r="A46">
        <f>Source!A116</f>
        <v>17</v>
      </c>
      <c r="B46">
        <v>116</v>
      </c>
      <c r="C46">
        <v>3</v>
      </c>
      <c r="D46">
        <f>Source!BI116</f>
        <v>1</v>
      </c>
      <c r="E46">
        <f>Source!FS116</f>
        <v>0</v>
      </c>
      <c r="F46" t="str">
        <f>Source!F116</f>
        <v>101-1641</v>
      </c>
      <c r="G46" t="str">
        <f>Source!G116</f>
        <v>Сталь угловая равнополочная, марка стали ВСт3кп2, размером 50x50x5 мм</v>
      </c>
      <c r="H46" t="str">
        <f>Source!H116</f>
        <v>т</v>
      </c>
      <c r="I46">
        <f>Source!I116</f>
        <v>3.3345E-2</v>
      </c>
      <c r="J46">
        <v>1</v>
      </c>
      <c r="K46">
        <f>Source!AC116</f>
        <v>6074</v>
      </c>
      <c r="M46">
        <f>ROUND(K46*I46, 2)</f>
        <v>202.54</v>
      </c>
      <c r="N46">
        <f>Source!AC116*IF(Source!BC116&lt;&gt; 0, Source!BC116, 1)</f>
        <v>83031.58</v>
      </c>
      <c r="O46">
        <f>ROUND(N46*I46, 2)</f>
        <v>2768.69</v>
      </c>
      <c r="P46">
        <f>Source!AE116</f>
        <v>0</v>
      </c>
      <c r="R46">
        <f>ROUND(P46*I46, 2)</f>
        <v>0</v>
      </c>
      <c r="S46">
        <f>Source!AE116*IF(Source!BS116&lt;&gt; 0, Source!BS116, 1)</f>
        <v>0</v>
      </c>
      <c r="T46">
        <f>ROUND(S46*I46, 2)</f>
        <v>0</v>
      </c>
      <c r="U46">
        <v>3</v>
      </c>
      <c r="Z46">
        <f>Source!GF116</f>
        <v>-362657570</v>
      </c>
      <c r="AA46">
        <v>-293074326</v>
      </c>
      <c r="AB46">
        <v>-1273745666</v>
      </c>
    </row>
    <row r="47" spans="1:28" x14ac:dyDescent="0.2">
      <c r="A47">
        <f>Source!A159</f>
        <v>4</v>
      </c>
      <c r="B47">
        <v>159</v>
      </c>
      <c r="G47" t="str">
        <f>Source!G159</f>
        <v>Подвеска провода</v>
      </c>
    </row>
    <row r="48" spans="1:28" x14ac:dyDescent="0.2">
      <c r="A48">
        <v>20</v>
      </c>
      <c r="B48">
        <v>102</v>
      </c>
      <c r="C48">
        <v>3</v>
      </c>
      <c r="D48">
        <v>0</v>
      </c>
      <c r="E48">
        <f>SmtRes!AV102</f>
        <v>0</v>
      </c>
      <c r="F48" t="str">
        <f>SmtRes!I102</f>
        <v>509-0455</v>
      </c>
      <c r="G48" t="str">
        <f>SmtRes!K102</f>
        <v>Соединитель алюминиевых и сталеалюминиевых проводов (СОАС) 062-3</v>
      </c>
      <c r="H48" t="str">
        <f>SmtRes!O102</f>
        <v>шт.</v>
      </c>
      <c r="I48">
        <f>SmtRes!Y102*Source!I163</f>
        <v>0.17</v>
      </c>
      <c r="J48">
        <f>SmtRes!AO102</f>
        <v>1</v>
      </c>
      <c r="K48">
        <f>SmtRes!AE102</f>
        <v>79.599999999999994</v>
      </c>
      <c r="L48">
        <f>SmtRes!DB102</f>
        <v>270.64</v>
      </c>
      <c r="M48">
        <f>ROUND(ROUND(L48*Source!I163, 2)*1, 2)</f>
        <v>13.53</v>
      </c>
      <c r="N48">
        <f>SmtRes!AA102</f>
        <v>688.54</v>
      </c>
      <c r="O48">
        <f>ROUND(ROUND(L48*Source!I163, 2)*SmtRes!DA102, 2)</f>
        <v>117.03</v>
      </c>
      <c r="P48">
        <f>SmtRes!AG102</f>
        <v>0</v>
      </c>
      <c r="Q48">
        <f>SmtRes!DC102</f>
        <v>0</v>
      </c>
      <c r="R48">
        <f>ROUND(ROUND(Q48*Source!I163, 2)*1, 2)</f>
        <v>0</v>
      </c>
      <c r="S48">
        <f>SmtRes!AC102</f>
        <v>0</v>
      </c>
      <c r="T48">
        <f>ROUND(ROUND(Q48*Source!I163, 2)*SmtRes!AK102, 2)</f>
        <v>0</v>
      </c>
      <c r="U48">
        <v>3</v>
      </c>
      <c r="Z48">
        <f>SmtRes!X102</f>
        <v>-1545004678</v>
      </c>
      <c r="AA48">
        <v>-1784069363</v>
      </c>
      <c r="AB48">
        <v>-1596865719</v>
      </c>
    </row>
    <row r="49" spans="1:28" x14ac:dyDescent="0.2">
      <c r="A49">
        <v>20</v>
      </c>
      <c r="B49">
        <v>101</v>
      </c>
      <c r="C49">
        <v>3</v>
      </c>
      <c r="D49">
        <v>0</v>
      </c>
      <c r="E49">
        <f>SmtRes!AV101</f>
        <v>0</v>
      </c>
      <c r="F49" t="str">
        <f>SmtRes!I101</f>
        <v>506-0853</v>
      </c>
      <c r="G49" t="str">
        <f>SmtRes!K101</f>
        <v>Проволока из алюминия диаметром 3 мм</v>
      </c>
      <c r="H49" t="str">
        <f>SmtRes!O101</f>
        <v>т</v>
      </c>
      <c r="I49">
        <f>SmtRes!Y101*Source!I163</f>
        <v>1E-4</v>
      </c>
      <c r="J49">
        <f>SmtRes!AO101</f>
        <v>1</v>
      </c>
      <c r="K49">
        <f>SmtRes!AE101</f>
        <v>29627.5</v>
      </c>
      <c r="L49">
        <f>SmtRes!DB101</f>
        <v>59.26</v>
      </c>
      <c r="M49">
        <f>ROUND(ROUND(L49*Source!I163, 2)*1, 2)</f>
        <v>2.96</v>
      </c>
      <c r="N49">
        <f>SmtRes!AA101</f>
        <v>536850.30000000005</v>
      </c>
      <c r="O49">
        <f>ROUND(ROUND(L49*Source!I163, 2)*SmtRes!DA101, 2)</f>
        <v>53.64</v>
      </c>
      <c r="P49">
        <f>SmtRes!AG101</f>
        <v>0</v>
      </c>
      <c r="Q49">
        <f>SmtRes!DC101</f>
        <v>0</v>
      </c>
      <c r="R49">
        <f>ROUND(ROUND(Q49*Source!I163, 2)*1, 2)</f>
        <v>0</v>
      </c>
      <c r="S49">
        <f>SmtRes!AC101</f>
        <v>0</v>
      </c>
      <c r="T49">
        <f>ROUND(ROUND(Q49*Source!I163, 2)*SmtRes!AK101, 2)</f>
        <v>0</v>
      </c>
      <c r="U49">
        <v>3</v>
      </c>
      <c r="Z49">
        <f>SmtRes!X101</f>
        <v>-2114924647</v>
      </c>
      <c r="AA49">
        <v>855590689</v>
      </c>
      <c r="AB49">
        <v>-507964173</v>
      </c>
    </row>
    <row r="50" spans="1:28" x14ac:dyDescent="0.2">
      <c r="A50">
        <v>20</v>
      </c>
      <c r="B50">
        <v>97</v>
      </c>
      <c r="C50">
        <v>3</v>
      </c>
      <c r="D50">
        <v>0</v>
      </c>
      <c r="E50">
        <f>SmtRes!AV97</f>
        <v>0</v>
      </c>
      <c r="F50" t="str">
        <f>SmtRes!I97</f>
        <v>101-2349</v>
      </c>
      <c r="G50" t="str">
        <f>SmtRes!K97</f>
        <v>Смазка ЗЭС</v>
      </c>
      <c r="H50" t="str">
        <f>SmtRes!O97</f>
        <v>кг</v>
      </c>
      <c r="I50">
        <f>SmtRes!Y97*Source!I163</f>
        <v>5.000000000000001E-3</v>
      </c>
      <c r="J50">
        <f>SmtRes!AO97</f>
        <v>1</v>
      </c>
      <c r="K50">
        <f>SmtRes!AE97</f>
        <v>14.62</v>
      </c>
      <c r="L50">
        <f>SmtRes!DB97</f>
        <v>1.46</v>
      </c>
      <c r="M50">
        <f>ROUND(ROUND(L50*Source!I163, 2)*1, 2)</f>
        <v>7.0000000000000007E-2</v>
      </c>
      <c r="N50">
        <f>SmtRes!AA97</f>
        <v>238.6</v>
      </c>
      <c r="O50">
        <f>ROUND(ROUND(L50*Source!I163, 2)*SmtRes!DA97, 2)</f>
        <v>1.1399999999999999</v>
      </c>
      <c r="P50">
        <f>SmtRes!AG97</f>
        <v>0</v>
      </c>
      <c r="Q50">
        <f>SmtRes!DC97</f>
        <v>0</v>
      </c>
      <c r="R50">
        <f>ROUND(ROUND(Q50*Source!I163, 2)*1, 2)</f>
        <v>0</v>
      </c>
      <c r="S50">
        <f>SmtRes!AC97</f>
        <v>0</v>
      </c>
      <c r="T50">
        <f>ROUND(ROUND(Q50*Source!I163, 2)*SmtRes!AK97, 2)</f>
        <v>0</v>
      </c>
      <c r="U50">
        <v>3</v>
      </c>
      <c r="Z50">
        <f>SmtRes!X97</f>
        <v>-1589564529</v>
      </c>
      <c r="AA50">
        <v>931675150</v>
      </c>
      <c r="AB50">
        <v>1099975433</v>
      </c>
    </row>
    <row r="51" spans="1:28" x14ac:dyDescent="0.2">
      <c r="A51">
        <v>20</v>
      </c>
      <c r="B51">
        <v>96</v>
      </c>
      <c r="C51">
        <v>3</v>
      </c>
      <c r="D51">
        <v>0</v>
      </c>
      <c r="E51">
        <f>SmtRes!AV96</f>
        <v>0</v>
      </c>
      <c r="F51" t="str">
        <f>SmtRes!I96</f>
        <v>101-1757</v>
      </c>
      <c r="G51" t="str">
        <f>SmtRes!K96</f>
        <v>Ветошь</v>
      </c>
      <c r="H51" t="str">
        <f>SmtRes!O96</f>
        <v>кг</v>
      </c>
      <c r="I51">
        <f>SmtRes!Y96*Source!I163</f>
        <v>2.5000000000000005E-3</v>
      </c>
      <c r="J51">
        <f>SmtRes!AO96</f>
        <v>1</v>
      </c>
      <c r="K51">
        <f>SmtRes!AE96</f>
        <v>1.82</v>
      </c>
      <c r="L51">
        <f>SmtRes!DB96</f>
        <v>0.09</v>
      </c>
      <c r="M51">
        <f>ROUND(ROUND(L51*Source!I163, 2)*1, 2)</f>
        <v>0</v>
      </c>
      <c r="N51">
        <f>SmtRes!AA96</f>
        <v>27.37</v>
      </c>
      <c r="O51">
        <f>ROUND(ROUND(L51*Source!I163, 2)*SmtRes!DA96, 2)</f>
        <v>0</v>
      </c>
      <c r="P51">
        <f>SmtRes!AG96</f>
        <v>0</v>
      </c>
      <c r="Q51">
        <f>SmtRes!DC96</f>
        <v>0</v>
      </c>
      <c r="R51">
        <f>ROUND(ROUND(Q51*Source!I163, 2)*1, 2)</f>
        <v>0</v>
      </c>
      <c r="S51">
        <f>SmtRes!AC96</f>
        <v>0</v>
      </c>
      <c r="T51">
        <f>ROUND(ROUND(Q51*Source!I163, 2)*SmtRes!AK96, 2)</f>
        <v>0</v>
      </c>
      <c r="U51">
        <v>3</v>
      </c>
      <c r="Z51">
        <f>SmtRes!X96</f>
        <v>844235703</v>
      </c>
      <c r="AA51">
        <v>-1982503573</v>
      </c>
      <c r="AB51">
        <v>1926936468</v>
      </c>
    </row>
    <row r="52" spans="1:28" x14ac:dyDescent="0.2">
      <c r="A52">
        <v>20</v>
      </c>
      <c r="B52">
        <v>95</v>
      </c>
      <c r="C52">
        <v>3</v>
      </c>
      <c r="D52">
        <v>0</v>
      </c>
      <c r="E52">
        <f>SmtRes!AV95</f>
        <v>0</v>
      </c>
      <c r="F52" t="str">
        <f>SmtRes!I95</f>
        <v>101-1745</v>
      </c>
      <c r="G52" t="str">
        <f>SmtRes!K95</f>
        <v>Бензин растворитель</v>
      </c>
      <c r="H52" t="str">
        <f>SmtRes!O95</f>
        <v>т</v>
      </c>
      <c r="I52">
        <f>SmtRes!Y95*Source!I163</f>
        <v>3.0000000000000001E-6</v>
      </c>
      <c r="J52">
        <f>SmtRes!AO95</f>
        <v>1</v>
      </c>
      <c r="K52">
        <f>SmtRes!AE95</f>
        <v>6144</v>
      </c>
      <c r="L52">
        <f>SmtRes!DB95</f>
        <v>0.37</v>
      </c>
      <c r="M52">
        <f>ROUND(ROUND(L52*Source!I163, 2)*1, 2)</f>
        <v>0.02</v>
      </c>
      <c r="N52">
        <f>SmtRes!AA95</f>
        <v>98918.399999999994</v>
      </c>
      <c r="O52">
        <f>ROUND(ROUND(L52*Source!I163, 2)*SmtRes!DA95, 2)</f>
        <v>0.32</v>
      </c>
      <c r="P52">
        <f>SmtRes!AG95</f>
        <v>0</v>
      </c>
      <c r="Q52">
        <f>SmtRes!DC95</f>
        <v>0</v>
      </c>
      <c r="R52">
        <f>ROUND(ROUND(Q52*Source!I163, 2)*1, 2)</f>
        <v>0</v>
      </c>
      <c r="S52">
        <f>SmtRes!AC95</f>
        <v>0</v>
      </c>
      <c r="T52">
        <f>ROUND(ROUND(Q52*Source!I163, 2)*SmtRes!AK95, 2)</f>
        <v>0</v>
      </c>
      <c r="U52">
        <v>3</v>
      </c>
      <c r="Z52">
        <f>SmtRes!X95</f>
        <v>-447054030</v>
      </c>
      <c r="AA52">
        <v>223267325</v>
      </c>
      <c r="AB52">
        <v>-436926563</v>
      </c>
    </row>
    <row r="53" spans="1:28" x14ac:dyDescent="0.2">
      <c r="A53">
        <v>20</v>
      </c>
      <c r="B53">
        <v>94</v>
      </c>
      <c r="C53">
        <v>3</v>
      </c>
      <c r="D53">
        <v>0</v>
      </c>
      <c r="E53">
        <f>SmtRes!AV94</f>
        <v>0</v>
      </c>
      <c r="F53" t="str">
        <f>SmtRes!I94</f>
        <v>101-1292</v>
      </c>
      <c r="G53" t="str">
        <f>SmtRes!K94</f>
        <v>Уайт-спирит</v>
      </c>
      <c r="H53" t="str">
        <f>SmtRes!O94</f>
        <v>т</v>
      </c>
      <c r="I53">
        <f>SmtRes!Y94*Source!I163</f>
        <v>1.1000000000000001E-5</v>
      </c>
      <c r="J53">
        <f>SmtRes!AO94</f>
        <v>1</v>
      </c>
      <c r="K53">
        <f>SmtRes!AE94</f>
        <v>6667</v>
      </c>
      <c r="L53">
        <f>SmtRes!DB94</f>
        <v>1.47</v>
      </c>
      <c r="M53">
        <f>ROUND(ROUND(L53*Source!I163, 2)*1, 2)</f>
        <v>7.0000000000000007E-2</v>
      </c>
      <c r="N53">
        <f>SmtRes!AA94</f>
        <v>74870.41</v>
      </c>
      <c r="O53">
        <f>ROUND(ROUND(L53*Source!I163, 2)*SmtRes!DA94, 2)</f>
        <v>0.79</v>
      </c>
      <c r="P53">
        <f>SmtRes!AG94</f>
        <v>0</v>
      </c>
      <c r="Q53">
        <f>SmtRes!DC94</f>
        <v>0</v>
      </c>
      <c r="R53">
        <f>ROUND(ROUND(Q53*Source!I163, 2)*1, 2)</f>
        <v>0</v>
      </c>
      <c r="S53">
        <f>SmtRes!AC94</f>
        <v>0</v>
      </c>
      <c r="T53">
        <f>ROUND(ROUND(Q53*Source!I163, 2)*SmtRes!AK94, 2)</f>
        <v>0</v>
      </c>
      <c r="U53">
        <v>3</v>
      </c>
      <c r="Z53">
        <f>SmtRes!X94</f>
        <v>-31802417</v>
      </c>
      <c r="AA53">
        <v>1057528375</v>
      </c>
      <c r="AB53">
        <v>-2009841352</v>
      </c>
    </row>
    <row r="54" spans="1:28" x14ac:dyDescent="0.2">
      <c r="A54">
        <f>Source!A167</f>
        <v>17</v>
      </c>
      <c r="B54">
        <v>167</v>
      </c>
      <c r="C54">
        <v>3</v>
      </c>
      <c r="D54">
        <f>Source!BI167</f>
        <v>2</v>
      </c>
      <c r="E54">
        <f>Source!FS167</f>
        <v>0</v>
      </c>
      <c r="F54" t="str">
        <f>Source!F167</f>
        <v>509-5892</v>
      </c>
      <c r="G54" t="str">
        <f>Source!G167</f>
        <v>Зажим плашечный соединительный ПА 2-2</v>
      </c>
      <c r="H54" t="str">
        <f>Source!H167</f>
        <v>шт.</v>
      </c>
      <c r="I54">
        <f>Source!I167</f>
        <v>3</v>
      </c>
      <c r="J54">
        <v>1</v>
      </c>
      <c r="K54">
        <f>Source!AC167</f>
        <v>6.89</v>
      </c>
      <c r="M54">
        <f>ROUND(K54*I54, 2)</f>
        <v>20.67</v>
      </c>
      <c r="N54">
        <f>Source!AC167*IF(Source!BC167&lt;&gt; 0, Source!BC167, 1)</f>
        <v>73.929699999999997</v>
      </c>
      <c r="O54">
        <f>ROUND(N54*I54, 2)</f>
        <v>221.79</v>
      </c>
      <c r="P54">
        <f>Source!AE167</f>
        <v>0</v>
      </c>
      <c r="R54">
        <f>ROUND(P54*I54, 2)</f>
        <v>0</v>
      </c>
      <c r="S54">
        <f>Source!AE167*IF(Source!BS167&lt;&gt; 0, Source!BS167, 1)</f>
        <v>0</v>
      </c>
      <c r="T54">
        <f>ROUND(S54*I54, 2)</f>
        <v>0</v>
      </c>
      <c r="U54">
        <v>3</v>
      </c>
      <c r="Z54">
        <f>Source!GF167</f>
        <v>-939521780</v>
      </c>
      <c r="AA54">
        <v>877308479</v>
      </c>
      <c r="AB54">
        <v>1121326229</v>
      </c>
    </row>
    <row r="55" spans="1:28" x14ac:dyDescent="0.2">
      <c r="A55">
        <f>Source!A168</f>
        <v>17</v>
      </c>
      <c r="B55">
        <v>168</v>
      </c>
      <c r="C55">
        <v>3</v>
      </c>
      <c r="D55">
        <f>Source!BI168</f>
        <v>2</v>
      </c>
      <c r="E55">
        <f>Source!FS168</f>
        <v>0</v>
      </c>
      <c r="F55" t="str">
        <f>Source!F168</f>
        <v>502-0860</v>
      </c>
      <c r="G55" t="str">
        <f>Source!G168</f>
        <v>Провода самонесущие изолированные для воздушных линий электропередачи с алюминиевыми жилами марки СИП-3 1х70-20</v>
      </c>
      <c r="H55" t="str">
        <f>Source!H168</f>
        <v>1000 м</v>
      </c>
      <c r="I55">
        <f>Source!I168</f>
        <v>2.1000000000000001E-2</v>
      </c>
      <c r="J55">
        <v>1</v>
      </c>
      <c r="K55">
        <f>Source!AC168</f>
        <v>23908.94</v>
      </c>
      <c r="M55">
        <f>ROUND(K55*I55, 2)</f>
        <v>502.09</v>
      </c>
      <c r="N55">
        <f>Source!AC168*IF(Source!BC168&lt;&gt; 0, Source!BC168, 1)</f>
        <v>90375.793199999986</v>
      </c>
      <c r="O55">
        <f>ROUND(N55*I55, 2)</f>
        <v>1897.89</v>
      </c>
      <c r="P55">
        <f>Source!AE168</f>
        <v>0</v>
      </c>
      <c r="R55">
        <f>ROUND(P55*I55, 2)</f>
        <v>0</v>
      </c>
      <c r="S55">
        <f>Source!AE168*IF(Source!BS168&lt;&gt; 0, Source!BS168, 1)</f>
        <v>0</v>
      </c>
      <c r="T55">
        <f>ROUND(S55*I55, 2)</f>
        <v>0</v>
      </c>
      <c r="U55">
        <v>3</v>
      </c>
      <c r="Z55">
        <f>Source!GF168</f>
        <v>-497340706</v>
      </c>
      <c r="AA55">
        <v>-302277833</v>
      </c>
      <c r="AB55">
        <v>1261187974</v>
      </c>
    </row>
    <row r="56" spans="1:28" x14ac:dyDescent="0.2">
      <c r="A56">
        <f>Source!A169</f>
        <v>17</v>
      </c>
      <c r="B56">
        <v>169</v>
      </c>
      <c r="C56">
        <v>3</v>
      </c>
      <c r="D56">
        <f>Source!BI169</f>
        <v>1</v>
      </c>
      <c r="E56">
        <f>Source!FS169</f>
        <v>0</v>
      </c>
      <c r="F56" t="str">
        <f>Source!F169</f>
        <v>111-3249</v>
      </c>
      <c r="G56" t="str">
        <f>Source!G169</f>
        <v>Наконечник изолированный алюминиевый с медной клеммой (СИП) CPTAU 70</v>
      </c>
      <c r="H56" t="str">
        <f>Source!H169</f>
        <v>шт.</v>
      </c>
      <c r="I56">
        <f>Source!I169</f>
        <v>6</v>
      </c>
      <c r="J56">
        <v>1</v>
      </c>
      <c r="K56">
        <f>Source!AC169</f>
        <v>57.83</v>
      </c>
      <c r="M56">
        <f>ROUND(K56*I56, 2)</f>
        <v>346.98</v>
      </c>
      <c r="N56">
        <f>Source!AC169*IF(Source!BC169&lt;&gt; 0, Source!BC169, 1)</f>
        <v>633.23849999999993</v>
      </c>
      <c r="O56">
        <f>ROUND(N56*I56, 2)</f>
        <v>3799.43</v>
      </c>
      <c r="P56">
        <f>Source!AE169</f>
        <v>0</v>
      </c>
      <c r="R56">
        <f>ROUND(P56*I56, 2)</f>
        <v>0</v>
      </c>
      <c r="S56">
        <f>Source!AE169*IF(Source!BS169&lt;&gt; 0, Source!BS169, 1)</f>
        <v>0</v>
      </c>
      <c r="T56">
        <f>ROUND(S56*I56, 2)</f>
        <v>0</v>
      </c>
      <c r="U56">
        <v>3</v>
      </c>
      <c r="Z56">
        <f>Source!GF169</f>
        <v>1527325796</v>
      </c>
      <c r="AA56">
        <v>1691844711</v>
      </c>
      <c r="AB56">
        <v>1399864679</v>
      </c>
    </row>
    <row r="57" spans="1:28" x14ac:dyDescent="0.2">
      <c r="A57">
        <v>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14750-EEE6-4A6C-A1F2-ADB5EEF00580}">
  <sheetPr>
    <pageSetUpPr fitToPage="1"/>
  </sheetPr>
  <dimension ref="A2:AL44"/>
  <sheetViews>
    <sheetView workbookViewId="0"/>
  </sheetViews>
  <sheetFormatPr defaultRowHeight="12.75" x14ac:dyDescent="0.2"/>
  <cols>
    <col min="1" max="1" width="18.7109375" customWidth="1"/>
    <col min="2" max="2" width="40.7109375" customWidth="1"/>
    <col min="3" max="6" width="12.7109375" customWidth="1"/>
    <col min="36" max="36" width="54.28515625" hidden="1" customWidth="1"/>
    <col min="37" max="39" width="0" hidden="1" customWidth="1"/>
  </cols>
  <sheetData>
    <row r="2" spans="1:38" ht="16.5" x14ac:dyDescent="0.2">
      <c r="A2" s="109" t="s">
        <v>592</v>
      </c>
      <c r="B2" s="110"/>
      <c r="C2" s="110"/>
      <c r="D2" s="110"/>
      <c r="E2" s="110"/>
      <c r="F2" s="110"/>
    </row>
    <row r="3" spans="1:38" ht="33" x14ac:dyDescent="0.2">
      <c r="A3" s="109" t="str">
        <f>CONCATENATE("Объект: ",IF(Source!G249&lt;&gt;"Новый объект", Source!G249, ""))</f>
        <v>Объект: Установка реклоузеров на ВЛ-6 кВ на линии №15 в п. Сосновка, Заволжье</v>
      </c>
      <c r="B3" s="110"/>
      <c r="C3" s="110"/>
      <c r="D3" s="110"/>
      <c r="E3" s="110"/>
      <c r="F3" s="110"/>
      <c r="AJ3" s="59" t="s">
        <v>593</v>
      </c>
    </row>
    <row r="4" spans="1:38" x14ac:dyDescent="0.2">
      <c r="A4" s="111" t="s">
        <v>594</v>
      </c>
      <c r="B4" s="111" t="s">
        <v>595</v>
      </c>
      <c r="C4" s="111" t="s">
        <v>596</v>
      </c>
      <c r="D4" s="111" t="s">
        <v>597</v>
      </c>
      <c r="E4" s="114" t="s">
        <v>598</v>
      </c>
      <c r="F4" s="115"/>
    </row>
    <row r="5" spans="1:38" x14ac:dyDescent="0.2">
      <c r="A5" s="112"/>
      <c r="B5" s="112"/>
      <c r="C5" s="112"/>
      <c r="D5" s="112"/>
      <c r="E5" s="116"/>
      <c r="F5" s="117"/>
    </row>
    <row r="6" spans="1:38" ht="14.25" x14ac:dyDescent="0.2">
      <c r="A6" s="113"/>
      <c r="B6" s="113"/>
      <c r="C6" s="113"/>
      <c r="D6" s="113"/>
      <c r="E6" s="24" t="s">
        <v>599</v>
      </c>
      <c r="F6" s="24" t="s">
        <v>600</v>
      </c>
    </row>
    <row r="7" spans="1:38" ht="14.25" x14ac:dyDescent="0.2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</row>
    <row r="8" spans="1:38" ht="14.25" x14ac:dyDescent="0.2">
      <c r="A8" s="105" t="s">
        <v>601</v>
      </c>
      <c r="B8" s="106"/>
      <c r="C8" s="106"/>
      <c r="D8" s="106"/>
      <c r="E8" s="106"/>
      <c r="F8" s="106"/>
    </row>
    <row r="9" spans="1:38" ht="28.5" x14ac:dyDescent="0.2">
      <c r="A9" s="62" t="s">
        <v>445</v>
      </c>
      <c r="B9" s="63" t="s">
        <v>447</v>
      </c>
      <c r="C9" s="63" t="s">
        <v>117</v>
      </c>
      <c r="D9" s="64">
        <f>ROUND(SUMIF(RV_DATA!AB6:AB56, 513487788, RV_DATA!I6:I56), 6)</f>
        <v>4.0000000000000002E-4</v>
      </c>
      <c r="E9" s="65">
        <f>ROUND(RV_DATA!N21, 2)</f>
        <v>83122.95</v>
      </c>
      <c r="F9" s="65">
        <f>ROUND(SUMIF(RV_DATA!AB6:AB56, 513487788, RV_DATA!O6:O56), 6)</f>
        <v>33.24</v>
      </c>
      <c r="AL9">
        <v>3</v>
      </c>
    </row>
    <row r="10" spans="1:38" ht="14.25" x14ac:dyDescent="0.2">
      <c r="A10" s="62" t="s">
        <v>448</v>
      </c>
      <c r="B10" s="63" t="s">
        <v>450</v>
      </c>
      <c r="C10" s="63" t="s">
        <v>117</v>
      </c>
      <c r="D10" s="64">
        <f>ROUND(SUMIF(RV_DATA!AB6:AB56, 2090751514, RV_DATA!I6:I56), 6)</f>
        <v>6.0000000000000002E-5</v>
      </c>
      <c r="E10" s="65">
        <f>ROUND(RV_DATA!N20, 2)</f>
        <v>163867.51999999999</v>
      </c>
      <c r="F10" s="65">
        <f>ROUND(SUMIF(RV_DATA!AB6:AB56, 2090751514, RV_DATA!O6:O56), 6)</f>
        <v>9.84</v>
      </c>
      <c r="AL10">
        <v>3</v>
      </c>
    </row>
    <row r="11" spans="1:38" ht="14.25" x14ac:dyDescent="0.2">
      <c r="A11" s="62" t="s">
        <v>463</v>
      </c>
      <c r="B11" s="63" t="s">
        <v>465</v>
      </c>
      <c r="C11" s="63" t="s">
        <v>117</v>
      </c>
      <c r="D11" s="64">
        <f>ROUND(SUMIF(RV_DATA!AB6:AB56, -2009841352, RV_DATA!I6:I56), 6)</f>
        <v>4.1E-5</v>
      </c>
      <c r="E11" s="65">
        <f>ROUND(RV_DATA!N36, 2)</f>
        <v>74870.41</v>
      </c>
      <c r="F11" s="65">
        <f>ROUND(SUMIF(RV_DATA!AB6:AB56, -2009841352, RV_DATA!O6:O56), 6)</f>
        <v>3.04</v>
      </c>
      <c r="AL11">
        <v>3</v>
      </c>
    </row>
    <row r="12" spans="1:38" ht="28.5" x14ac:dyDescent="0.2">
      <c r="A12" s="62" t="s">
        <v>417</v>
      </c>
      <c r="B12" s="63" t="s">
        <v>419</v>
      </c>
      <c r="C12" s="63" t="s">
        <v>117</v>
      </c>
      <c r="D12" s="64">
        <f>ROUND(SUMIF(RV_DATA!AB6:AB56, 1108209291, RV_DATA!I6:I56), 6)</f>
        <v>5.1229999999999999E-3</v>
      </c>
      <c r="E12" s="65">
        <f>ROUND(RV_DATA!N15, 2)</f>
        <v>10045.32</v>
      </c>
      <c r="F12" s="65">
        <f>ROUND(SUMIF(RV_DATA!AB6:AB56, 1108209291, RV_DATA!O6:O56), 6)</f>
        <v>51.43</v>
      </c>
      <c r="AL12">
        <v>3</v>
      </c>
    </row>
    <row r="13" spans="1:38" ht="14.25" x14ac:dyDescent="0.2">
      <c r="A13" s="62" t="s">
        <v>477</v>
      </c>
      <c r="B13" s="63" t="s">
        <v>479</v>
      </c>
      <c r="C13" s="63" t="s">
        <v>117</v>
      </c>
      <c r="D13" s="64">
        <f>ROUND(SUMIF(RV_DATA!AB6:AB56, -458246638, RV_DATA!I6:I56), 6)</f>
        <v>1.4999999999999999E-4</v>
      </c>
      <c r="E13" s="65">
        <f>ROUND(RV_DATA!N39, 2)</f>
        <v>119730</v>
      </c>
      <c r="F13" s="65">
        <f>ROUND(SUMIF(RV_DATA!AB6:AB56, -458246638, RV_DATA!O6:O56), 6)</f>
        <v>17.8</v>
      </c>
      <c r="AL13">
        <v>3</v>
      </c>
    </row>
    <row r="14" spans="1:38" ht="28.5" x14ac:dyDescent="0.2">
      <c r="A14" s="62" t="s">
        <v>227</v>
      </c>
      <c r="B14" s="63" t="s">
        <v>228</v>
      </c>
      <c r="C14" s="63" t="s">
        <v>117</v>
      </c>
      <c r="D14" s="64">
        <f>ROUND(SUMIF(RV_DATA!AB6:AB56, -1273745666, RV_DATA!I6:I56), 6)</f>
        <v>5.5574999999999999E-2</v>
      </c>
      <c r="E14" s="65">
        <f>ROUND(RV_DATA!N40, 2)</f>
        <v>83031.58</v>
      </c>
      <c r="F14" s="65">
        <f>ROUND(SUMIF(RV_DATA!AB6:AB56, -1273745666, RV_DATA!O6:O56), 6)</f>
        <v>4614.4799999999996</v>
      </c>
      <c r="AL14">
        <v>3</v>
      </c>
    </row>
    <row r="15" spans="1:38" ht="14.25" x14ac:dyDescent="0.2">
      <c r="A15" s="62" t="s">
        <v>420</v>
      </c>
      <c r="B15" s="63" t="s">
        <v>422</v>
      </c>
      <c r="C15" s="63" t="s">
        <v>423</v>
      </c>
      <c r="D15" s="64">
        <f>ROUND(SUMIF(RV_DATA!AB6:AB56, -844708560, RV_DATA!I6:I56), 6)</f>
        <v>2.2768E-2</v>
      </c>
      <c r="E15" s="65">
        <f>ROUND(RV_DATA!N14, 2)</f>
        <v>464.46</v>
      </c>
      <c r="F15" s="65">
        <f>ROUND(SUMIF(RV_DATA!AB6:AB56, -844708560, RV_DATA!O6:O56), 6)</f>
        <v>10.57</v>
      </c>
      <c r="AL15">
        <v>3</v>
      </c>
    </row>
    <row r="16" spans="1:38" ht="14.25" x14ac:dyDescent="0.2">
      <c r="A16" s="62" t="s">
        <v>497</v>
      </c>
      <c r="B16" s="63" t="s">
        <v>499</v>
      </c>
      <c r="C16" s="63" t="s">
        <v>117</v>
      </c>
      <c r="D16" s="64">
        <f>ROUND(SUMIF(RV_DATA!AB6:AB56, -436926563, RV_DATA!I6:I56), 6)</f>
        <v>3.0000000000000001E-6</v>
      </c>
      <c r="E16" s="65">
        <f>ROUND(RV_DATA!N52, 2)</f>
        <v>98918.399999999994</v>
      </c>
      <c r="F16" s="65">
        <f>ROUND(SUMIF(RV_DATA!AB6:AB56, -436926563, RV_DATA!O6:O56), 6)</f>
        <v>0.32</v>
      </c>
      <c r="AL16">
        <v>3</v>
      </c>
    </row>
    <row r="17" spans="1:38" ht="14.25" x14ac:dyDescent="0.2">
      <c r="A17" s="62" t="s">
        <v>451</v>
      </c>
      <c r="B17" s="63" t="s">
        <v>453</v>
      </c>
      <c r="C17" s="63" t="s">
        <v>139</v>
      </c>
      <c r="D17" s="64">
        <f>ROUND(SUMIF(RV_DATA!AB6:AB56, 1926936468, RV_DATA!I6:I56), 6)</f>
        <v>4.2500000000000003E-2</v>
      </c>
      <c r="E17" s="65">
        <f>ROUND(RV_DATA!N19, 2)</f>
        <v>27.37</v>
      </c>
      <c r="F17" s="65">
        <f>ROUND(SUMIF(RV_DATA!AB6:AB56, 1926936468, RV_DATA!O6:O56), 6)</f>
        <v>1.2</v>
      </c>
      <c r="AL17">
        <v>3</v>
      </c>
    </row>
    <row r="18" spans="1:38" ht="14.25" x14ac:dyDescent="0.2">
      <c r="A18" s="62" t="s">
        <v>424</v>
      </c>
      <c r="B18" s="63" t="s">
        <v>426</v>
      </c>
      <c r="C18" s="63" t="s">
        <v>139</v>
      </c>
      <c r="D18" s="64">
        <f>ROUND(SUMIF(RV_DATA!AB6:AB56, 280888119, RV_DATA!I6:I56), 6)</f>
        <v>0.20053199999999999</v>
      </c>
      <c r="E18" s="65">
        <f>ROUND(RV_DATA!N13, 2)</f>
        <v>121.82</v>
      </c>
      <c r="F18" s="65">
        <f>ROUND(SUMIF(RV_DATA!AB6:AB56, 280888119, RV_DATA!O6:O56), 6)</f>
        <v>24.46</v>
      </c>
      <c r="AL18">
        <v>3</v>
      </c>
    </row>
    <row r="19" spans="1:38" ht="28.5" x14ac:dyDescent="0.2">
      <c r="A19" s="62" t="s">
        <v>427</v>
      </c>
      <c r="B19" s="63" t="s">
        <v>116</v>
      </c>
      <c r="C19" s="63" t="s">
        <v>139</v>
      </c>
      <c r="D19" s="64">
        <f>ROUND(SUMIF(RV_DATA!AB6:AB56, 1334651650, RV_DATA!I6:I56), 6)</f>
        <v>0.76841999999999999</v>
      </c>
      <c r="E19" s="65">
        <f>ROUND(RV_DATA!N12, 2)</f>
        <v>288.5</v>
      </c>
      <c r="F19" s="65">
        <f>ROUND(SUMIF(RV_DATA!AB6:AB56, 1334651650, RV_DATA!O6:O56), 6)</f>
        <v>221.62</v>
      </c>
      <c r="AL19">
        <v>3</v>
      </c>
    </row>
    <row r="20" spans="1:38" ht="14.25" x14ac:dyDescent="0.2">
      <c r="A20" s="62" t="s">
        <v>454</v>
      </c>
      <c r="B20" s="63" t="s">
        <v>456</v>
      </c>
      <c r="C20" s="63" t="s">
        <v>139</v>
      </c>
      <c r="D20" s="64">
        <f>ROUND(SUMIF(RV_DATA!AB6:AB56, 1099975433, RV_DATA!I6:I56), 6)</f>
        <v>0.20499999999999999</v>
      </c>
      <c r="E20" s="65">
        <f>ROUND(RV_DATA!N18, 2)</f>
        <v>238.6</v>
      </c>
      <c r="F20" s="65">
        <f>ROUND(SUMIF(RV_DATA!AB6:AB56, 1099975433, RV_DATA!O6:O56), 6)</f>
        <v>48.8</v>
      </c>
      <c r="AL20">
        <v>3</v>
      </c>
    </row>
    <row r="21" spans="1:38" ht="14.25" x14ac:dyDescent="0.2">
      <c r="A21" s="62" t="s">
        <v>264</v>
      </c>
      <c r="B21" s="63" t="s">
        <v>265</v>
      </c>
      <c r="C21" s="63" t="s">
        <v>117</v>
      </c>
      <c r="D21" s="64">
        <f>ROUND(SUMIF(RV_DATA!AB6:AB56, 1986113436, RV_DATA!I6:I56), 6)</f>
        <v>3.3345E-2</v>
      </c>
      <c r="E21" s="65">
        <f>ROUND(RV_DATA!N44, 2)</f>
        <v>88436.84</v>
      </c>
      <c r="F21" s="65">
        <f>ROUND(SUMIF(RV_DATA!AB6:AB56, 1986113436, RV_DATA!O6:O56), 6)</f>
        <v>2948.93</v>
      </c>
      <c r="AL21">
        <v>3</v>
      </c>
    </row>
    <row r="22" spans="1:38" ht="28.5" x14ac:dyDescent="0.2">
      <c r="A22" s="62" t="s">
        <v>184</v>
      </c>
      <c r="B22" s="63" t="s">
        <v>185</v>
      </c>
      <c r="C22" s="63" t="s">
        <v>126</v>
      </c>
      <c r="D22" s="64">
        <f>ROUND(SUMIF(RV_DATA!AB6:AB56, -1018128656, RV_DATA!I6:I56), 6)</f>
        <v>3</v>
      </c>
      <c r="E22" s="65">
        <f>ROUND(RV_DATA!N28, 2)</f>
        <v>181.94</v>
      </c>
      <c r="F22" s="65">
        <f>ROUND(SUMIF(RV_DATA!AB6:AB56, -1018128656, RV_DATA!O6:O56), 6)</f>
        <v>545.82000000000005</v>
      </c>
      <c r="AL22">
        <v>3</v>
      </c>
    </row>
    <row r="23" spans="1:38" ht="42.75" x14ac:dyDescent="0.2">
      <c r="A23" s="62" t="s">
        <v>173</v>
      </c>
      <c r="B23" s="63" t="s">
        <v>174</v>
      </c>
      <c r="C23" s="63" t="s">
        <v>126</v>
      </c>
      <c r="D23" s="64">
        <f>ROUND(SUMIF(RV_DATA!AB6:AB56, 1528588727, RV_DATA!I6:I56), 6)</f>
        <v>3</v>
      </c>
      <c r="E23" s="65">
        <f>ROUND(RV_DATA!N26, 2)</f>
        <v>291.39</v>
      </c>
      <c r="F23" s="65">
        <f>ROUND(SUMIF(RV_DATA!AB6:AB56, 1528588727, RV_DATA!O6:O56), 6)</f>
        <v>874.17</v>
      </c>
      <c r="AL23">
        <v>3</v>
      </c>
    </row>
    <row r="24" spans="1:38" ht="42.75" x14ac:dyDescent="0.2">
      <c r="A24" s="62" t="s">
        <v>192</v>
      </c>
      <c r="B24" s="63" t="s">
        <v>193</v>
      </c>
      <c r="C24" s="63" t="s">
        <v>126</v>
      </c>
      <c r="D24" s="64">
        <f>ROUND(SUMIF(RV_DATA!AB6:AB56, -1190233930, RV_DATA!I6:I56), 6)</f>
        <v>6</v>
      </c>
      <c r="E24" s="65">
        <f>ROUND(RV_DATA!N30, 2)</f>
        <v>1743.67</v>
      </c>
      <c r="F24" s="65">
        <f>ROUND(SUMIF(RV_DATA!AB6:AB56, -1190233930, RV_DATA!O6:O56), 6)</f>
        <v>10462.01</v>
      </c>
      <c r="AL24">
        <v>3</v>
      </c>
    </row>
    <row r="25" spans="1:38" ht="42.75" x14ac:dyDescent="0.2">
      <c r="A25" s="62" t="s">
        <v>314</v>
      </c>
      <c r="B25" s="63" t="s">
        <v>315</v>
      </c>
      <c r="C25" s="63" t="s">
        <v>126</v>
      </c>
      <c r="D25" s="64">
        <f>ROUND(SUMIF(RV_DATA!AB6:AB56, 1399864679, RV_DATA!I6:I56), 6)</f>
        <v>6</v>
      </c>
      <c r="E25" s="65">
        <f>ROUND(RV_DATA!N56, 2)</f>
        <v>633.24</v>
      </c>
      <c r="F25" s="65">
        <f>ROUND(SUMIF(RV_DATA!AB6:AB56, 1399864679, RV_DATA!O6:O56), 6)</f>
        <v>3799.43</v>
      </c>
      <c r="AL25">
        <v>3</v>
      </c>
    </row>
    <row r="26" spans="1:38" ht="14.25" x14ac:dyDescent="0.2">
      <c r="A26" s="62" t="s">
        <v>457</v>
      </c>
      <c r="B26" s="63" t="s">
        <v>459</v>
      </c>
      <c r="C26" s="63" t="s">
        <v>117</v>
      </c>
      <c r="D26" s="64">
        <f>ROUND(SUMIF(RV_DATA!AB6:AB56, -92041477, RV_DATA!I6:I56), 6)</f>
        <v>2.0000000000000001E-4</v>
      </c>
      <c r="E26" s="65">
        <f>ROUND(RV_DATA!N17, 2)</f>
        <v>85854.59</v>
      </c>
      <c r="F26" s="65">
        <f>ROUND(SUMIF(RV_DATA!AB6:AB56, -92041477, RV_DATA!O6:O56), 6)</f>
        <v>17.260000000000002</v>
      </c>
      <c r="AL26">
        <v>3</v>
      </c>
    </row>
    <row r="27" spans="1:38" ht="14.25" x14ac:dyDescent="0.2">
      <c r="A27" s="62" t="s">
        <v>488</v>
      </c>
      <c r="B27" s="63" t="s">
        <v>490</v>
      </c>
      <c r="C27" s="63" t="s">
        <v>117</v>
      </c>
      <c r="D27" s="64">
        <f>ROUND(SUMIF(RV_DATA!AB6:AB56, 1752246270, RV_DATA!I6:I56), 6)</f>
        <v>3.3300000000000002E-4</v>
      </c>
      <c r="E27" s="65">
        <f>ROUND(RV_DATA!N42, 2)</f>
        <v>77557.919999999998</v>
      </c>
      <c r="F27" s="65">
        <f>ROUND(SUMIF(RV_DATA!AB6:AB56, 1752246270, RV_DATA!O6:O56), 6)</f>
        <v>25.8</v>
      </c>
      <c r="AL27">
        <v>3</v>
      </c>
    </row>
    <row r="28" spans="1:38" ht="42.75" x14ac:dyDescent="0.2">
      <c r="A28" s="62" t="s">
        <v>429</v>
      </c>
      <c r="B28" s="63" t="s">
        <v>431</v>
      </c>
      <c r="C28" s="63" t="s">
        <v>117</v>
      </c>
      <c r="D28" s="64">
        <f>ROUND(SUMIF(RV_DATA!AB6:AB56, -1567632015, RV_DATA!I6:I56), 6)</f>
        <v>2.8459999999999999E-2</v>
      </c>
      <c r="E28" s="65">
        <f>ROUND(RV_DATA!N11, 2)</f>
        <v>125245.82</v>
      </c>
      <c r="F28" s="65">
        <f>ROUND(SUMIF(RV_DATA!AB6:AB56, -1567632015, RV_DATA!O6:O56), 6)</f>
        <v>3564.51</v>
      </c>
      <c r="AL28">
        <v>3</v>
      </c>
    </row>
    <row r="29" spans="1:38" ht="14.25" x14ac:dyDescent="0.2">
      <c r="A29" s="62" t="s">
        <v>165</v>
      </c>
      <c r="B29" s="63" t="s">
        <v>166</v>
      </c>
      <c r="C29" s="63" t="s">
        <v>139</v>
      </c>
      <c r="D29" s="64">
        <f>ROUND(SUMIF(RV_DATA!AB6:AB56, -969601686, RV_DATA!I6:I56), 6)</f>
        <v>2.36</v>
      </c>
      <c r="E29" s="65">
        <f>ROUND(RV_DATA!N24, 2)</f>
        <v>71.88</v>
      </c>
      <c r="F29" s="65">
        <f>ROUND(SUMIF(RV_DATA!AB6:AB56, -969601686, RV_DATA!O6:O56), 6)</f>
        <v>169.64</v>
      </c>
      <c r="AL29">
        <v>3</v>
      </c>
    </row>
    <row r="30" spans="1:38" ht="28.5" x14ac:dyDescent="0.2">
      <c r="A30" s="62" t="s">
        <v>161</v>
      </c>
      <c r="B30" s="63" t="s">
        <v>162</v>
      </c>
      <c r="C30" s="63" t="s">
        <v>117</v>
      </c>
      <c r="D30" s="64">
        <f>ROUND(SUMIF(RV_DATA!AB6:AB56, -537919849, RV_DATA!I6:I56), 6)</f>
        <v>2.8459999999999999E-2</v>
      </c>
      <c r="E30" s="65">
        <f>ROUND(RV_DATA!N23, 2)</f>
        <v>251795.12</v>
      </c>
      <c r="F30" s="65">
        <f>ROUND(SUMIF(RV_DATA!AB6:AB56, -537919849, RV_DATA!O6:O56), 6)</f>
        <v>7166.09</v>
      </c>
      <c r="AL30">
        <v>3</v>
      </c>
    </row>
    <row r="31" spans="1:38" ht="28.5" x14ac:dyDescent="0.2">
      <c r="A31" s="62" t="s">
        <v>169</v>
      </c>
      <c r="B31" s="63" t="s">
        <v>170</v>
      </c>
      <c r="C31" s="63" t="s">
        <v>117</v>
      </c>
      <c r="D31" s="64">
        <f>ROUND(SUMIF(RV_DATA!AB6:AB56, 371618959, RV_DATA!I6:I56), 6)</f>
        <v>1.0338E-2</v>
      </c>
      <c r="E31" s="65">
        <f>ROUND(RV_DATA!N25, 2)</f>
        <v>71059.59</v>
      </c>
      <c r="F31" s="65">
        <f>ROUND(SUMIF(RV_DATA!AB6:AB56, 371618959, RV_DATA!O6:O56), 6)</f>
        <v>734.62</v>
      </c>
      <c r="AL31">
        <v>3</v>
      </c>
    </row>
    <row r="32" spans="1:38" ht="42.75" x14ac:dyDescent="0.2">
      <c r="A32" s="62" t="s">
        <v>154</v>
      </c>
      <c r="B32" s="63" t="s">
        <v>155</v>
      </c>
      <c r="C32" s="63" t="s">
        <v>126</v>
      </c>
      <c r="D32" s="64">
        <f>ROUND(SUMIF(RV_DATA!AB6:AB56, 1258684363, RV_DATA!I6:I56), 6)</f>
        <v>2</v>
      </c>
      <c r="E32" s="65">
        <f>ROUND(RV_DATA!N22, 2)</f>
        <v>19311.82</v>
      </c>
      <c r="F32" s="65">
        <f>ROUND(SUMIF(RV_DATA!AB6:AB56, 1258684363, RV_DATA!O6:O56), 6)</f>
        <v>38623.629999999997</v>
      </c>
      <c r="AL32">
        <v>3</v>
      </c>
    </row>
    <row r="33" spans="1:38" ht="28.5" x14ac:dyDescent="0.2">
      <c r="A33" s="62" t="s">
        <v>432</v>
      </c>
      <c r="B33" s="63" t="s">
        <v>434</v>
      </c>
      <c r="C33" s="63" t="s">
        <v>435</v>
      </c>
      <c r="D33" s="64">
        <f>ROUND(SUMIF(RV_DATA!AB6:AB56, 1589826181, RV_DATA!I6:I56), 6)</f>
        <v>4.2690000000000002E-3</v>
      </c>
      <c r="E33" s="65">
        <f>ROUND(RV_DATA!N10, 2)</f>
        <v>975.05</v>
      </c>
      <c r="F33" s="65">
        <f>ROUND(SUMIF(RV_DATA!AB6:AB56, 1589826181, RV_DATA!O6:O56), 6)</f>
        <v>4.2</v>
      </c>
      <c r="AL33">
        <v>3</v>
      </c>
    </row>
    <row r="34" spans="1:38" ht="57" x14ac:dyDescent="0.2">
      <c r="A34" s="62" t="s">
        <v>308</v>
      </c>
      <c r="B34" s="63" t="s">
        <v>309</v>
      </c>
      <c r="C34" s="63" t="s">
        <v>310</v>
      </c>
      <c r="D34" s="64">
        <f>ROUND(SUMIF(RV_DATA!AB6:AB56, 1261187974, RV_DATA!I6:I56), 6)</f>
        <v>2.1000000000000001E-2</v>
      </c>
      <c r="E34" s="65">
        <f>ROUND(RV_DATA!N55, 2)</f>
        <v>90375.79</v>
      </c>
      <c r="F34" s="65">
        <f>ROUND(SUMIF(RV_DATA!AB6:AB56, 1261187974, RV_DATA!O6:O56), 6)</f>
        <v>1897.89</v>
      </c>
      <c r="AL34">
        <v>3</v>
      </c>
    </row>
    <row r="35" spans="1:38" ht="28.5" x14ac:dyDescent="0.2">
      <c r="A35" s="62" t="s">
        <v>500</v>
      </c>
      <c r="B35" s="63" t="s">
        <v>502</v>
      </c>
      <c r="C35" s="63" t="s">
        <v>117</v>
      </c>
      <c r="D35" s="64">
        <f>ROUND(SUMIF(RV_DATA!AB6:AB56, -507964173, RV_DATA!I6:I56), 6)</f>
        <v>1E-4</v>
      </c>
      <c r="E35" s="65">
        <f>ROUND(RV_DATA!N49, 2)</f>
        <v>536850.30000000005</v>
      </c>
      <c r="F35" s="65">
        <f>ROUND(SUMIF(RV_DATA!AB6:AB56, -507964173, RV_DATA!O6:O56), 6)</f>
        <v>53.64</v>
      </c>
      <c r="AL35">
        <v>3</v>
      </c>
    </row>
    <row r="36" spans="1:38" ht="42.75" x14ac:dyDescent="0.2">
      <c r="A36" s="62" t="s">
        <v>503</v>
      </c>
      <c r="B36" s="63" t="s">
        <v>505</v>
      </c>
      <c r="C36" s="63" t="s">
        <v>126</v>
      </c>
      <c r="D36" s="64">
        <f>ROUND(SUMIF(RV_DATA!AB6:AB56, -1596865719, RV_DATA!I6:I56), 6)</f>
        <v>0.17</v>
      </c>
      <c r="E36" s="65">
        <f>ROUND(RV_DATA!N48, 2)</f>
        <v>688.54</v>
      </c>
      <c r="F36" s="65">
        <f>ROUND(SUMIF(RV_DATA!AB6:AB56, -1596865719, RV_DATA!O6:O56), 6)</f>
        <v>117.03</v>
      </c>
      <c r="AL36">
        <v>3</v>
      </c>
    </row>
    <row r="37" spans="1:38" ht="14.25" x14ac:dyDescent="0.2">
      <c r="A37" s="62" t="s">
        <v>460</v>
      </c>
      <c r="B37" s="63" t="s">
        <v>462</v>
      </c>
      <c r="C37" s="63" t="s">
        <v>126</v>
      </c>
      <c r="D37" s="64">
        <f>ROUND(SUMIF(RV_DATA!AB6:AB56, 1171172368, RV_DATA!I6:I56), 6)</f>
        <v>6</v>
      </c>
      <c r="E37" s="65">
        <f>ROUND(RV_DATA!N16, 2)</f>
        <v>15.19</v>
      </c>
      <c r="F37" s="65">
        <f>ROUND(SUMIF(RV_DATA!AB6:AB56, 1171172368, RV_DATA!O6:O56), 6)</f>
        <v>91.14</v>
      </c>
      <c r="AL37">
        <v>3</v>
      </c>
    </row>
    <row r="38" spans="1:38" ht="14.25" x14ac:dyDescent="0.2">
      <c r="A38" s="62" t="s">
        <v>177</v>
      </c>
      <c r="B38" s="63" t="s">
        <v>178</v>
      </c>
      <c r="C38" s="63" t="s">
        <v>126</v>
      </c>
      <c r="D38" s="64">
        <f>ROUND(SUMIF(RV_DATA!AB6:AB56, 323588553, RV_DATA!I6:I56), 6)</f>
        <v>3</v>
      </c>
      <c r="E38" s="65">
        <f>ROUND(RV_DATA!N27, 2)</f>
        <v>752.57</v>
      </c>
      <c r="F38" s="65">
        <f>ROUND(SUMIF(RV_DATA!AB6:AB56, 323588553, RV_DATA!O6:O56), 6)</f>
        <v>2257.6999999999998</v>
      </c>
      <c r="AL38">
        <v>3</v>
      </c>
    </row>
    <row r="39" spans="1:38" ht="14.25" x14ac:dyDescent="0.2">
      <c r="A39" s="62" t="s">
        <v>188</v>
      </c>
      <c r="B39" s="63" t="s">
        <v>189</v>
      </c>
      <c r="C39" s="63" t="s">
        <v>126</v>
      </c>
      <c r="D39" s="64">
        <f>ROUND(SUMIF(RV_DATA!AB6:AB56, 651493885, RV_DATA!I6:I56), 6)</f>
        <v>3</v>
      </c>
      <c r="E39" s="65">
        <f>ROUND(RV_DATA!N29, 2)</f>
        <v>179.6</v>
      </c>
      <c r="F39" s="65">
        <f>ROUND(SUMIF(RV_DATA!AB6:AB56, 651493885, RV_DATA!O6:O56), 6)</f>
        <v>538.79</v>
      </c>
      <c r="AL39">
        <v>3</v>
      </c>
    </row>
    <row r="40" spans="1:38" ht="28.5" x14ac:dyDescent="0.2">
      <c r="A40" s="62" t="s">
        <v>304</v>
      </c>
      <c r="B40" s="63" t="s">
        <v>305</v>
      </c>
      <c r="C40" s="63" t="s">
        <v>126</v>
      </c>
      <c r="D40" s="64">
        <f>ROUND(SUMIF(RV_DATA!AB6:AB56, 1121326229, RV_DATA!I6:I56), 6)</f>
        <v>3</v>
      </c>
      <c r="E40" s="65">
        <f>ROUND(RV_DATA!N54, 2)</f>
        <v>73.930000000000007</v>
      </c>
      <c r="F40" s="65">
        <f>ROUND(SUMIF(RV_DATA!AB6:AB56, 1121326229, RV_DATA!O6:O56), 6)</f>
        <v>221.79</v>
      </c>
      <c r="AL40">
        <v>3</v>
      </c>
    </row>
    <row r="41" spans="1:38" ht="28.5" x14ac:dyDescent="0.2">
      <c r="A41" s="62" t="s">
        <v>196</v>
      </c>
      <c r="B41" s="63" t="s">
        <v>197</v>
      </c>
      <c r="C41" s="63" t="s">
        <v>126</v>
      </c>
      <c r="D41" s="64">
        <f>ROUND(SUMIF(RV_DATA!AB6:AB56, -157471096, RV_DATA!I6:I56), 6)</f>
        <v>6</v>
      </c>
      <c r="E41" s="65">
        <f>ROUND(RV_DATA!N31, 2)</f>
        <v>145.33000000000001</v>
      </c>
      <c r="F41" s="65">
        <f>ROUND(SUMIF(RV_DATA!AB6:AB56, -157471096, RV_DATA!O6:O56), 6)</f>
        <v>871.98</v>
      </c>
      <c r="AL41">
        <v>3</v>
      </c>
    </row>
    <row r="42" spans="1:38" ht="28.5" x14ac:dyDescent="0.2">
      <c r="A42" s="62" t="s">
        <v>436</v>
      </c>
      <c r="B42" s="63" t="s">
        <v>438</v>
      </c>
      <c r="C42" s="63" t="s">
        <v>439</v>
      </c>
      <c r="D42" s="64">
        <f>ROUND(SUMIF(RV_DATA!AB6:AB56, 1992150135, RV_DATA!I6:I56), 6)</f>
        <v>0.58098300000000003</v>
      </c>
      <c r="E42" s="65">
        <f>ROUND(RV_DATA!N9, 2)</f>
        <v>1</v>
      </c>
      <c r="F42" s="65">
        <f>ROUND(SUMIF(RV_DATA!AB6:AB56, 1992150135, RV_DATA!O6:O56), 6)</f>
        <v>0.57999999999999996</v>
      </c>
      <c r="AL42">
        <v>3</v>
      </c>
    </row>
    <row r="43" spans="1:38" ht="14.25" x14ac:dyDescent="0.2">
      <c r="A43" s="62" t="s">
        <v>200</v>
      </c>
      <c r="B43" s="63" t="s">
        <v>201</v>
      </c>
      <c r="C43" s="63" t="s">
        <v>126</v>
      </c>
      <c r="D43" s="64">
        <f>ROUND(SUMIF(RV_DATA!AB6:AB56, -2064534955, RV_DATA!I6:I56), 6)</f>
        <v>1</v>
      </c>
      <c r="E43" s="65">
        <f>ROUND(RV_DATA!N32, 2)</f>
        <v>583.33000000000004</v>
      </c>
      <c r="F43" s="65">
        <f>ROUND(SUMIF(RV_DATA!AB6:AB56, -2064534955, RV_DATA!O6:O56), 6)</f>
        <v>583.33000000000004</v>
      </c>
      <c r="AL43">
        <v>3</v>
      </c>
    </row>
    <row r="44" spans="1:38" ht="15" x14ac:dyDescent="0.25">
      <c r="A44" s="107" t="s">
        <v>602</v>
      </c>
      <c r="B44" s="107"/>
      <c r="C44" s="107"/>
      <c r="D44" s="107"/>
      <c r="E44" s="108">
        <f>SUMIF(AL9:AL43, 3, F9:F43)</f>
        <v>80606.77999999997</v>
      </c>
      <c r="F44" s="107"/>
    </row>
  </sheetData>
  <sortState xmlns:xlrd2="http://schemas.microsoft.com/office/spreadsheetml/2017/richdata2" ref="A9:AL43">
    <sortCondition ref="A9"/>
  </sortState>
  <mergeCells count="10">
    <mergeCell ref="A8:F8"/>
    <mergeCell ref="A44:D44"/>
    <mergeCell ref="E44:F44"/>
    <mergeCell ref="A2:F2"/>
    <mergeCell ref="A3:F3"/>
    <mergeCell ref="A4:A6"/>
    <mergeCell ref="B4:B6"/>
    <mergeCell ref="C4:C6"/>
    <mergeCell ref="D4:D6"/>
    <mergeCell ref="E4:F5"/>
  </mergeCells>
  <pageMargins left="0.6" right="0.4" top="0.65" bottom="0.4" header="0.4" footer="0.4"/>
  <pageSetup paperSize="9" scale="85" fitToHeight="0" orientation="portrait" verticalDpi="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393D9-49B8-469C-9554-11FEE3B378D9}">
  <dimension ref="A1:AM293"/>
  <sheetViews>
    <sheetView zoomScale="95" zoomScaleNormal="95" workbookViewId="0"/>
  </sheetViews>
  <sheetFormatPr defaultRowHeight="12.75" x14ac:dyDescent="0.2"/>
  <cols>
    <col min="1" max="2" width="5.7109375" customWidth="1"/>
    <col min="3" max="3" width="11.7109375" customWidth="1"/>
    <col min="4" max="4" width="40.7109375" customWidth="1"/>
    <col min="5" max="6" width="10.7109375" customWidth="1"/>
    <col min="7" max="9" width="12.7109375" customWidth="1"/>
    <col min="10" max="10" width="17.7109375" customWidth="1"/>
    <col min="11" max="11" width="8.7109375" customWidth="1"/>
    <col min="12" max="12" width="12.7109375" customWidth="1"/>
    <col min="13" max="13" width="8.7109375" customWidth="1"/>
    <col min="15" max="29" width="0" hidden="1" customWidth="1"/>
    <col min="30" max="30" width="110.7109375" hidden="1" customWidth="1"/>
    <col min="31" max="31" width="165.7109375" hidden="1" customWidth="1"/>
    <col min="32" max="32" width="144.7109375" hidden="1" customWidth="1"/>
    <col min="33" max="33" width="96.7109375" hidden="1" customWidth="1"/>
    <col min="34" max="38" width="0" hidden="1" customWidth="1"/>
    <col min="39" max="39" width="76.7109375" hidden="1" customWidth="1"/>
  </cols>
  <sheetData>
    <row r="1" spans="1:30" x14ac:dyDescent="0.2">
      <c r="A1" s="9" t="str">
        <f>Source!B1</f>
        <v>Smeta.RU  (495) 974-1589</v>
      </c>
    </row>
    <row r="2" spans="1:30" ht="15" x14ac:dyDescent="0.25">
      <c r="A2" s="11"/>
      <c r="B2" s="11"/>
      <c r="C2" s="11"/>
      <c r="D2" s="46"/>
      <c r="E2" s="46"/>
      <c r="F2" s="46"/>
      <c r="G2" s="11"/>
      <c r="H2" s="11"/>
      <c r="I2" s="11"/>
      <c r="J2" s="131" t="s">
        <v>603</v>
      </c>
      <c r="K2" s="131"/>
      <c r="L2" s="131"/>
      <c r="M2" s="131"/>
    </row>
    <row r="3" spans="1:30" ht="14.25" x14ac:dyDescent="0.2">
      <c r="A3" s="11"/>
      <c r="B3" s="11"/>
      <c r="C3" s="11"/>
      <c r="D3" s="11"/>
      <c r="E3" s="11"/>
      <c r="F3" s="11"/>
      <c r="G3" s="11"/>
      <c r="H3" s="11"/>
      <c r="I3" s="131" t="s">
        <v>604</v>
      </c>
      <c r="J3" s="132"/>
      <c r="K3" s="132"/>
      <c r="L3" s="132"/>
      <c r="M3" s="132"/>
    </row>
    <row r="4" spans="1:30" ht="14.25" x14ac:dyDescent="0.2">
      <c r="A4" s="11"/>
      <c r="B4" s="11"/>
      <c r="C4" s="11"/>
      <c r="D4" s="11"/>
      <c r="E4" s="11"/>
      <c r="F4" s="11"/>
      <c r="G4" s="11"/>
      <c r="H4" s="11"/>
      <c r="I4" s="11"/>
      <c r="J4" s="131" t="s">
        <v>605</v>
      </c>
      <c r="K4" s="131"/>
      <c r="L4" s="131"/>
      <c r="M4" s="131"/>
    </row>
    <row r="5" spans="1:30" ht="14.2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30" ht="14.2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22" t="s">
        <v>606</v>
      </c>
      <c r="L6" s="122"/>
      <c r="M6" s="122"/>
    </row>
    <row r="7" spans="1:30" ht="14.25" x14ac:dyDescent="0.2">
      <c r="A7" s="11"/>
      <c r="B7" s="11"/>
      <c r="C7" s="11"/>
      <c r="D7" s="11"/>
      <c r="E7" s="11"/>
      <c r="F7" s="11"/>
      <c r="G7" s="11"/>
      <c r="H7" s="11"/>
      <c r="I7" s="11"/>
      <c r="J7" s="10" t="s">
        <v>607</v>
      </c>
      <c r="K7" s="133" t="s">
        <v>608</v>
      </c>
      <c r="L7" s="133"/>
      <c r="M7" s="133"/>
    </row>
    <row r="8" spans="1:30" ht="14.2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22" t="str">
        <f>IF(Source!AT15 &lt;&gt; "", Source!AT15, "")</f>
        <v/>
      </c>
      <c r="L8" s="122"/>
      <c r="M8" s="122"/>
    </row>
    <row r="9" spans="1:30" ht="14.25" x14ac:dyDescent="0.2">
      <c r="A9" s="98" t="s">
        <v>609</v>
      </c>
      <c r="B9" s="98"/>
      <c r="C9" s="130" t="str">
        <f>IF(Source!BA15 &lt;&gt; "", Source!BA15, IF(Source!AU15 &lt;&gt; "", Source!AU15, ""))</f>
        <v/>
      </c>
      <c r="D9" s="130"/>
      <c r="E9" s="130"/>
      <c r="F9" s="130"/>
      <c r="G9" s="130"/>
      <c r="H9" s="130"/>
      <c r="I9" s="130"/>
      <c r="J9" s="10" t="s">
        <v>610</v>
      </c>
      <c r="K9" s="122"/>
      <c r="L9" s="122"/>
      <c r="M9" s="122"/>
      <c r="AD9" s="40" t="str">
        <f>IF(Source!BA15 &lt;&gt; "", Source!BA15, IF(Source!AU15 &lt;&gt; "", Source!AU15, ""))</f>
        <v/>
      </c>
    </row>
    <row r="10" spans="1:30" ht="14.25" x14ac:dyDescent="0.2">
      <c r="A10" s="11"/>
      <c r="B10" s="11"/>
      <c r="C10" s="129" t="s">
        <v>611</v>
      </c>
      <c r="D10" s="129"/>
      <c r="E10" s="129"/>
      <c r="F10" s="129"/>
      <c r="G10" s="129"/>
      <c r="H10" s="129"/>
      <c r="I10" s="129"/>
      <c r="J10" s="11"/>
      <c r="K10" s="122" t="str">
        <f>IF(Source!AK15 &lt;&gt; "", Source!AK15, "")</f>
        <v/>
      </c>
      <c r="L10" s="122"/>
      <c r="M10" s="122"/>
    </row>
    <row r="11" spans="1:30" ht="14.25" x14ac:dyDescent="0.2">
      <c r="A11" s="98" t="s">
        <v>612</v>
      </c>
      <c r="B11" s="98"/>
      <c r="C11" s="130" t="str">
        <f>IF(Source!AX12&lt;&gt; "", Source!AX12, IF(Source!AJ12 &lt;&gt; "", Source!AJ12, ""))</f>
        <v/>
      </c>
      <c r="D11" s="130"/>
      <c r="E11" s="130"/>
      <c r="F11" s="130"/>
      <c r="G11" s="130"/>
      <c r="H11" s="130"/>
      <c r="I11" s="130"/>
      <c r="J11" s="10" t="s">
        <v>610</v>
      </c>
      <c r="K11" s="122"/>
      <c r="L11" s="122"/>
      <c r="M11" s="122"/>
      <c r="AD11" s="40" t="str">
        <f>IF(Source!AX12&lt;&gt; "", Source!AX12, IF(Source!AJ12 &lt;&gt; "", Source!AJ12, ""))</f>
        <v/>
      </c>
    </row>
    <row r="12" spans="1:30" ht="14.25" x14ac:dyDescent="0.2">
      <c r="A12" s="11"/>
      <c r="B12" s="11"/>
      <c r="C12" s="129" t="s">
        <v>611</v>
      </c>
      <c r="D12" s="129"/>
      <c r="E12" s="129"/>
      <c r="F12" s="129"/>
      <c r="G12" s="129"/>
      <c r="H12" s="129"/>
      <c r="I12" s="129"/>
      <c r="J12" s="11"/>
      <c r="K12" s="122" t="str">
        <f>IF(Source!AO15 &lt;&gt; "", Source!AO15, "")</f>
        <v/>
      </c>
      <c r="L12" s="122"/>
      <c r="M12" s="122"/>
    </row>
    <row r="13" spans="1:30" ht="14.25" x14ac:dyDescent="0.2">
      <c r="A13" s="98" t="s">
        <v>613</v>
      </c>
      <c r="B13" s="98"/>
      <c r="C13" s="130" t="str">
        <f>IF(Source!AY12&lt;&gt; "", Source!AY12, IF(Source!AN12 &lt;&gt; "", Source!AN12, ""))</f>
        <v/>
      </c>
      <c r="D13" s="130"/>
      <c r="E13" s="130"/>
      <c r="F13" s="130"/>
      <c r="G13" s="130"/>
      <c r="H13" s="130"/>
      <c r="I13" s="130"/>
      <c r="J13" s="10" t="s">
        <v>610</v>
      </c>
      <c r="K13" s="122"/>
      <c r="L13" s="122"/>
      <c r="M13" s="122"/>
      <c r="AD13" s="40" t="str">
        <f>IF(Source!AY12&lt;&gt; "", Source!AY12, IF(Source!AN12 &lt;&gt; "", Source!AN12, ""))</f>
        <v/>
      </c>
    </row>
    <row r="14" spans="1:30" ht="14.25" x14ac:dyDescent="0.2">
      <c r="A14" s="11"/>
      <c r="B14" s="11"/>
      <c r="C14" s="129" t="s">
        <v>611</v>
      </c>
      <c r="D14" s="129"/>
      <c r="E14" s="129"/>
      <c r="F14" s="129"/>
      <c r="G14" s="129"/>
      <c r="H14" s="129"/>
      <c r="I14" s="129"/>
      <c r="J14" s="11"/>
      <c r="K14" s="122" t="str">
        <f>IF(Source!CO15 &lt;&gt; "", Source!CO15, "")</f>
        <v/>
      </c>
      <c r="L14" s="122"/>
      <c r="M14" s="122"/>
    </row>
    <row r="15" spans="1:30" ht="14.25" x14ac:dyDescent="0.2">
      <c r="A15" s="98" t="s">
        <v>614</v>
      </c>
      <c r="B15" s="98"/>
      <c r="C15" s="130" t="s">
        <v>5</v>
      </c>
      <c r="D15" s="130"/>
      <c r="E15" s="130"/>
      <c r="F15" s="130"/>
      <c r="G15" s="130"/>
      <c r="H15" s="130"/>
      <c r="I15" s="130"/>
      <c r="J15" s="11"/>
      <c r="K15" s="122"/>
      <c r="L15" s="122"/>
      <c r="M15" s="122"/>
      <c r="AD15" s="40" t="s">
        <v>5</v>
      </c>
    </row>
    <row r="16" spans="1:30" ht="14.25" x14ac:dyDescent="0.2">
      <c r="A16" s="11"/>
      <c r="B16" s="11"/>
      <c r="C16" s="129" t="s">
        <v>615</v>
      </c>
      <c r="D16" s="129"/>
      <c r="E16" s="129"/>
      <c r="F16" s="129"/>
      <c r="G16" s="129"/>
      <c r="H16" s="129"/>
      <c r="I16" s="129"/>
      <c r="J16" s="11"/>
      <c r="K16" s="122" t="str">
        <f>IF(Source!CP15 &lt;&gt; "", Source!CP15, "")</f>
        <v/>
      </c>
      <c r="L16" s="122"/>
      <c r="M16" s="122"/>
    </row>
    <row r="17" spans="1:30" ht="14.25" x14ac:dyDescent="0.2">
      <c r="A17" s="98" t="s">
        <v>616</v>
      </c>
      <c r="B17" s="98"/>
      <c r="C17" s="130" t="str">
        <f>Source!G12</f>
        <v>Установка реклоузеров на ВЛ-6 кВ на линии №15 в п. Сосновка, Заволжье</v>
      </c>
      <c r="D17" s="130"/>
      <c r="E17" s="130"/>
      <c r="F17" s="130"/>
      <c r="G17" s="130"/>
      <c r="H17" s="130"/>
      <c r="I17" s="130"/>
      <c r="J17" s="11"/>
      <c r="K17" s="122"/>
      <c r="L17" s="122"/>
      <c r="M17" s="122"/>
      <c r="AD17" s="40" t="str">
        <f>Source!G12</f>
        <v>Установка реклоузеров на ВЛ-6 кВ на линии №15 в п. Сосновка, Заволжье</v>
      </c>
    </row>
    <row r="18" spans="1:30" ht="14.25" x14ac:dyDescent="0.2">
      <c r="A18" s="11"/>
      <c r="B18" s="11"/>
      <c r="C18" s="129" t="s">
        <v>617</v>
      </c>
      <c r="D18" s="129"/>
      <c r="E18" s="129"/>
      <c r="F18" s="129"/>
      <c r="G18" s="129"/>
      <c r="H18" s="129"/>
      <c r="I18" s="129"/>
      <c r="J18" s="11"/>
      <c r="K18" s="11"/>
      <c r="L18" s="11"/>
      <c r="M18" s="11"/>
    </row>
    <row r="19" spans="1:30" ht="14.25" x14ac:dyDescent="0.2">
      <c r="A19" s="11"/>
      <c r="B19" s="11"/>
      <c r="C19" s="11"/>
      <c r="D19" s="11"/>
      <c r="E19" s="11"/>
      <c r="F19" s="11"/>
      <c r="G19" s="11"/>
      <c r="H19" s="95" t="s">
        <v>618</v>
      </c>
      <c r="I19" s="95"/>
      <c r="J19" s="95"/>
      <c r="K19" s="122" t="str">
        <f>IF(Source!CQ15 &lt;&gt; "", Source!CQ15, "")</f>
        <v/>
      </c>
      <c r="L19" s="122"/>
      <c r="M19" s="122"/>
    </row>
    <row r="20" spans="1:30" ht="14.25" x14ac:dyDescent="0.2">
      <c r="A20" s="11"/>
      <c r="B20" s="11"/>
      <c r="C20" s="11"/>
      <c r="D20" s="11"/>
      <c r="E20" s="11"/>
      <c r="F20" s="11"/>
      <c r="G20" s="11"/>
      <c r="H20" s="95" t="s">
        <v>619</v>
      </c>
      <c r="I20" s="121"/>
      <c r="J20" s="66" t="s">
        <v>620</v>
      </c>
      <c r="K20" s="122" t="str">
        <f>IF(Source!CR15 &lt;&gt; "", Source!CR15, "")</f>
        <v/>
      </c>
      <c r="L20" s="122"/>
      <c r="M20" s="122"/>
    </row>
    <row r="21" spans="1:30" ht="14.2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25" t="s">
        <v>621</v>
      </c>
      <c r="K21" s="123" t="str">
        <f>IF(Source!CS15 &lt;&gt; 0, Source!CS15, "")</f>
        <v/>
      </c>
      <c r="L21" s="123"/>
      <c r="M21" s="123"/>
    </row>
    <row r="22" spans="1:30" ht="14.2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0" t="s">
        <v>622</v>
      </c>
      <c r="K22" s="122" t="str">
        <f>IF(Source!CT15 &lt;&gt; "", Source!CT15, "")</f>
        <v/>
      </c>
      <c r="L22" s="122"/>
      <c r="M22" s="122"/>
    </row>
    <row r="23" spans="1:30" ht="14.2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30" ht="14.25" x14ac:dyDescent="0.2">
      <c r="A24" s="11"/>
      <c r="B24" s="11"/>
      <c r="C24" s="11"/>
      <c r="D24" s="11"/>
      <c r="E24" s="11"/>
      <c r="F24" s="11"/>
      <c r="G24" s="124" t="s">
        <v>623</v>
      </c>
      <c r="H24" s="126" t="s">
        <v>624</v>
      </c>
      <c r="I24" s="126" t="s">
        <v>625</v>
      </c>
      <c r="J24" s="128"/>
      <c r="K24" s="11"/>
      <c r="L24" s="11"/>
      <c r="M24" s="11"/>
    </row>
    <row r="25" spans="1:30" ht="14.25" x14ac:dyDescent="0.2">
      <c r="A25" s="11"/>
      <c r="B25" s="11"/>
      <c r="C25" s="11"/>
      <c r="D25" s="11"/>
      <c r="E25" s="11"/>
      <c r="F25" s="11"/>
      <c r="G25" s="125"/>
      <c r="H25" s="127"/>
      <c r="I25" s="61" t="s">
        <v>626</v>
      </c>
      <c r="J25" s="60" t="s">
        <v>627</v>
      </c>
      <c r="K25" s="11"/>
      <c r="L25" s="11"/>
      <c r="M25" s="11"/>
    </row>
    <row r="26" spans="1:30" ht="14.25" x14ac:dyDescent="0.2">
      <c r="A26" s="11"/>
      <c r="B26" s="11"/>
      <c r="C26" s="11"/>
      <c r="D26" s="11"/>
      <c r="E26" s="11"/>
      <c r="F26" s="11"/>
      <c r="G26" s="25" t="str">
        <f>IF(Source!CN15 &lt;&gt; "", Source!CN15, "")</f>
        <v/>
      </c>
      <c r="H26" s="67">
        <v>45510.585370370369</v>
      </c>
      <c r="I26" s="25"/>
      <c r="J26" s="26"/>
      <c r="K26" s="11"/>
      <c r="L26" s="11"/>
      <c r="M26" s="11"/>
    </row>
    <row r="27" spans="1:30" ht="14.2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30" ht="18" x14ac:dyDescent="0.25">
      <c r="A28" s="11"/>
      <c r="B28" s="119" t="s">
        <v>628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</row>
    <row r="29" spans="1:30" ht="18" x14ac:dyDescent="0.25">
      <c r="A29" s="11"/>
      <c r="B29" s="119" t="s">
        <v>629</v>
      </c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</row>
    <row r="30" spans="1:30" ht="14.2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</row>
    <row r="31" spans="1:30" x14ac:dyDescent="0.2">
      <c r="A31" s="120" t="s">
        <v>632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</row>
    <row r="32" spans="1:30" ht="14.25" x14ac:dyDescent="0.2">
      <c r="A32" s="118" t="s">
        <v>630</v>
      </c>
      <c r="B32" s="118"/>
      <c r="C32" s="118" t="s">
        <v>521</v>
      </c>
      <c r="D32" s="118" t="s">
        <v>522</v>
      </c>
      <c r="E32" s="118" t="s">
        <v>523</v>
      </c>
      <c r="F32" s="118" t="s">
        <v>524</v>
      </c>
      <c r="G32" s="118" t="s">
        <v>525</v>
      </c>
      <c r="H32" s="118" t="s">
        <v>526</v>
      </c>
      <c r="I32" s="118" t="s">
        <v>527</v>
      </c>
      <c r="J32" s="118" t="s">
        <v>528</v>
      </c>
      <c r="K32" s="118" t="s">
        <v>529</v>
      </c>
      <c r="L32" s="118" t="s">
        <v>530</v>
      </c>
      <c r="M32" s="118" t="s">
        <v>531</v>
      </c>
    </row>
    <row r="33" spans="1:33" ht="57" x14ac:dyDescent="0.2">
      <c r="A33" s="24" t="s">
        <v>520</v>
      </c>
      <c r="B33" s="24" t="s">
        <v>631</v>
      </c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</row>
    <row r="34" spans="1:33" ht="14.25" x14ac:dyDescent="0.2">
      <c r="A34" s="68">
        <v>1</v>
      </c>
      <c r="B34" s="68">
        <v>2</v>
      </c>
      <c r="C34" s="68">
        <v>3</v>
      </c>
      <c r="D34" s="68">
        <v>4</v>
      </c>
      <c r="E34" s="68">
        <v>5</v>
      </c>
      <c r="F34" s="68">
        <v>6</v>
      </c>
      <c r="G34" s="68">
        <v>7</v>
      </c>
      <c r="H34" s="68">
        <v>8</v>
      </c>
      <c r="I34" s="68">
        <v>9</v>
      </c>
      <c r="J34" s="68">
        <v>10</v>
      </c>
      <c r="K34" s="68">
        <v>11</v>
      </c>
      <c r="L34" s="68">
        <v>12</v>
      </c>
      <c r="M34" s="68">
        <v>13</v>
      </c>
    </row>
    <row r="36" spans="1:33" ht="16.5" x14ac:dyDescent="0.25">
      <c r="A36" s="91" t="str">
        <f>CONCATENATE("Раздел: ", Source!G24)</f>
        <v>Раздел: Демонтажные работы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AE36" s="27" t="str">
        <f>CONCATENATE("Раздел: ", Source!G24)</f>
        <v>Раздел: Демонтажные работы</v>
      </c>
    </row>
    <row r="37" spans="1:33" ht="42.75" x14ac:dyDescent="0.2">
      <c r="A37" s="28">
        <v>1</v>
      </c>
      <c r="B37" s="28" t="str">
        <f>Source!E28</f>
        <v>1</v>
      </c>
      <c r="C37" s="29" t="str">
        <f>Source!F28</f>
        <v>33-04-040-3</v>
      </c>
      <c r="D37" s="15" t="str">
        <f>Source!G28</f>
        <v>Демонтаж 3-х проводов ВЛ 6-10 кВ</v>
      </c>
      <c r="E37" s="31" t="str">
        <f>Source!H28</f>
        <v>1 опора (3 провода)</v>
      </c>
      <c r="F37" s="10">
        <f>Source!I28</f>
        <v>1</v>
      </c>
      <c r="G37" s="22">
        <f>IF(Source!AK28&lt;&gt; 0, Source!AK28,Source!AL28 + Source!AM28 + Source!AO28)</f>
        <v>63.89</v>
      </c>
      <c r="H37" s="16"/>
      <c r="I37" s="22"/>
      <c r="J37" s="16" t="str">
        <f>Source!BO28</f>
        <v>33-04-040-3</v>
      </c>
      <c r="K37" s="16"/>
      <c r="L37" s="22"/>
      <c r="M37" s="32"/>
      <c r="S37">
        <f>ROUND((Source!FX28/100)*((ROUND(Source!AF28*Source!I28, 2)+ROUND(Source!AE28*Source!I28, 2))), 2)</f>
        <v>20.84</v>
      </c>
      <c r="T37">
        <f>Source!X28</f>
        <v>734.92</v>
      </c>
      <c r="U37">
        <f>ROUND((Source!FY28/100)*((ROUND(Source!AF28*Source!I28, 2)+ROUND(Source!AE28*Source!I28, 2))), 2)</f>
        <v>12.14</v>
      </c>
      <c r="V37">
        <f>Source!Y28</f>
        <v>428.11</v>
      </c>
    </row>
    <row r="38" spans="1:33" ht="14.25" x14ac:dyDescent="0.2">
      <c r="A38" s="28"/>
      <c r="B38" s="28"/>
      <c r="C38" s="29"/>
      <c r="D38" s="15" t="s">
        <v>533</v>
      </c>
      <c r="E38" s="31"/>
      <c r="F38" s="10"/>
      <c r="G38" s="22">
        <f>Source!AO28</f>
        <v>16.18</v>
      </c>
      <c r="H38" s="16" t="str">
        <f>Source!DG28</f>
        <v/>
      </c>
      <c r="I38" s="22">
        <f>ROUND(Source!AF28*Source!I28, 2)</f>
        <v>16.18</v>
      </c>
      <c r="J38" s="16"/>
      <c r="K38" s="16">
        <f>IF(Source!BA28&lt;&gt; 0, Source!BA28, 1)</f>
        <v>35.270000000000003</v>
      </c>
      <c r="L38" s="22">
        <f>Source!S28</f>
        <v>570.66999999999996</v>
      </c>
      <c r="M38" s="32"/>
      <c r="R38">
        <f>I38</f>
        <v>16.18</v>
      </c>
    </row>
    <row r="39" spans="1:33" ht="14.25" x14ac:dyDescent="0.2">
      <c r="A39" s="28"/>
      <c r="B39" s="28"/>
      <c r="C39" s="29"/>
      <c r="D39" s="15" t="s">
        <v>45</v>
      </c>
      <c r="E39" s="31"/>
      <c r="F39" s="10"/>
      <c r="G39" s="22">
        <f>Source!AM28</f>
        <v>47.71</v>
      </c>
      <c r="H39" s="16" t="str">
        <f>Source!DE28</f>
        <v/>
      </c>
      <c r="I39" s="22">
        <f>ROUND((((Source!ET28)-(Source!EU28))+Source!AE28)*Source!I28, 2)</f>
        <v>47.71</v>
      </c>
      <c r="J39" s="16"/>
      <c r="K39" s="16">
        <f>IF(Source!BB28&lt;&gt; 0, Source!BB28, 1)</f>
        <v>11.21</v>
      </c>
      <c r="L39" s="22">
        <f>Source!Q28</f>
        <v>534.83000000000004</v>
      </c>
      <c r="M39" s="32"/>
    </row>
    <row r="40" spans="1:33" ht="14.25" x14ac:dyDescent="0.2">
      <c r="A40" s="28"/>
      <c r="B40" s="28"/>
      <c r="C40" s="29"/>
      <c r="D40" s="15" t="s">
        <v>534</v>
      </c>
      <c r="E40" s="31"/>
      <c r="F40" s="10"/>
      <c r="G40" s="22">
        <f>Source!AN28</f>
        <v>4.05</v>
      </c>
      <c r="H40" s="16" t="str">
        <f>Source!DF28</f>
        <v/>
      </c>
      <c r="I40" s="22">
        <f>ROUND(Source!AE28*Source!I28, 2)</f>
        <v>4.05</v>
      </c>
      <c r="J40" s="16"/>
      <c r="K40" s="16">
        <f>IF(Source!BS28&lt;&gt; 0, Source!BS28, 1)</f>
        <v>35.270000000000003</v>
      </c>
      <c r="L40" s="22">
        <f>Source!R28</f>
        <v>142.84</v>
      </c>
      <c r="M40" s="32"/>
      <c r="R40">
        <f>I40</f>
        <v>4.05</v>
      </c>
    </row>
    <row r="41" spans="1:33" ht="14.25" x14ac:dyDescent="0.2">
      <c r="A41" s="28"/>
      <c r="B41" s="28"/>
      <c r="C41" s="29"/>
      <c r="D41" s="15" t="s">
        <v>535</v>
      </c>
      <c r="E41" s="31" t="s">
        <v>536</v>
      </c>
      <c r="F41" s="10">
        <f>Source!BZ28</f>
        <v>103</v>
      </c>
      <c r="G41" s="33"/>
      <c r="H41" s="16"/>
      <c r="I41" s="22">
        <f>SUM(S37:S43)</f>
        <v>20.84</v>
      </c>
      <c r="J41" s="34"/>
      <c r="K41" s="15">
        <f>Source!AT28</f>
        <v>103</v>
      </c>
      <c r="L41" s="22">
        <f>SUM(T37:T43)</f>
        <v>734.92</v>
      </c>
      <c r="M41" s="32"/>
    </row>
    <row r="42" spans="1:33" ht="14.25" x14ac:dyDescent="0.2">
      <c r="A42" s="28"/>
      <c r="B42" s="28"/>
      <c r="C42" s="29"/>
      <c r="D42" s="15" t="s">
        <v>537</v>
      </c>
      <c r="E42" s="31" t="s">
        <v>536</v>
      </c>
      <c r="F42" s="10">
        <f>Source!CA28</f>
        <v>60</v>
      </c>
      <c r="G42" s="33"/>
      <c r="H42" s="16"/>
      <c r="I42" s="22">
        <f>SUM(U37:U43)</f>
        <v>12.14</v>
      </c>
      <c r="J42" s="34"/>
      <c r="K42" s="15">
        <f>Source!AU28</f>
        <v>60</v>
      </c>
      <c r="L42" s="22">
        <f>SUM(V37:V43)</f>
        <v>428.11</v>
      </c>
      <c r="M42" s="32"/>
    </row>
    <row r="43" spans="1:33" ht="14.25" x14ac:dyDescent="0.2">
      <c r="A43" s="38"/>
      <c r="B43" s="38"/>
      <c r="C43" s="39"/>
      <c r="D43" s="40" t="s">
        <v>538</v>
      </c>
      <c r="E43" s="41" t="s">
        <v>539</v>
      </c>
      <c r="F43" s="42">
        <f>Source!AQ28</f>
        <v>2.0299999999999998</v>
      </c>
      <c r="G43" s="43"/>
      <c r="H43" s="44" t="str">
        <f>Source!DI28</f>
        <v/>
      </c>
      <c r="I43" s="43"/>
      <c r="J43" s="44"/>
      <c r="K43" s="44"/>
      <c r="L43" s="43"/>
      <c r="M43" s="45">
        <f>Source!U28</f>
        <v>2.0299999999999998</v>
      </c>
    </row>
    <row r="44" spans="1:33" ht="15" x14ac:dyDescent="0.25">
      <c r="H44" s="89">
        <f>ROUND(Source!AC28*Source!I28, 2)+ROUND(Source!AF28*Source!I28, 2)+ROUND((((Source!ET28)-(Source!EU28))+Source!AE28)*Source!I28, 2)+SUM(I41:I42)</f>
        <v>96.87</v>
      </c>
      <c r="I44" s="89"/>
      <c r="K44" s="89">
        <f>Source!O28+SUM(L41:L42)</f>
        <v>2268.5299999999997</v>
      </c>
      <c r="L44" s="89"/>
      <c r="M44" s="37">
        <f>Source!U28</f>
        <v>2.0299999999999998</v>
      </c>
      <c r="O44" s="36">
        <f>H44</f>
        <v>96.87</v>
      </c>
      <c r="P44" s="36">
        <f>K44</f>
        <v>2268.5299999999997</v>
      </c>
      <c r="Q44" s="36">
        <f>M44</f>
        <v>2.0299999999999998</v>
      </c>
      <c r="W44">
        <f>IF(Source!BI28&lt;=1,H44, 0)</f>
        <v>96.87</v>
      </c>
      <c r="X44">
        <f>IF(Source!BI28=2,H44, 0)</f>
        <v>0</v>
      </c>
      <c r="Y44">
        <f>IF(Source!BI28=3,H44, 0)</f>
        <v>0</v>
      </c>
      <c r="Z44">
        <f>IF(Source!BI28=4,H44, 0)</f>
        <v>0</v>
      </c>
    </row>
    <row r="46" spans="1:33" ht="15" x14ac:dyDescent="0.25">
      <c r="A46" s="88" t="str">
        <f>CONCATENATE("Итого по разделу: ", Source!G30)</f>
        <v>Итого по разделу: Демонтажные работы</v>
      </c>
      <c r="B46" s="88"/>
      <c r="C46" s="88"/>
      <c r="D46" s="88"/>
      <c r="E46" s="88"/>
      <c r="F46" s="88"/>
      <c r="G46" s="88"/>
      <c r="H46" s="89">
        <f>SUM(O36:O45)</f>
        <v>96.87</v>
      </c>
      <c r="I46" s="90"/>
      <c r="J46" s="46"/>
      <c r="K46" s="89">
        <f>SUM(P36:P45)</f>
        <v>2268.5299999999997</v>
      </c>
      <c r="L46" s="90"/>
      <c r="M46" s="37">
        <f>SUM(Q36:Q45)</f>
        <v>2.0299999999999998</v>
      </c>
      <c r="AG46" s="47" t="str">
        <f>CONCATENATE("Итого по разделу: ", Source!G30)</f>
        <v>Итого по разделу: Демонтажные работы</v>
      </c>
    </row>
    <row r="48" spans="1:33" ht="14.25" x14ac:dyDescent="0.2">
      <c r="D48" s="15" t="str">
        <f>Source!H59</f>
        <v>ОЗП</v>
      </c>
      <c r="K48" s="86">
        <f>Source!F59</f>
        <v>570.66999999999996</v>
      </c>
      <c r="L48" s="86"/>
    </row>
    <row r="49" spans="1:39" ht="14.25" x14ac:dyDescent="0.2">
      <c r="D49" s="15" t="str">
        <f>Source!H60</f>
        <v>ЭММ, в т.ч. ЗПМ</v>
      </c>
      <c r="K49" s="86">
        <f>Source!F60</f>
        <v>534.83000000000004</v>
      </c>
      <c r="L49" s="86"/>
    </row>
    <row r="50" spans="1:39" ht="14.25" x14ac:dyDescent="0.2">
      <c r="D50" s="15" t="str">
        <f>Source!H61</f>
        <v>ЗПМ (справочно)</v>
      </c>
      <c r="K50" s="86">
        <f>Source!F61</f>
        <v>142.84</v>
      </c>
      <c r="L50" s="86"/>
    </row>
    <row r="51" spans="1:39" ht="14.25" x14ac:dyDescent="0.2">
      <c r="D51" s="15" t="str">
        <f>Source!H62</f>
        <v>Стоимость материалов</v>
      </c>
      <c r="K51" s="86">
        <f>Source!F62</f>
        <v>0</v>
      </c>
      <c r="L51" s="86"/>
    </row>
    <row r="52" spans="1:39" ht="14.25" x14ac:dyDescent="0.2">
      <c r="D52" s="15" t="str">
        <f>Source!H63</f>
        <v>НР</v>
      </c>
      <c r="K52" s="86">
        <f>Source!F63</f>
        <v>734.92</v>
      </c>
      <c r="L52" s="86"/>
    </row>
    <row r="53" spans="1:39" ht="14.25" x14ac:dyDescent="0.2">
      <c r="D53" s="15" t="str">
        <f>Source!H64</f>
        <v>СП</v>
      </c>
      <c r="K53" s="86">
        <f>Source!F64</f>
        <v>428.11</v>
      </c>
      <c r="L53" s="86"/>
    </row>
    <row r="54" spans="1:39" ht="14.25" x14ac:dyDescent="0.2">
      <c r="D54" s="15" t="str">
        <f>Source!H65</f>
        <v>Итого</v>
      </c>
      <c r="E54" s="84" t="str">
        <f>"="&amp;Source!F59&amp;"+"&amp;""&amp;Source!F60&amp;"+"&amp;""&amp;Source!F62&amp;"+"&amp;""&amp;Source!F63&amp;"+"&amp;""&amp;Source!F64&amp;""</f>
        <v>=570,67+534,83+0+734,92+428,11</v>
      </c>
      <c r="F54" s="85"/>
      <c r="G54" s="85"/>
      <c r="H54" s="85"/>
      <c r="I54" s="85"/>
      <c r="J54" s="85"/>
      <c r="K54" s="86">
        <f>Source!F65</f>
        <v>2268.5300000000002</v>
      </c>
      <c r="L54" s="86"/>
      <c r="AM54" s="48" t="str">
        <f>"="&amp;Source!F59&amp;"+"&amp;""&amp;Source!F60&amp;"+"&amp;""&amp;Source!F62&amp;"+"&amp;""&amp;Source!F63&amp;"+"&amp;""&amp;Source!F64&amp;""</f>
        <v>=570,67+534,83+0+734,92+428,11</v>
      </c>
    </row>
    <row r="55" spans="1:39" ht="14.25" x14ac:dyDescent="0.2">
      <c r="D55" s="15" t="str">
        <f>Source!H66</f>
        <v>НДС 20%</v>
      </c>
      <c r="E55" s="84" t="str">
        <f>"="&amp;Source!F65&amp;"*"&amp;"0,2"</f>
        <v>=2268,53*0,2</v>
      </c>
      <c r="F55" s="85"/>
      <c r="G55" s="85"/>
      <c r="H55" s="85"/>
      <c r="I55" s="85"/>
      <c r="J55" s="85"/>
      <c r="K55" s="86">
        <f>Source!F66</f>
        <v>453.71</v>
      </c>
      <c r="L55" s="86"/>
      <c r="AM55" s="48" t="str">
        <f>"="&amp;Source!F65&amp;"*"&amp;"0,2"</f>
        <v>=2268,53*0,2</v>
      </c>
    </row>
    <row r="56" spans="1:39" ht="14.25" x14ac:dyDescent="0.2">
      <c r="D56" s="15" t="str">
        <f>Source!H67</f>
        <v>Всего с НДС</v>
      </c>
      <c r="E56" s="84" t="str">
        <f>"="&amp;Source!F65&amp;"+"&amp;""&amp;Source!F66&amp;""</f>
        <v>=2268,53+453,71</v>
      </c>
      <c r="F56" s="85"/>
      <c r="G56" s="85"/>
      <c r="H56" s="85"/>
      <c r="I56" s="85"/>
      <c r="J56" s="85"/>
      <c r="K56" s="86">
        <f>Source!F67</f>
        <v>2722.24</v>
      </c>
      <c r="L56" s="86"/>
      <c r="AM56" s="48" t="str">
        <f>"="&amp;Source!F65&amp;"+"&amp;""&amp;Source!F66&amp;""</f>
        <v>=2268,53+453,71</v>
      </c>
    </row>
    <row r="59" spans="1:39" ht="16.5" x14ac:dyDescent="0.25">
      <c r="A59" s="91" t="str">
        <f>CONCATENATE("Раздел: ", Source!G69)</f>
        <v>Раздел: Монтаж реклоузера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AE59" s="27" t="str">
        <f>CONCATENATE("Раздел: ", Source!G69)</f>
        <v>Раздел: Монтаж реклоузера</v>
      </c>
    </row>
    <row r="60" spans="1:39" ht="42.75" x14ac:dyDescent="0.2">
      <c r="A60" s="28">
        <v>2</v>
      </c>
      <c r="B60" s="28" t="str">
        <f>Source!E73</f>
        <v>2</v>
      </c>
      <c r="C60" s="29" t="str">
        <f>Source!F73</f>
        <v>33-04-016-2</v>
      </c>
      <c r="D60" s="15" t="str">
        <f>Source!G73</f>
        <v>Развозка конструкций и материалов опор ВЛ 0,38-10 кВ по трассе одностоечных железобетонных опор</v>
      </c>
      <c r="E60" s="31" t="str">
        <f>Source!H73</f>
        <v>1 ОПОРА</v>
      </c>
      <c r="F60" s="10">
        <f>Source!I73</f>
        <v>2</v>
      </c>
      <c r="G60" s="22">
        <f>IF(Source!AK73&lt;&gt; 0, Source!AK73,Source!AL73 + Source!AM73 + Source!AO73)</f>
        <v>51.54</v>
      </c>
      <c r="H60" s="16"/>
      <c r="I60" s="22"/>
      <c r="J60" s="16" t="str">
        <f>Source!BO73</f>
        <v>33-04-016-2</v>
      </c>
      <c r="K60" s="16"/>
      <c r="L60" s="22"/>
      <c r="M60" s="32"/>
      <c r="S60">
        <f>ROUND((Source!FX73/100)*((ROUND(Source!AF73*Source!I73, 2)+ROUND(Source!AE73*Source!I73, 2))), 2)</f>
        <v>18.89</v>
      </c>
      <c r="T60">
        <f>Source!X73</f>
        <v>666.26</v>
      </c>
      <c r="U60">
        <f>ROUND((Source!FY73/100)*((ROUND(Source!AF73*Source!I73, 2)+ROUND(Source!AE73*Source!I73, 2))), 2)</f>
        <v>11</v>
      </c>
      <c r="V60">
        <f>Source!Y73</f>
        <v>388.11</v>
      </c>
    </row>
    <row r="61" spans="1:39" ht="14.25" x14ac:dyDescent="0.2">
      <c r="A61" s="28"/>
      <c r="B61" s="28"/>
      <c r="C61" s="29"/>
      <c r="D61" s="15" t="s">
        <v>533</v>
      </c>
      <c r="E61" s="31"/>
      <c r="F61" s="10"/>
      <c r="G61" s="22">
        <f>Source!AO73</f>
        <v>3.36</v>
      </c>
      <c r="H61" s="16" t="str">
        <f>Source!DG73</f>
        <v/>
      </c>
      <c r="I61" s="22">
        <f>ROUND(Source!AF73*Source!I73, 2)</f>
        <v>6.72</v>
      </c>
      <c r="J61" s="16"/>
      <c r="K61" s="16">
        <f>IF(Source!BA73&lt;&gt; 0, Source!BA73, 1)</f>
        <v>35.270000000000003</v>
      </c>
      <c r="L61" s="22">
        <f>Source!S73</f>
        <v>237.01</v>
      </c>
      <c r="M61" s="32"/>
      <c r="R61">
        <f>I61</f>
        <v>6.72</v>
      </c>
    </row>
    <row r="62" spans="1:39" ht="14.25" x14ac:dyDescent="0.2">
      <c r="A62" s="28"/>
      <c r="B62" s="28"/>
      <c r="C62" s="29"/>
      <c r="D62" s="15" t="s">
        <v>45</v>
      </c>
      <c r="E62" s="31"/>
      <c r="F62" s="10"/>
      <c r="G62" s="22">
        <f>Source!AM73</f>
        <v>48.18</v>
      </c>
      <c r="H62" s="16" t="str">
        <f>Source!DE73</f>
        <v/>
      </c>
      <c r="I62" s="22">
        <f>ROUND((((Source!ET73)-(Source!EU73))+Source!AE73)*Source!I73, 2)</f>
        <v>96.36</v>
      </c>
      <c r="J62" s="16"/>
      <c r="K62" s="16">
        <f>IF(Source!BB73&lt;&gt; 0, Source!BB73, 1)</f>
        <v>12.39</v>
      </c>
      <c r="L62" s="22">
        <f>Source!Q73</f>
        <v>1193.9000000000001</v>
      </c>
      <c r="M62" s="32"/>
    </row>
    <row r="63" spans="1:39" ht="14.25" x14ac:dyDescent="0.2">
      <c r="A63" s="28"/>
      <c r="B63" s="28"/>
      <c r="C63" s="29"/>
      <c r="D63" s="15" t="s">
        <v>534</v>
      </c>
      <c r="E63" s="31"/>
      <c r="F63" s="10"/>
      <c r="G63" s="22">
        <f>Source!AN73</f>
        <v>5.81</v>
      </c>
      <c r="H63" s="16" t="str">
        <f>Source!DF73</f>
        <v/>
      </c>
      <c r="I63" s="22">
        <f>ROUND(Source!AE73*Source!I73, 2)</f>
        <v>11.62</v>
      </c>
      <c r="J63" s="16"/>
      <c r="K63" s="16">
        <f>IF(Source!BS73&lt;&gt; 0, Source!BS73, 1)</f>
        <v>35.270000000000003</v>
      </c>
      <c r="L63" s="22">
        <f>Source!R73</f>
        <v>409.84</v>
      </c>
      <c r="M63" s="32"/>
      <c r="R63">
        <f>I63</f>
        <v>11.62</v>
      </c>
    </row>
    <row r="64" spans="1:39" ht="14.25" x14ac:dyDescent="0.2">
      <c r="A64" s="28"/>
      <c r="B64" s="28"/>
      <c r="C64" s="29"/>
      <c r="D64" s="15" t="s">
        <v>535</v>
      </c>
      <c r="E64" s="31" t="s">
        <v>536</v>
      </c>
      <c r="F64" s="10">
        <f>Source!BZ73</f>
        <v>103</v>
      </c>
      <c r="G64" s="33"/>
      <c r="H64" s="16"/>
      <c r="I64" s="22">
        <f>SUM(S60:S66)</f>
        <v>18.89</v>
      </c>
      <c r="J64" s="34"/>
      <c r="K64" s="15">
        <f>Source!AT73</f>
        <v>103</v>
      </c>
      <c r="L64" s="22">
        <f>SUM(T60:T66)</f>
        <v>666.26</v>
      </c>
      <c r="M64" s="32"/>
    </row>
    <row r="65" spans="1:26" ht="14.25" x14ac:dyDescent="0.2">
      <c r="A65" s="28"/>
      <c r="B65" s="28"/>
      <c r="C65" s="29"/>
      <c r="D65" s="15" t="s">
        <v>537</v>
      </c>
      <c r="E65" s="31" t="s">
        <v>536</v>
      </c>
      <c r="F65" s="10">
        <f>Source!CA73</f>
        <v>60</v>
      </c>
      <c r="G65" s="33"/>
      <c r="H65" s="16"/>
      <c r="I65" s="22">
        <f>SUM(U60:U66)</f>
        <v>11</v>
      </c>
      <c r="J65" s="34"/>
      <c r="K65" s="15">
        <f>Source!AU73</f>
        <v>60</v>
      </c>
      <c r="L65" s="22">
        <f>SUM(V60:V66)</f>
        <v>388.11</v>
      </c>
      <c r="M65" s="32"/>
    </row>
    <row r="66" spans="1:26" ht="14.25" x14ac:dyDescent="0.2">
      <c r="A66" s="38"/>
      <c r="B66" s="38"/>
      <c r="C66" s="39"/>
      <c r="D66" s="40" t="s">
        <v>538</v>
      </c>
      <c r="E66" s="41" t="s">
        <v>539</v>
      </c>
      <c r="F66" s="42">
        <f>Source!AQ73</f>
        <v>0.44</v>
      </c>
      <c r="G66" s="43"/>
      <c r="H66" s="44" t="str">
        <f>Source!DI73</f>
        <v/>
      </c>
      <c r="I66" s="43"/>
      <c r="J66" s="44"/>
      <c r="K66" s="44"/>
      <c r="L66" s="43"/>
      <c r="M66" s="45">
        <f>Source!U73</f>
        <v>0.88</v>
      </c>
    </row>
    <row r="67" spans="1:26" ht="15" x14ac:dyDescent="0.25">
      <c r="H67" s="89">
        <f>ROUND(Source!AC73*Source!I73, 2)+ROUND(Source!AF73*Source!I73, 2)+ROUND((((Source!ET73)-(Source!EU73))+Source!AE73)*Source!I73, 2)+SUM(I64:I65)</f>
        <v>132.97</v>
      </c>
      <c r="I67" s="89"/>
      <c r="K67" s="89">
        <f>Source!O73+SUM(L64:L65)</f>
        <v>2485.2799999999997</v>
      </c>
      <c r="L67" s="89"/>
      <c r="M67" s="37">
        <f>Source!U73</f>
        <v>0.88</v>
      </c>
      <c r="O67" s="36">
        <f>H67</f>
        <v>132.97</v>
      </c>
      <c r="P67" s="36">
        <f>K67</f>
        <v>2485.2799999999997</v>
      </c>
      <c r="Q67" s="36">
        <f>M67</f>
        <v>0.88</v>
      </c>
      <c r="W67">
        <f>IF(Source!BI73&lt;=1,H67, 0)</f>
        <v>132.97</v>
      </c>
      <c r="X67">
        <f>IF(Source!BI73=2,H67, 0)</f>
        <v>0</v>
      </c>
      <c r="Y67">
        <f>IF(Source!BI73=3,H67, 0)</f>
        <v>0</v>
      </c>
      <c r="Z67">
        <f>IF(Source!BI73=4,H67, 0)</f>
        <v>0</v>
      </c>
    </row>
    <row r="68" spans="1:26" ht="28.5" x14ac:dyDescent="0.2">
      <c r="A68" s="28">
        <v>3</v>
      </c>
      <c r="B68" s="28" t="str">
        <f>Source!E74</f>
        <v>3</v>
      </c>
      <c r="C68" s="29" t="str">
        <f>Source!F74</f>
        <v>м08-01-087-3</v>
      </c>
      <c r="D68" s="15" t="str">
        <f>Source!G74</f>
        <v>Металлические конструкции</v>
      </c>
      <c r="E68" s="31" t="str">
        <f>Source!H74</f>
        <v>1 Т</v>
      </c>
      <c r="F68" s="10">
        <f>Source!I74</f>
        <v>2.8459999999999999E-2</v>
      </c>
      <c r="G68" s="22">
        <f>IF(Source!AK74&lt;&gt; 0, Source!AK74,Source!AL74 + Source!AM74 + Source!AO74)</f>
        <v>13270.76</v>
      </c>
      <c r="H68" s="16"/>
      <c r="I68" s="22"/>
      <c r="J68" s="16" t="str">
        <f>Source!BO74</f>
        <v>м08-01-087-3</v>
      </c>
      <c r="K68" s="16"/>
      <c r="L68" s="22"/>
      <c r="M68" s="32"/>
      <c r="S68">
        <f>ROUND((Source!FX74/100)*((ROUND(Source!AF74*Source!I74, 2)+ROUND(Source!AE74*Source!I74, 2))), 2)</f>
        <v>16.010000000000002</v>
      </c>
      <c r="T68">
        <f>Source!X74</f>
        <v>564.96</v>
      </c>
      <c r="U68">
        <f>ROUND((Source!FY74/100)*((ROUND(Source!AF74*Source!I74, 2)+ROUND(Source!AE74*Source!I74, 2))), 2)</f>
        <v>8.42</v>
      </c>
      <c r="V68">
        <f>Source!Y74</f>
        <v>297.04000000000002</v>
      </c>
    </row>
    <row r="69" spans="1:26" ht="14.25" x14ac:dyDescent="0.2">
      <c r="A69" s="28"/>
      <c r="B69" s="28"/>
      <c r="C69" s="29"/>
      <c r="D69" s="15" t="s">
        <v>533</v>
      </c>
      <c r="E69" s="31"/>
      <c r="F69" s="10"/>
      <c r="G69" s="22">
        <f>Source!AO74</f>
        <v>559.17999999999995</v>
      </c>
      <c r="H69" s="16" t="str">
        <f>Source!DG74</f>
        <v/>
      </c>
      <c r="I69" s="22">
        <f>ROUND(Source!AF74*Source!I74, 2)</f>
        <v>15.91</v>
      </c>
      <c r="J69" s="16"/>
      <c r="K69" s="16">
        <f>IF(Source!BA74&lt;&gt; 0, Source!BA74, 1)</f>
        <v>35.270000000000003</v>
      </c>
      <c r="L69" s="22">
        <f>Source!S74</f>
        <v>561.29999999999995</v>
      </c>
      <c r="M69" s="32"/>
      <c r="R69">
        <f>I69</f>
        <v>15.91</v>
      </c>
    </row>
    <row r="70" spans="1:26" ht="14.25" x14ac:dyDescent="0.2">
      <c r="A70" s="28"/>
      <c r="B70" s="28"/>
      <c r="C70" s="29"/>
      <c r="D70" s="15" t="s">
        <v>45</v>
      </c>
      <c r="E70" s="31"/>
      <c r="F70" s="10"/>
      <c r="G70" s="22">
        <f>Source!AM74</f>
        <v>514.73</v>
      </c>
      <c r="H70" s="16" t="str">
        <f>Source!DE74</f>
        <v/>
      </c>
      <c r="I70" s="22">
        <f>ROUND((((Source!ET74)-(Source!EU74))+Source!AE74)*Source!I74, 2)</f>
        <v>14.65</v>
      </c>
      <c r="J70" s="16"/>
      <c r="K70" s="16">
        <f>IF(Source!BB74&lt;&gt; 0, Source!BB74, 1)</f>
        <v>10.91</v>
      </c>
      <c r="L70" s="22">
        <f>Source!Q74</f>
        <v>159.82</v>
      </c>
      <c r="M70" s="32"/>
    </row>
    <row r="71" spans="1:26" ht="14.25" x14ac:dyDescent="0.2">
      <c r="A71" s="28"/>
      <c r="B71" s="28"/>
      <c r="C71" s="29"/>
      <c r="D71" s="15" t="s">
        <v>534</v>
      </c>
      <c r="E71" s="31"/>
      <c r="F71" s="10"/>
      <c r="G71" s="22">
        <f>Source!AN74</f>
        <v>21.05</v>
      </c>
      <c r="H71" s="16" t="str">
        <f>Source!DF74</f>
        <v/>
      </c>
      <c r="I71" s="22">
        <f>ROUND(Source!AE74*Source!I74, 2)</f>
        <v>0.6</v>
      </c>
      <c r="J71" s="16"/>
      <c r="K71" s="16">
        <f>IF(Source!BS74&lt;&gt; 0, Source!BS74, 1)</f>
        <v>35.270000000000003</v>
      </c>
      <c r="L71" s="22">
        <f>Source!R74</f>
        <v>21.13</v>
      </c>
      <c r="M71" s="32"/>
      <c r="R71">
        <f>I71</f>
        <v>0.6</v>
      </c>
    </row>
    <row r="72" spans="1:26" ht="14.25" x14ac:dyDescent="0.2">
      <c r="A72" s="28"/>
      <c r="B72" s="28"/>
      <c r="C72" s="29"/>
      <c r="D72" s="15" t="s">
        <v>540</v>
      </c>
      <c r="E72" s="31"/>
      <c r="F72" s="10"/>
      <c r="G72" s="22">
        <f>Source!AL74</f>
        <v>12196.85</v>
      </c>
      <c r="H72" s="16" t="str">
        <f>Source!DD74</f>
        <v/>
      </c>
      <c r="I72" s="22">
        <f>ROUND(Source!AC74*Source!I74, 2)</f>
        <v>347.12</v>
      </c>
      <c r="J72" s="16"/>
      <c r="K72" s="16">
        <f>IF(Source!BC74&lt;&gt; 0, Source!BC74, 1)</f>
        <v>11.17</v>
      </c>
      <c r="L72" s="22">
        <f>Source!P74</f>
        <v>3877.36</v>
      </c>
      <c r="M72" s="32"/>
    </row>
    <row r="73" spans="1:26" ht="14.25" x14ac:dyDescent="0.2">
      <c r="A73" s="28"/>
      <c r="B73" s="28"/>
      <c r="C73" s="29"/>
      <c r="D73" s="15" t="s">
        <v>535</v>
      </c>
      <c r="E73" s="31" t="s">
        <v>536</v>
      </c>
      <c r="F73" s="10">
        <f>Source!BZ74</f>
        <v>97</v>
      </c>
      <c r="G73" s="33"/>
      <c r="H73" s="16"/>
      <c r="I73" s="22">
        <f>SUM(S68:S75)</f>
        <v>16.010000000000002</v>
      </c>
      <c r="J73" s="34"/>
      <c r="K73" s="15">
        <f>Source!AT74</f>
        <v>97</v>
      </c>
      <c r="L73" s="22">
        <f>SUM(T68:T75)</f>
        <v>564.96</v>
      </c>
      <c r="M73" s="32"/>
    </row>
    <row r="74" spans="1:26" ht="14.25" x14ac:dyDescent="0.2">
      <c r="A74" s="28"/>
      <c r="B74" s="28"/>
      <c r="C74" s="29"/>
      <c r="D74" s="15" t="s">
        <v>537</v>
      </c>
      <c r="E74" s="31" t="s">
        <v>536</v>
      </c>
      <c r="F74" s="10">
        <f>Source!CA74</f>
        <v>51</v>
      </c>
      <c r="G74" s="33"/>
      <c r="H74" s="16"/>
      <c r="I74" s="22">
        <f>SUM(U68:U75)</f>
        <v>8.42</v>
      </c>
      <c r="J74" s="34"/>
      <c r="K74" s="15">
        <f>Source!AU74</f>
        <v>51</v>
      </c>
      <c r="L74" s="22">
        <f>SUM(V68:V75)</f>
        <v>297.04000000000002</v>
      </c>
      <c r="M74" s="32"/>
    </row>
    <row r="75" spans="1:26" ht="14.25" x14ac:dyDescent="0.2">
      <c r="A75" s="38"/>
      <c r="B75" s="38"/>
      <c r="C75" s="39"/>
      <c r="D75" s="40" t="s">
        <v>538</v>
      </c>
      <c r="E75" s="41" t="s">
        <v>539</v>
      </c>
      <c r="F75" s="42">
        <f>Source!AQ74</f>
        <v>62.2</v>
      </c>
      <c r="G75" s="43"/>
      <c r="H75" s="44" t="str">
        <f>Source!DI74</f>
        <v/>
      </c>
      <c r="I75" s="43"/>
      <c r="J75" s="44"/>
      <c r="K75" s="44"/>
      <c r="L75" s="43"/>
      <c r="M75" s="45">
        <f>Source!U74</f>
        <v>1.7702120000000001</v>
      </c>
    </row>
    <row r="76" spans="1:26" ht="15" x14ac:dyDescent="0.25">
      <c r="H76" s="89">
        <f>ROUND(Source!AC74*Source!I74, 2)+ROUND(Source!AF74*Source!I74, 2)+ROUND((((Source!ET74)-(Source!EU74))+Source!AE74)*Source!I74, 2)+SUM(I73:I74)</f>
        <v>402.11</v>
      </c>
      <c r="I76" s="89"/>
      <c r="K76" s="89">
        <f>Source!O74+SUM(L73:L74)</f>
        <v>5460.48</v>
      </c>
      <c r="L76" s="89"/>
      <c r="M76" s="37">
        <f>Source!U74</f>
        <v>1.7702120000000001</v>
      </c>
      <c r="O76" s="36">
        <f>H76</f>
        <v>402.11</v>
      </c>
      <c r="P76" s="36">
        <f>K76</f>
        <v>5460.48</v>
      </c>
      <c r="Q76" s="36">
        <f>M76</f>
        <v>1.7702120000000001</v>
      </c>
      <c r="W76">
        <f>IF(Source!BI74&lt;=1,H76, 0)</f>
        <v>0</v>
      </c>
      <c r="X76">
        <f>IF(Source!BI74=2,H76, 0)</f>
        <v>402.11</v>
      </c>
      <c r="Y76">
        <f>IF(Source!BI74=3,H76, 0)</f>
        <v>0</v>
      </c>
      <c r="Z76">
        <f>IF(Source!BI74=4,H76, 0)</f>
        <v>0</v>
      </c>
    </row>
    <row r="77" spans="1:26" ht="57" x14ac:dyDescent="0.2">
      <c r="A77" s="28">
        <v>4</v>
      </c>
      <c r="B77" s="28" t="str">
        <f>Source!E75</f>
        <v>4</v>
      </c>
      <c r="C77" s="29" t="str">
        <f>Source!F75</f>
        <v>33-04-003-2</v>
      </c>
      <c r="D77" s="15" t="str">
        <f>Source!G75</f>
        <v>Установка железобетонных опор ВЛ 0,38; 6-10 кВ с траверсами без приставок: одностоечных с одним подкосом</v>
      </c>
      <c r="E77" s="31" t="str">
        <f>Source!H75</f>
        <v>1 ОПОРА</v>
      </c>
      <c r="F77" s="10">
        <f>Source!I75</f>
        <v>1</v>
      </c>
      <c r="G77" s="22">
        <f>IF(Source!AK75&lt;&gt; 0, Source!AK75,Source!AL75 + Source!AM75 + Source!AO75)</f>
        <v>378.82</v>
      </c>
      <c r="H77" s="16"/>
      <c r="I77" s="22"/>
      <c r="J77" s="16" t="str">
        <f>Source!BO75</f>
        <v>33-04-003-2</v>
      </c>
      <c r="K77" s="16"/>
      <c r="L77" s="22"/>
      <c r="M77" s="32"/>
      <c r="S77">
        <f>ROUND((Source!FX75/100)*((ROUND(Source!AF75*Source!I75, 2)+ROUND(Source!AE75*Source!I75, 2))), 2)</f>
        <v>87.2</v>
      </c>
      <c r="T77">
        <f>Source!X75</f>
        <v>3075.54</v>
      </c>
      <c r="U77">
        <f>ROUND((Source!FY75/100)*((ROUND(Source!AF75*Source!I75, 2)+ROUND(Source!AE75*Source!I75, 2))), 2)</f>
        <v>50.8</v>
      </c>
      <c r="V77">
        <f>Source!Y75</f>
        <v>1791.58</v>
      </c>
    </row>
    <row r="78" spans="1:26" ht="14.25" x14ac:dyDescent="0.2">
      <c r="A78" s="28"/>
      <c r="B78" s="28"/>
      <c r="C78" s="29"/>
      <c r="D78" s="15" t="s">
        <v>533</v>
      </c>
      <c r="E78" s="31"/>
      <c r="F78" s="10"/>
      <c r="G78" s="22">
        <f>Source!AO75</f>
        <v>65.41</v>
      </c>
      <c r="H78" s="16" t="str">
        <f>Source!DG75</f>
        <v/>
      </c>
      <c r="I78" s="22">
        <f>ROUND(Source!AF75*Source!I75, 2)</f>
        <v>65.41</v>
      </c>
      <c r="J78" s="16"/>
      <c r="K78" s="16">
        <f>IF(Source!BA75&lt;&gt; 0, Source!BA75, 1)</f>
        <v>35.270000000000003</v>
      </c>
      <c r="L78" s="22">
        <f>Source!S75</f>
        <v>2307.0100000000002</v>
      </c>
      <c r="M78" s="32"/>
      <c r="R78">
        <f>I78</f>
        <v>65.41</v>
      </c>
    </row>
    <row r="79" spans="1:26" ht="14.25" x14ac:dyDescent="0.2">
      <c r="A79" s="28"/>
      <c r="B79" s="28"/>
      <c r="C79" s="29"/>
      <c r="D79" s="15" t="s">
        <v>45</v>
      </c>
      <c r="E79" s="31"/>
      <c r="F79" s="10"/>
      <c r="G79" s="22">
        <f>Source!AM75</f>
        <v>267.08</v>
      </c>
      <c r="H79" s="16" t="str">
        <f>Source!DE75</f>
        <v/>
      </c>
      <c r="I79" s="22">
        <f>ROUND((((Source!ET75)-(Source!EU75))+Source!AE75)*Source!I75, 2)</f>
        <v>267.08</v>
      </c>
      <c r="J79" s="16"/>
      <c r="K79" s="16">
        <f>IF(Source!BB75&lt;&gt; 0, Source!BB75, 1)</f>
        <v>16.920000000000002</v>
      </c>
      <c r="L79" s="22">
        <f>Source!Q75</f>
        <v>4518.99</v>
      </c>
      <c r="M79" s="32"/>
    </row>
    <row r="80" spans="1:26" ht="14.25" x14ac:dyDescent="0.2">
      <c r="A80" s="28"/>
      <c r="B80" s="28"/>
      <c r="C80" s="29"/>
      <c r="D80" s="15" t="s">
        <v>534</v>
      </c>
      <c r="E80" s="31"/>
      <c r="F80" s="10"/>
      <c r="G80" s="22">
        <f>Source!AN75</f>
        <v>19.25</v>
      </c>
      <c r="H80" s="16" t="str">
        <f>Source!DF75</f>
        <v/>
      </c>
      <c r="I80" s="22">
        <f>ROUND(Source!AE75*Source!I75, 2)</f>
        <v>19.25</v>
      </c>
      <c r="J80" s="16"/>
      <c r="K80" s="16">
        <f>IF(Source!BS75&lt;&gt; 0, Source!BS75, 1)</f>
        <v>35.270000000000003</v>
      </c>
      <c r="L80" s="22">
        <f>Source!R75</f>
        <v>678.95</v>
      </c>
      <c r="M80" s="32"/>
      <c r="R80">
        <f>I80</f>
        <v>19.25</v>
      </c>
    </row>
    <row r="81" spans="1:28" ht="14.25" x14ac:dyDescent="0.2">
      <c r="A81" s="28"/>
      <c r="B81" s="28"/>
      <c r="C81" s="29"/>
      <c r="D81" s="15" t="s">
        <v>540</v>
      </c>
      <c r="E81" s="31"/>
      <c r="F81" s="10"/>
      <c r="G81" s="22">
        <f>Source!AL75</f>
        <v>46.33</v>
      </c>
      <c r="H81" s="16" t="str">
        <f>Source!DD75</f>
        <v/>
      </c>
      <c r="I81" s="22">
        <f>ROUND(Source!AC75*Source!I75, 2)</f>
        <v>46.33</v>
      </c>
      <c r="J81" s="16"/>
      <c r="K81" s="16">
        <f>IF(Source!BC75&lt;&gt; 0, Source!BC75, 1)</f>
        <v>3.5</v>
      </c>
      <c r="L81" s="22">
        <f>Source!P75</f>
        <v>162.16</v>
      </c>
      <c r="M81" s="32"/>
    </row>
    <row r="82" spans="1:28" ht="14.25" x14ac:dyDescent="0.2">
      <c r="A82" s="28"/>
      <c r="B82" s="28"/>
      <c r="C82" s="29"/>
      <c r="D82" s="15" t="s">
        <v>535</v>
      </c>
      <c r="E82" s="31" t="s">
        <v>536</v>
      </c>
      <c r="F82" s="10">
        <f>Source!BZ75</f>
        <v>103</v>
      </c>
      <c r="G82" s="33"/>
      <c r="H82" s="16"/>
      <c r="I82" s="22">
        <f>SUM(S77:S85)</f>
        <v>87.2</v>
      </c>
      <c r="J82" s="34"/>
      <c r="K82" s="15">
        <f>Source!AT75</f>
        <v>103</v>
      </c>
      <c r="L82" s="22">
        <f>SUM(T77:T85)</f>
        <v>3075.54</v>
      </c>
      <c r="M82" s="32"/>
    </row>
    <row r="83" spans="1:28" ht="14.25" x14ac:dyDescent="0.2">
      <c r="A83" s="28"/>
      <c r="B83" s="28"/>
      <c r="C83" s="29"/>
      <c r="D83" s="15" t="s">
        <v>537</v>
      </c>
      <c r="E83" s="31" t="s">
        <v>536</v>
      </c>
      <c r="F83" s="10">
        <f>Source!CA75</f>
        <v>60</v>
      </c>
      <c r="G83" s="33"/>
      <c r="H83" s="16"/>
      <c r="I83" s="22">
        <f>SUM(U77:U85)</f>
        <v>50.8</v>
      </c>
      <c r="J83" s="34"/>
      <c r="K83" s="15">
        <f>Source!AU75</f>
        <v>60</v>
      </c>
      <c r="L83" s="22">
        <f>SUM(V77:V85)</f>
        <v>1791.58</v>
      </c>
      <c r="M83" s="32"/>
    </row>
    <row r="84" spans="1:28" ht="14.25" x14ac:dyDescent="0.2">
      <c r="A84" s="28"/>
      <c r="B84" s="28"/>
      <c r="C84" s="29"/>
      <c r="D84" s="15" t="s">
        <v>538</v>
      </c>
      <c r="E84" s="31" t="s">
        <v>539</v>
      </c>
      <c r="F84" s="10">
        <f>Source!AQ75</f>
        <v>7.9</v>
      </c>
      <c r="G84" s="22"/>
      <c r="H84" s="16" t="str">
        <f>Source!DI75</f>
        <v/>
      </c>
      <c r="I84" s="22"/>
      <c r="J84" s="16"/>
      <c r="K84" s="16"/>
      <c r="L84" s="22"/>
      <c r="M84" s="35">
        <f>Source!U75</f>
        <v>7.9</v>
      </c>
    </row>
    <row r="85" spans="1:28" ht="14.25" x14ac:dyDescent="0.2">
      <c r="A85" s="49">
        <v>5</v>
      </c>
      <c r="B85" s="49" t="str">
        <f>Source!E80</f>
        <v>4,5</v>
      </c>
      <c r="C85" s="49" t="str">
        <f>Source!F80</f>
        <v>110-9126</v>
      </c>
      <c r="D85" s="49" t="str">
        <f>Source!G80</f>
        <v>Металлические плакаты</v>
      </c>
      <c r="E85" s="50" t="str">
        <f>Source!H80</f>
        <v>шт.</v>
      </c>
      <c r="F85" s="51">
        <f>Source!I80</f>
        <v>0.1</v>
      </c>
      <c r="G85" s="52">
        <f>Source!AK80</f>
        <v>0</v>
      </c>
      <c r="H85" s="53" t="s">
        <v>3</v>
      </c>
      <c r="I85" s="52">
        <f>ROUND(Source!AC80*Source!I80, 2)+ROUND((((Source!ET80)-(Source!EU80))+Source!AE80)*Source!I80, 2)+ROUND(Source!AF80*Source!I80, 2)</f>
        <v>0</v>
      </c>
      <c r="J85" s="50"/>
      <c r="K85" s="50">
        <f>IF(Source!BC80&lt;&gt; 0, Source!BC80, 1)</f>
        <v>1</v>
      </c>
      <c r="L85" s="52">
        <f>Source!O80</f>
        <v>0</v>
      </c>
      <c r="M85" s="52"/>
      <c r="S85">
        <f>ROUND((Source!FX80/100)*((ROUND(Source!AF80*Source!I80, 2)+ROUND(Source!AE80*Source!I80, 2))), 2)</f>
        <v>0</v>
      </c>
      <c r="T85">
        <f>Source!X80</f>
        <v>0</v>
      </c>
      <c r="U85">
        <f>ROUND((Source!FY80/100)*((ROUND(Source!AF80*Source!I80, 2)+ROUND(Source!AE80*Source!I80, 2))), 2)</f>
        <v>0</v>
      </c>
      <c r="V85">
        <f>Source!Y80</f>
        <v>0</v>
      </c>
      <c r="Y85">
        <f>IF(Source!BI80=3,I85, 0)</f>
        <v>0</v>
      </c>
      <c r="AA85">
        <f>ROUND(Source!AC80*Source!I80, 2)+ROUND((((Source!ET80)-(Source!EU80))+Source!AE80)*Source!I80, 2)+ROUND(Source!AF80*Source!I80, 2)</f>
        <v>0</v>
      </c>
      <c r="AB85">
        <f>Source!O80</f>
        <v>0</v>
      </c>
    </row>
    <row r="86" spans="1:28" ht="15" x14ac:dyDescent="0.25">
      <c r="H86" s="89">
        <f>ROUND(Source!AC75*Source!I75, 2)+ROUND(Source!AF75*Source!I75, 2)+ROUND((((Source!ET75)-(Source!EU75))+Source!AE75)*Source!I75, 2)+SUM(I82:I83)+SUM(AA85:AA85)</f>
        <v>516.81999999999994</v>
      </c>
      <c r="I86" s="89"/>
      <c r="K86" s="89">
        <f>Source!O75+SUM(L82:L83)+SUM(AB85:AB85)</f>
        <v>11855.279999999999</v>
      </c>
      <c r="L86" s="89"/>
      <c r="M86" s="37">
        <f>Source!U75</f>
        <v>7.9</v>
      </c>
      <c r="O86" s="36">
        <f>H86</f>
        <v>516.81999999999994</v>
      </c>
      <c r="P86" s="36">
        <f>K86</f>
        <v>11855.279999999999</v>
      </c>
      <c r="Q86" s="36">
        <f>M86</f>
        <v>7.9</v>
      </c>
      <c r="W86">
        <f>IF(Source!BI75&lt;=1,H86, 0)</f>
        <v>516.81999999999994</v>
      </c>
      <c r="X86">
        <f>IF(Source!BI75=2,H86, 0)</f>
        <v>0</v>
      </c>
      <c r="Y86">
        <f>IF(Source!BI75=3,H86, 0)</f>
        <v>0</v>
      </c>
      <c r="Z86">
        <f>IF(Source!BI75=4,H86, 0)</f>
        <v>0</v>
      </c>
    </row>
    <row r="87" spans="1:28" ht="42.75" x14ac:dyDescent="0.2">
      <c r="A87" s="28">
        <v>6</v>
      </c>
      <c r="B87" s="28" t="str">
        <f>Source!E85</f>
        <v>5</v>
      </c>
      <c r="C87" s="29" t="str">
        <f>Source!F85</f>
        <v>403-2127</v>
      </c>
      <c r="D87" s="15" t="str">
        <f>Source!G85</f>
        <v>Стойка опоры СВ 110-3,5 /бетон В30 (М400), объем 0,45 м3, расход ар-ры 66,8 кг/ (серия 3.407.1-143 вып.7)</v>
      </c>
      <c r="E87" s="31" t="str">
        <f>Source!H85</f>
        <v>шт.</v>
      </c>
      <c r="F87" s="10">
        <f>Source!I85</f>
        <v>2</v>
      </c>
      <c r="G87" s="22">
        <f>IF(Source!AK85&lt;&gt; 0, Source!AK85,Source!AL85 + Source!AM85 + Source!AO85)</f>
        <v>1525.42</v>
      </c>
      <c r="H87" s="16"/>
      <c r="I87" s="22"/>
      <c r="J87" s="16" t="str">
        <f>Source!BO85</f>
        <v>403-2127</v>
      </c>
      <c r="K87" s="16"/>
      <c r="L87" s="22"/>
      <c r="M87" s="32"/>
      <c r="S87">
        <f>ROUND((Source!FX85/100)*((ROUND(Source!AF85*Source!I85, 2)+ROUND(Source!AE85*Source!I85, 2))), 2)</f>
        <v>0</v>
      </c>
      <c r="T87">
        <f>Source!X85</f>
        <v>0</v>
      </c>
      <c r="U87">
        <f>ROUND((Source!FY85/100)*((ROUND(Source!AF85*Source!I85, 2)+ROUND(Source!AE85*Source!I85, 2))), 2)</f>
        <v>0</v>
      </c>
      <c r="V87">
        <f>Source!Y85</f>
        <v>0</v>
      </c>
    </row>
    <row r="88" spans="1:28" ht="14.25" x14ac:dyDescent="0.2">
      <c r="A88" s="38"/>
      <c r="B88" s="38"/>
      <c r="C88" s="39"/>
      <c r="D88" s="40" t="s">
        <v>540</v>
      </c>
      <c r="E88" s="41"/>
      <c r="F88" s="42"/>
      <c r="G88" s="43">
        <f>Source!AL85</f>
        <v>1525.42</v>
      </c>
      <c r="H88" s="44" t="str">
        <f>Source!DD85</f>
        <v/>
      </c>
      <c r="I88" s="43">
        <f>ROUND(Source!AC85*Source!I85, 2)</f>
        <v>3050.84</v>
      </c>
      <c r="J88" s="44"/>
      <c r="K88" s="44">
        <f>IF(Source!BC85&lt;&gt; 0, Source!BC85, 1)</f>
        <v>12.66</v>
      </c>
      <c r="L88" s="43">
        <f>Source!P85</f>
        <v>38623.629999999997</v>
      </c>
      <c r="M88" s="54"/>
    </row>
    <row r="89" spans="1:28" ht="15" x14ac:dyDescent="0.25">
      <c r="H89" s="89">
        <f>ROUND(Source!AC85*Source!I85, 2)+ROUND(Source!AF85*Source!I85, 2)+ROUND((((Source!ET85)-(Source!EU85))+Source!AE85)*Source!I85, 2)</f>
        <v>3050.84</v>
      </c>
      <c r="I89" s="89"/>
      <c r="K89" s="89">
        <f>Source!O85</f>
        <v>38623.629999999997</v>
      </c>
      <c r="L89" s="89"/>
      <c r="M89" s="37">
        <f>Source!U85</f>
        <v>0</v>
      </c>
      <c r="O89" s="36">
        <f>H89</f>
        <v>3050.84</v>
      </c>
      <c r="P89" s="36">
        <f>K89</f>
        <v>38623.629999999997</v>
      </c>
      <c r="Q89" s="36">
        <f>M89</f>
        <v>0</v>
      </c>
      <c r="W89">
        <f>IF(Source!BI85&lt;=1,H89, 0)</f>
        <v>3050.84</v>
      </c>
      <c r="X89">
        <f>IF(Source!BI85=2,H89, 0)</f>
        <v>0</v>
      </c>
      <c r="Y89">
        <f>IF(Source!BI85=3,H89, 0)</f>
        <v>0</v>
      </c>
      <c r="Z89">
        <f>IF(Source!BI85=4,H89, 0)</f>
        <v>0</v>
      </c>
    </row>
    <row r="90" spans="1:28" ht="28.5" x14ac:dyDescent="0.2">
      <c r="A90" s="28">
        <v>7</v>
      </c>
      <c r="B90" s="28" t="str">
        <f>Source!E86</f>
        <v>6</v>
      </c>
      <c r="C90" s="29" t="str">
        <f>Source!F86</f>
        <v>201-8113</v>
      </c>
      <c r="D90" s="15" t="str">
        <f>Source!G86</f>
        <v>Траверсы стальные (Траверса ТМ-71 21,76 кг и траверса ТМ-66 6,7 кг)</v>
      </c>
      <c r="E90" s="31" t="str">
        <f>Source!H86</f>
        <v>т</v>
      </c>
      <c r="F90" s="10">
        <f>Source!I86</f>
        <v>2.8459999999999999E-2</v>
      </c>
      <c r="G90" s="22">
        <f>IF(Source!AK86&lt;&gt; 0, Source!AK86,Source!AL86 + Source!AM86 + Source!AO86)</f>
        <v>10995.42</v>
      </c>
      <c r="H90" s="16"/>
      <c r="I90" s="22"/>
      <c r="J90" s="16" t="str">
        <f>Source!BO86</f>
        <v>201-8113</v>
      </c>
      <c r="K90" s="16"/>
      <c r="L90" s="22"/>
      <c r="M90" s="32"/>
      <c r="S90">
        <f>ROUND((Source!FX86/100)*((ROUND(Source!AF86*Source!I86, 2)+ROUND(Source!AE86*Source!I86, 2))), 2)</f>
        <v>0</v>
      </c>
      <c r="T90">
        <f>Source!X86</f>
        <v>0</v>
      </c>
      <c r="U90">
        <f>ROUND((Source!FY86/100)*((ROUND(Source!AF86*Source!I86, 2)+ROUND(Source!AE86*Source!I86, 2))), 2)</f>
        <v>0</v>
      </c>
      <c r="V90">
        <f>Source!Y86</f>
        <v>0</v>
      </c>
    </row>
    <row r="91" spans="1:28" ht="14.25" x14ac:dyDescent="0.2">
      <c r="A91" s="38"/>
      <c r="B91" s="38"/>
      <c r="C91" s="39"/>
      <c r="D91" s="40" t="s">
        <v>540</v>
      </c>
      <c r="E91" s="41"/>
      <c r="F91" s="42"/>
      <c r="G91" s="43">
        <f>Source!AL86</f>
        <v>10995.42</v>
      </c>
      <c r="H91" s="44" t="str">
        <f>Source!DD86</f>
        <v/>
      </c>
      <c r="I91" s="43">
        <f>ROUND(Source!AC86*Source!I86, 2)</f>
        <v>312.93</v>
      </c>
      <c r="J91" s="44"/>
      <c r="K91" s="44">
        <f>IF(Source!BC86&lt;&gt; 0, Source!BC86, 1)</f>
        <v>22.9</v>
      </c>
      <c r="L91" s="43">
        <f>Source!P86</f>
        <v>7166.09</v>
      </c>
      <c r="M91" s="54"/>
    </row>
    <row r="92" spans="1:28" ht="15" x14ac:dyDescent="0.25">
      <c r="H92" s="89">
        <f>ROUND(Source!AC86*Source!I86, 2)+ROUND(Source!AF86*Source!I86, 2)+ROUND((((Source!ET86)-(Source!EU86))+Source!AE86)*Source!I86, 2)</f>
        <v>312.93</v>
      </c>
      <c r="I92" s="89"/>
      <c r="K92" s="89">
        <f>Source!O86</f>
        <v>7166.09</v>
      </c>
      <c r="L92" s="89"/>
      <c r="M92" s="37">
        <f>Source!U86</f>
        <v>0</v>
      </c>
      <c r="O92" s="36">
        <f>H92</f>
        <v>312.93</v>
      </c>
      <c r="P92" s="36">
        <f>K92</f>
        <v>7166.09</v>
      </c>
      <c r="Q92" s="36">
        <f>M92</f>
        <v>0</v>
      </c>
      <c r="W92">
        <f>IF(Source!BI86&lt;=1,H92, 0)</f>
        <v>312.93</v>
      </c>
      <c r="X92">
        <f>IF(Source!BI86=2,H92, 0)</f>
        <v>0</v>
      </c>
      <c r="Y92">
        <f>IF(Source!BI86=3,H92, 0)</f>
        <v>0</v>
      </c>
      <c r="Z92">
        <f>IF(Source!BI86=4,H92, 0)</f>
        <v>0</v>
      </c>
    </row>
    <row r="93" spans="1:28" ht="14.25" x14ac:dyDescent="0.2">
      <c r="A93" s="28">
        <v>8</v>
      </c>
      <c r="B93" s="28" t="str">
        <f>Source!E87</f>
        <v>7</v>
      </c>
      <c r="C93" s="29" t="str">
        <f>Source!F87</f>
        <v>201-0856</v>
      </c>
      <c r="D93" s="15" t="str">
        <f>Source!G87</f>
        <v>Хомуты стальные (Хомут Х-12 1,18 кг)</v>
      </c>
      <c r="E93" s="31" t="str">
        <f>Source!H87</f>
        <v>кг</v>
      </c>
      <c r="F93" s="10">
        <f>Source!I87</f>
        <v>2.36</v>
      </c>
      <c r="G93" s="22">
        <f>IF(Source!AK87&lt;&gt; 0, Source!AK87,Source!AL87 + Source!AM87 + Source!AO87)</f>
        <v>9.74</v>
      </c>
      <c r="H93" s="16"/>
      <c r="I93" s="22"/>
      <c r="J93" s="16" t="str">
        <f>Source!BO87</f>
        <v>201-0856</v>
      </c>
      <c r="K93" s="16"/>
      <c r="L93" s="22"/>
      <c r="M93" s="32"/>
      <c r="S93">
        <f>ROUND((Source!FX87/100)*((ROUND(Source!AF87*Source!I87, 2)+ROUND(Source!AE87*Source!I87, 2))), 2)</f>
        <v>0</v>
      </c>
      <c r="T93">
        <f>Source!X87</f>
        <v>0</v>
      </c>
      <c r="U93">
        <f>ROUND((Source!FY87/100)*((ROUND(Source!AF87*Source!I87, 2)+ROUND(Source!AE87*Source!I87, 2))), 2)</f>
        <v>0</v>
      </c>
      <c r="V93">
        <f>Source!Y87</f>
        <v>0</v>
      </c>
    </row>
    <row r="94" spans="1:28" ht="14.25" x14ac:dyDescent="0.2">
      <c r="A94" s="38"/>
      <c r="B94" s="38"/>
      <c r="C94" s="39"/>
      <c r="D94" s="40" t="s">
        <v>540</v>
      </c>
      <c r="E94" s="41"/>
      <c r="F94" s="42"/>
      <c r="G94" s="43">
        <f>Source!AL87</f>
        <v>9.74</v>
      </c>
      <c r="H94" s="44" t="str">
        <f>Source!DD87</f>
        <v/>
      </c>
      <c r="I94" s="43">
        <f>ROUND(Source!AC87*Source!I87, 2)</f>
        <v>22.99</v>
      </c>
      <c r="J94" s="44"/>
      <c r="K94" s="44">
        <f>IF(Source!BC87&lt;&gt; 0, Source!BC87, 1)</f>
        <v>7.38</v>
      </c>
      <c r="L94" s="43">
        <f>Source!P87</f>
        <v>169.64</v>
      </c>
      <c r="M94" s="54"/>
    </row>
    <row r="95" spans="1:28" ht="15" x14ac:dyDescent="0.25">
      <c r="H95" s="89">
        <f>ROUND(Source!AC87*Source!I87, 2)+ROUND(Source!AF87*Source!I87, 2)+ROUND((((Source!ET87)-(Source!EU87))+Source!AE87)*Source!I87, 2)</f>
        <v>22.99</v>
      </c>
      <c r="I95" s="89"/>
      <c r="K95" s="89">
        <f>Source!O87</f>
        <v>169.64</v>
      </c>
      <c r="L95" s="89"/>
      <c r="M95" s="37">
        <f>Source!U87</f>
        <v>0</v>
      </c>
      <c r="O95" s="36">
        <f>H95</f>
        <v>22.99</v>
      </c>
      <c r="P95" s="36">
        <f>K95</f>
        <v>169.64</v>
      </c>
      <c r="Q95" s="36">
        <f>M95</f>
        <v>0</v>
      </c>
      <c r="W95">
        <f>IF(Source!BI87&lt;=1,H95, 0)</f>
        <v>22.99</v>
      </c>
      <c r="X95">
        <f>IF(Source!BI87=2,H95, 0)</f>
        <v>0</v>
      </c>
      <c r="Y95">
        <f>IF(Source!BI87=3,H95, 0)</f>
        <v>0</v>
      </c>
      <c r="Z95">
        <f>IF(Source!BI87=4,H95, 0)</f>
        <v>0</v>
      </c>
    </row>
    <row r="96" spans="1:28" ht="28.5" x14ac:dyDescent="0.2">
      <c r="A96" s="28">
        <v>9</v>
      </c>
      <c r="B96" s="28" t="str">
        <f>Source!E88</f>
        <v>8</v>
      </c>
      <c r="C96" s="29" t="str">
        <f>Source!F88</f>
        <v>204-0003</v>
      </c>
      <c r="D96" s="15" t="str">
        <f>Source!G88</f>
        <v>Горячекатаная арматурная сталь гладкая класса А-I, диаметром 10 мм</v>
      </c>
      <c r="E96" s="31" t="str">
        <f>Source!H88</f>
        <v>т</v>
      </c>
      <c r="F96" s="10">
        <f>Source!I88</f>
        <v>5.169E-3</v>
      </c>
      <c r="G96" s="22">
        <f>IF(Source!AK88&lt;&gt; 0, Source!AK88,Source!AL88 + Source!AM88 + Source!AO88)</f>
        <v>6813</v>
      </c>
      <c r="H96" s="16"/>
      <c r="I96" s="22"/>
      <c r="J96" s="16" t="str">
        <f>Source!BO88</f>
        <v>204-0003</v>
      </c>
      <c r="K96" s="16"/>
      <c r="L96" s="22"/>
      <c r="M96" s="32"/>
      <c r="S96">
        <f>ROUND((Source!FX88/100)*((ROUND(Source!AF88*Source!I88, 2)+ROUND(Source!AE88*Source!I88, 2))), 2)</f>
        <v>0</v>
      </c>
      <c r="T96">
        <f>Source!X88</f>
        <v>0</v>
      </c>
      <c r="U96">
        <f>ROUND((Source!FY88/100)*((ROUND(Source!AF88*Source!I88, 2)+ROUND(Source!AE88*Source!I88, 2))), 2)</f>
        <v>0</v>
      </c>
      <c r="V96">
        <f>Source!Y88</f>
        <v>0</v>
      </c>
    </row>
    <row r="97" spans="1:26" ht="14.25" x14ac:dyDescent="0.2">
      <c r="A97" s="38"/>
      <c r="B97" s="38"/>
      <c r="C97" s="39"/>
      <c r="D97" s="40" t="s">
        <v>540</v>
      </c>
      <c r="E97" s="41"/>
      <c r="F97" s="42"/>
      <c r="G97" s="43">
        <f>Source!AL88</f>
        <v>6813</v>
      </c>
      <c r="H97" s="44" t="str">
        <f>Source!DD88</f>
        <v/>
      </c>
      <c r="I97" s="43">
        <f>ROUND(Source!AC88*Source!I88, 2)</f>
        <v>35.22</v>
      </c>
      <c r="J97" s="44"/>
      <c r="K97" s="44">
        <f>IF(Source!BC88&lt;&gt; 0, Source!BC88, 1)</f>
        <v>10.43</v>
      </c>
      <c r="L97" s="43">
        <f>Source!P88</f>
        <v>367.31</v>
      </c>
      <c r="M97" s="54"/>
    </row>
    <row r="98" spans="1:26" ht="15" x14ac:dyDescent="0.25">
      <c r="H98" s="89">
        <f>ROUND(Source!AC88*Source!I88, 2)+ROUND(Source!AF88*Source!I88, 2)+ROUND((((Source!ET88)-(Source!EU88))+Source!AE88)*Source!I88, 2)</f>
        <v>35.22</v>
      </c>
      <c r="I98" s="89"/>
      <c r="K98" s="89">
        <f>Source!O88</f>
        <v>367.31</v>
      </c>
      <c r="L98" s="89"/>
      <c r="M98" s="37">
        <f>Source!U88</f>
        <v>0</v>
      </c>
      <c r="O98" s="36">
        <f>H98</f>
        <v>35.22</v>
      </c>
      <c r="P98" s="36">
        <f>K98</f>
        <v>367.31</v>
      </c>
      <c r="Q98" s="36">
        <f>M98</f>
        <v>0</v>
      </c>
      <c r="W98">
        <f>IF(Source!BI88&lt;=1,H98, 0)</f>
        <v>35.22</v>
      </c>
      <c r="X98">
        <f>IF(Source!BI88=2,H98, 0)</f>
        <v>0</v>
      </c>
      <c r="Y98">
        <f>IF(Source!BI88=3,H98, 0)</f>
        <v>0</v>
      </c>
      <c r="Z98">
        <f>IF(Source!BI88=4,H98, 0)</f>
        <v>0</v>
      </c>
    </row>
    <row r="99" spans="1:26" ht="42.75" x14ac:dyDescent="0.2">
      <c r="A99" s="28">
        <v>10</v>
      </c>
      <c r="B99" s="28" t="str">
        <f>Source!E89</f>
        <v>9</v>
      </c>
      <c r="C99" s="29" t="str">
        <f>Source!F89</f>
        <v>110-0318</v>
      </c>
      <c r="D99" s="15" t="str">
        <f>Source!G89</f>
        <v>Изоляторы линейные штыревые высоковольтные ШФ 20-Г (прим. Изолятор ШФ-20)</v>
      </c>
      <c r="E99" s="31" t="str">
        <f>Source!H89</f>
        <v>шт.</v>
      </c>
      <c r="F99" s="10">
        <f>Source!I89</f>
        <v>3</v>
      </c>
      <c r="G99" s="22">
        <f>IF(Source!AK89&lt;&gt; 0, Source!AK89,Source!AL89 + Source!AM89 + Source!AO89)</f>
        <v>43.95</v>
      </c>
      <c r="H99" s="16"/>
      <c r="I99" s="22"/>
      <c r="J99" s="16" t="str">
        <f>Source!BO89</f>
        <v>110-0318</v>
      </c>
      <c r="K99" s="16"/>
      <c r="L99" s="22"/>
      <c r="M99" s="32"/>
      <c r="S99">
        <f>ROUND((Source!FX89/100)*((ROUND(Source!AF89*Source!I89, 2)+ROUND(Source!AE89*Source!I89, 2))), 2)</f>
        <v>0</v>
      </c>
      <c r="T99">
        <f>Source!X89</f>
        <v>0</v>
      </c>
      <c r="U99">
        <f>ROUND((Source!FY89/100)*((ROUND(Source!AF89*Source!I89, 2)+ROUND(Source!AE89*Source!I89, 2))), 2)</f>
        <v>0</v>
      </c>
      <c r="V99">
        <f>Source!Y89</f>
        <v>0</v>
      </c>
    </row>
    <row r="100" spans="1:26" ht="14.25" x14ac:dyDescent="0.2">
      <c r="A100" s="38"/>
      <c r="B100" s="38"/>
      <c r="C100" s="39"/>
      <c r="D100" s="40" t="s">
        <v>540</v>
      </c>
      <c r="E100" s="41"/>
      <c r="F100" s="42"/>
      <c r="G100" s="43">
        <f>Source!AL89</f>
        <v>43.95</v>
      </c>
      <c r="H100" s="44" t="str">
        <f>Source!DD89</f>
        <v/>
      </c>
      <c r="I100" s="43">
        <f>ROUND(Source!AC89*Source!I89, 2)</f>
        <v>131.85</v>
      </c>
      <c r="J100" s="44"/>
      <c r="K100" s="44">
        <f>IF(Source!BC89&lt;&gt; 0, Source!BC89, 1)</f>
        <v>6.63</v>
      </c>
      <c r="L100" s="43">
        <f>Source!P89</f>
        <v>874.17</v>
      </c>
      <c r="M100" s="54"/>
    </row>
    <row r="101" spans="1:26" ht="15" x14ac:dyDescent="0.25">
      <c r="H101" s="89">
        <f>ROUND(Source!AC89*Source!I89, 2)+ROUND(Source!AF89*Source!I89, 2)+ROUND((((Source!ET89)-(Source!EU89))+Source!AE89)*Source!I89, 2)</f>
        <v>131.85</v>
      </c>
      <c r="I101" s="89"/>
      <c r="K101" s="89">
        <f>Source!O89</f>
        <v>874.17</v>
      </c>
      <c r="L101" s="89"/>
      <c r="M101" s="37">
        <f>Source!U89</f>
        <v>0</v>
      </c>
      <c r="O101" s="36">
        <f>H101</f>
        <v>131.85</v>
      </c>
      <c r="P101" s="36">
        <f>K101</f>
        <v>874.17</v>
      </c>
      <c r="Q101" s="36">
        <f>M101</f>
        <v>0</v>
      </c>
      <c r="W101">
        <f>IF(Source!BI89&lt;=1,H101, 0)</f>
        <v>131.85</v>
      </c>
      <c r="X101">
        <f>IF(Source!BI89=2,H101, 0)</f>
        <v>0</v>
      </c>
      <c r="Y101">
        <f>IF(Source!BI89=3,H101, 0)</f>
        <v>0</v>
      </c>
      <c r="Z101">
        <f>IF(Source!BI89=4,H101, 0)</f>
        <v>0</v>
      </c>
    </row>
    <row r="102" spans="1:26" ht="14.25" x14ac:dyDescent="0.2">
      <c r="A102" s="28">
        <v>11</v>
      </c>
      <c r="B102" s="28" t="str">
        <f>Source!E90</f>
        <v>10</v>
      </c>
      <c r="C102" s="29" t="str">
        <f>Source!F90</f>
        <v>509-1714</v>
      </c>
      <c r="D102" s="15" t="str">
        <f>Source!G90</f>
        <v>Зажим натяжной болтовый НБ-2-6</v>
      </c>
      <c r="E102" s="31" t="str">
        <f>Source!H90</f>
        <v>шт.</v>
      </c>
      <c r="F102" s="10">
        <f>Source!I90</f>
        <v>3</v>
      </c>
      <c r="G102" s="22">
        <f>IF(Source!AK90&lt;&gt; 0, Source!AK90,Source!AL90 + Source!AM90 + Source!AO90)</f>
        <v>90.78</v>
      </c>
      <c r="H102" s="16"/>
      <c r="I102" s="22"/>
      <c r="J102" s="16" t="str">
        <f>Source!BO90</f>
        <v>509-1714</v>
      </c>
      <c r="K102" s="16"/>
      <c r="L102" s="22"/>
      <c r="M102" s="32"/>
      <c r="S102">
        <f>ROUND((Source!FX90/100)*((ROUND(Source!AF90*Source!I90, 2)+ROUND(Source!AE90*Source!I90, 2))), 2)</f>
        <v>0</v>
      </c>
      <c r="T102">
        <f>Source!X90</f>
        <v>0</v>
      </c>
      <c r="U102">
        <f>ROUND((Source!FY90/100)*((ROUND(Source!AF90*Source!I90, 2)+ROUND(Source!AE90*Source!I90, 2))), 2)</f>
        <v>0</v>
      </c>
      <c r="V102">
        <f>Source!Y90</f>
        <v>0</v>
      </c>
    </row>
    <row r="103" spans="1:26" ht="14.25" x14ac:dyDescent="0.2">
      <c r="A103" s="38"/>
      <c r="B103" s="38"/>
      <c r="C103" s="39"/>
      <c r="D103" s="40" t="s">
        <v>540</v>
      </c>
      <c r="E103" s="41"/>
      <c r="F103" s="42"/>
      <c r="G103" s="43">
        <f>Source!AL90</f>
        <v>90.78</v>
      </c>
      <c r="H103" s="44" t="str">
        <f>Source!DD90</f>
        <v/>
      </c>
      <c r="I103" s="43">
        <f>ROUND(Source!AC90*Source!I90, 2)</f>
        <v>272.33999999999997</v>
      </c>
      <c r="J103" s="44"/>
      <c r="K103" s="44">
        <f>IF(Source!BC90&lt;&gt; 0, Source!BC90, 1)</f>
        <v>8.2899999999999991</v>
      </c>
      <c r="L103" s="43">
        <f>Source!P90</f>
        <v>2257.6999999999998</v>
      </c>
      <c r="M103" s="54"/>
    </row>
    <row r="104" spans="1:26" ht="15" x14ac:dyDescent="0.25">
      <c r="H104" s="89">
        <f>ROUND(Source!AC90*Source!I90, 2)+ROUND(Source!AF90*Source!I90, 2)+ROUND((((Source!ET90)-(Source!EU90))+Source!AE90)*Source!I90, 2)</f>
        <v>272.33999999999997</v>
      </c>
      <c r="I104" s="89"/>
      <c r="K104" s="89">
        <f>Source!O90</f>
        <v>2257.6999999999998</v>
      </c>
      <c r="L104" s="89"/>
      <c r="M104" s="37">
        <f>Source!U90</f>
        <v>0</v>
      </c>
      <c r="O104" s="36">
        <f>H104</f>
        <v>272.33999999999997</v>
      </c>
      <c r="P104" s="36">
        <f>K104</f>
        <v>2257.6999999999998</v>
      </c>
      <c r="Q104" s="36">
        <f>M104</f>
        <v>0</v>
      </c>
      <c r="W104">
        <f>IF(Source!BI90&lt;=1,H104, 0)</f>
        <v>0</v>
      </c>
      <c r="X104">
        <f>IF(Source!BI90=2,H104, 0)</f>
        <v>272.33999999999997</v>
      </c>
      <c r="Y104">
        <f>IF(Source!BI90=3,H104, 0)</f>
        <v>0</v>
      </c>
      <c r="Z104">
        <f>IF(Source!BI90=4,H104, 0)</f>
        <v>0</v>
      </c>
    </row>
    <row r="105" spans="1:26" ht="28.5" x14ac:dyDescent="0.2">
      <c r="A105" s="28">
        <v>12</v>
      </c>
      <c r="B105" s="28" t="str">
        <f>Source!E91</f>
        <v>11</v>
      </c>
      <c r="C105" s="29" t="str">
        <f>Source!F91</f>
        <v>110-0316</v>
      </c>
      <c r="D105" s="15" t="str">
        <f>Source!G91</f>
        <v>Звено промежуточное трехлапчатое ПРТ-7-1</v>
      </c>
      <c r="E105" s="31" t="str">
        <f>Source!H91</f>
        <v>шт.</v>
      </c>
      <c r="F105" s="10">
        <f>Source!I91</f>
        <v>3</v>
      </c>
      <c r="G105" s="22">
        <f>IF(Source!AK91&lt;&gt; 0, Source!AK91,Source!AL91 + Source!AM91 + Source!AO91)</f>
        <v>36.979999999999997</v>
      </c>
      <c r="H105" s="16"/>
      <c r="I105" s="22"/>
      <c r="J105" s="16" t="str">
        <f>Source!BO91</f>
        <v>110-0316</v>
      </c>
      <c r="K105" s="16"/>
      <c r="L105" s="22"/>
      <c r="M105" s="32"/>
      <c r="S105">
        <f>ROUND((Source!FX91/100)*((ROUND(Source!AF91*Source!I91, 2)+ROUND(Source!AE91*Source!I91, 2))), 2)</f>
        <v>0</v>
      </c>
      <c r="T105">
        <f>Source!X91</f>
        <v>0</v>
      </c>
      <c r="U105">
        <f>ROUND((Source!FY91/100)*((ROUND(Source!AF91*Source!I91, 2)+ROUND(Source!AE91*Source!I91, 2))), 2)</f>
        <v>0</v>
      </c>
      <c r="V105">
        <f>Source!Y91</f>
        <v>0</v>
      </c>
    </row>
    <row r="106" spans="1:26" ht="14.25" x14ac:dyDescent="0.2">
      <c r="A106" s="38"/>
      <c r="B106" s="38"/>
      <c r="C106" s="39"/>
      <c r="D106" s="40" t="s">
        <v>540</v>
      </c>
      <c r="E106" s="41"/>
      <c r="F106" s="42"/>
      <c r="G106" s="43">
        <f>Source!AL91</f>
        <v>36.979999999999997</v>
      </c>
      <c r="H106" s="44" t="str">
        <f>Source!DD91</f>
        <v/>
      </c>
      <c r="I106" s="43">
        <f>ROUND(Source!AC91*Source!I91, 2)</f>
        <v>110.94</v>
      </c>
      <c r="J106" s="44"/>
      <c r="K106" s="44">
        <f>IF(Source!BC91&lt;&gt; 0, Source!BC91, 1)</f>
        <v>4.92</v>
      </c>
      <c r="L106" s="43">
        <f>Source!P91</f>
        <v>545.82000000000005</v>
      </c>
      <c r="M106" s="54"/>
    </row>
    <row r="107" spans="1:26" ht="15" x14ac:dyDescent="0.25">
      <c r="H107" s="89">
        <f>ROUND(Source!AC91*Source!I91, 2)+ROUND(Source!AF91*Source!I91, 2)+ROUND((((Source!ET91)-(Source!EU91))+Source!AE91)*Source!I91, 2)</f>
        <v>110.94</v>
      </c>
      <c r="I107" s="89"/>
      <c r="K107" s="89">
        <f>Source!O91</f>
        <v>545.82000000000005</v>
      </c>
      <c r="L107" s="89"/>
      <c r="M107" s="37">
        <f>Source!U91</f>
        <v>0</v>
      </c>
      <c r="O107" s="36">
        <f>H107</f>
        <v>110.94</v>
      </c>
      <c r="P107" s="36">
        <f>K107</f>
        <v>545.82000000000005</v>
      </c>
      <c r="Q107" s="36">
        <f>M107</f>
        <v>0</v>
      </c>
      <c r="W107">
        <f>IF(Source!BI91&lt;=1,H107, 0)</f>
        <v>110.94</v>
      </c>
      <c r="X107">
        <f>IF(Source!BI91=2,H107, 0)</f>
        <v>0</v>
      </c>
      <c r="Y107">
        <f>IF(Source!BI91=3,H107, 0)</f>
        <v>0</v>
      </c>
      <c r="Z107">
        <f>IF(Source!BI91=4,H107, 0)</f>
        <v>0</v>
      </c>
    </row>
    <row r="108" spans="1:26" ht="14.25" x14ac:dyDescent="0.2">
      <c r="A108" s="28">
        <v>13</v>
      </c>
      <c r="B108" s="28" t="str">
        <f>Source!E92</f>
        <v>12</v>
      </c>
      <c r="C108" s="29" t="str">
        <f>Source!F92</f>
        <v>509-1771</v>
      </c>
      <c r="D108" s="15" t="str">
        <f>Source!G92</f>
        <v>Ушко однолапчатое У1-7-16</v>
      </c>
      <c r="E108" s="31" t="str">
        <f>Source!H92</f>
        <v>шт.</v>
      </c>
      <c r="F108" s="10">
        <f>Source!I92</f>
        <v>3</v>
      </c>
      <c r="G108" s="22">
        <f>IF(Source!AK92&lt;&gt; 0, Source!AK92,Source!AL92 + Source!AM92 + Source!AO92)</f>
        <v>39.909999999999997</v>
      </c>
      <c r="H108" s="16"/>
      <c r="I108" s="22"/>
      <c r="J108" s="16" t="str">
        <f>Source!BO92</f>
        <v>509-1771</v>
      </c>
      <c r="K108" s="16"/>
      <c r="L108" s="22"/>
      <c r="M108" s="32"/>
      <c r="S108">
        <f>ROUND((Source!FX92/100)*((ROUND(Source!AF92*Source!I92, 2)+ROUND(Source!AE92*Source!I92, 2))), 2)</f>
        <v>0</v>
      </c>
      <c r="T108">
        <f>Source!X92</f>
        <v>0</v>
      </c>
      <c r="U108">
        <f>ROUND((Source!FY92/100)*((ROUND(Source!AF92*Source!I92, 2)+ROUND(Source!AE92*Source!I92, 2))), 2)</f>
        <v>0</v>
      </c>
      <c r="V108">
        <f>Source!Y92</f>
        <v>0</v>
      </c>
    </row>
    <row r="109" spans="1:26" ht="14.25" x14ac:dyDescent="0.2">
      <c r="A109" s="38"/>
      <c r="B109" s="38"/>
      <c r="C109" s="39"/>
      <c r="D109" s="40" t="s">
        <v>540</v>
      </c>
      <c r="E109" s="41"/>
      <c r="F109" s="42"/>
      <c r="G109" s="43">
        <f>Source!AL92</f>
        <v>39.909999999999997</v>
      </c>
      <c r="H109" s="44" t="str">
        <f>Source!DD92</f>
        <v/>
      </c>
      <c r="I109" s="43">
        <f>ROUND(Source!AC92*Source!I92, 2)</f>
        <v>119.73</v>
      </c>
      <c r="J109" s="44"/>
      <c r="K109" s="44">
        <f>IF(Source!BC92&lt;&gt; 0, Source!BC92, 1)</f>
        <v>4.5</v>
      </c>
      <c r="L109" s="43">
        <f>Source!P92</f>
        <v>538.79</v>
      </c>
      <c r="M109" s="54"/>
    </row>
    <row r="110" spans="1:26" ht="15" x14ac:dyDescent="0.25">
      <c r="H110" s="89">
        <f>ROUND(Source!AC92*Source!I92, 2)+ROUND(Source!AF92*Source!I92, 2)+ROUND((((Source!ET92)-(Source!EU92))+Source!AE92)*Source!I92, 2)</f>
        <v>119.73</v>
      </c>
      <c r="I110" s="89"/>
      <c r="K110" s="89">
        <f>Source!O92</f>
        <v>538.79</v>
      </c>
      <c r="L110" s="89"/>
      <c r="M110" s="37">
        <f>Source!U92</f>
        <v>0</v>
      </c>
      <c r="O110" s="36">
        <f>H110</f>
        <v>119.73</v>
      </c>
      <c r="P110" s="36">
        <f>K110</f>
        <v>538.79</v>
      </c>
      <c r="Q110" s="36">
        <f>M110</f>
        <v>0</v>
      </c>
      <c r="W110">
        <f>IF(Source!BI92&lt;=1,H110, 0)</f>
        <v>0</v>
      </c>
      <c r="X110">
        <f>IF(Source!BI92=2,H110, 0)</f>
        <v>119.73</v>
      </c>
      <c r="Y110">
        <f>IF(Source!BI92=3,H110, 0)</f>
        <v>0</v>
      </c>
      <c r="Z110">
        <f>IF(Source!BI92=4,H110, 0)</f>
        <v>0</v>
      </c>
    </row>
    <row r="111" spans="1:26" ht="42.75" x14ac:dyDescent="0.2">
      <c r="A111" s="28">
        <v>14</v>
      </c>
      <c r="B111" s="28" t="str">
        <f>Source!E93</f>
        <v>13</v>
      </c>
      <c r="C111" s="29" t="str">
        <f>Source!F93</f>
        <v>110-0345</v>
      </c>
      <c r="D111" s="15" t="str">
        <f>Source!G93</f>
        <v>Изоляторы линейные подвесные стеклянные ПСД-70Е  (прим. Изолятор ПС-70)</v>
      </c>
      <c r="E111" s="31" t="str">
        <f>Source!H93</f>
        <v>шт.</v>
      </c>
      <c r="F111" s="10">
        <f>Source!I93</f>
        <v>6</v>
      </c>
      <c r="G111" s="22">
        <f>IF(Source!AK93&lt;&gt; 0, Source!AK93,Source!AL93 + Source!AM93 + Source!AO93)</f>
        <v>171.79</v>
      </c>
      <c r="H111" s="16"/>
      <c r="I111" s="22"/>
      <c r="J111" s="16" t="str">
        <f>Source!BO93</f>
        <v>110-0345</v>
      </c>
      <c r="K111" s="16"/>
      <c r="L111" s="22"/>
      <c r="M111" s="32"/>
      <c r="S111">
        <f>ROUND((Source!FX93/100)*((ROUND(Source!AF93*Source!I93, 2)+ROUND(Source!AE93*Source!I93, 2))), 2)</f>
        <v>0</v>
      </c>
      <c r="T111">
        <f>Source!X93</f>
        <v>0</v>
      </c>
      <c r="U111">
        <f>ROUND((Source!FY93/100)*((ROUND(Source!AF93*Source!I93, 2)+ROUND(Source!AE93*Source!I93, 2))), 2)</f>
        <v>0</v>
      </c>
      <c r="V111">
        <f>Source!Y93</f>
        <v>0</v>
      </c>
    </row>
    <row r="112" spans="1:26" ht="14.25" x14ac:dyDescent="0.2">
      <c r="A112" s="38"/>
      <c r="B112" s="38"/>
      <c r="C112" s="39"/>
      <c r="D112" s="40" t="s">
        <v>540</v>
      </c>
      <c r="E112" s="41"/>
      <c r="F112" s="42"/>
      <c r="G112" s="43">
        <f>Source!AL93</f>
        <v>171.79</v>
      </c>
      <c r="H112" s="44" t="str">
        <f>Source!DD93</f>
        <v/>
      </c>
      <c r="I112" s="43">
        <f>ROUND(Source!AC93*Source!I93, 2)</f>
        <v>1030.74</v>
      </c>
      <c r="J112" s="44"/>
      <c r="K112" s="44">
        <f>IF(Source!BC93&lt;&gt; 0, Source!BC93, 1)</f>
        <v>10.15</v>
      </c>
      <c r="L112" s="43">
        <f>Source!P93</f>
        <v>10462.01</v>
      </c>
      <c r="M112" s="54"/>
    </row>
    <row r="113" spans="1:26" ht="15" x14ac:dyDescent="0.25">
      <c r="H113" s="89">
        <f>ROUND(Source!AC93*Source!I93, 2)+ROUND(Source!AF93*Source!I93, 2)+ROUND((((Source!ET93)-(Source!EU93))+Source!AE93)*Source!I93, 2)</f>
        <v>1030.74</v>
      </c>
      <c r="I113" s="89"/>
      <c r="K113" s="89">
        <f>Source!O93</f>
        <v>10462.01</v>
      </c>
      <c r="L113" s="89"/>
      <c r="M113" s="37">
        <f>Source!U93</f>
        <v>0</v>
      </c>
      <c r="O113" s="36">
        <f>H113</f>
        <v>1030.74</v>
      </c>
      <c r="P113" s="36">
        <f>K113</f>
        <v>10462.01</v>
      </c>
      <c r="Q113" s="36">
        <f>M113</f>
        <v>0</v>
      </c>
      <c r="W113">
        <f>IF(Source!BI93&lt;=1,H113, 0)</f>
        <v>1030.74</v>
      </c>
      <c r="X113">
        <f>IF(Source!BI93=2,H113, 0)</f>
        <v>0</v>
      </c>
      <c r="Y113">
        <f>IF(Source!BI93=3,H113, 0)</f>
        <v>0</v>
      </c>
      <c r="Z113">
        <f>IF(Source!BI93=4,H113, 0)</f>
        <v>0</v>
      </c>
    </row>
    <row r="114" spans="1:26" ht="28.5" x14ac:dyDescent="0.2">
      <c r="A114" s="28">
        <v>15</v>
      </c>
      <c r="B114" s="28" t="str">
        <f>Source!E94</f>
        <v>14</v>
      </c>
      <c r="C114" s="29" t="str">
        <f>Source!F94</f>
        <v>509-5944</v>
      </c>
      <c r="D114" s="15" t="str">
        <f>Source!G94</f>
        <v>Зажим аппаратный прессуемый А1А-70-2</v>
      </c>
      <c r="E114" s="31" t="str">
        <f>Source!H94</f>
        <v>шт.</v>
      </c>
      <c r="F114" s="10">
        <f>Source!I94</f>
        <v>6</v>
      </c>
      <c r="G114" s="22">
        <f>IF(Source!AK94&lt;&gt; 0, Source!AK94,Source!AL94 + Source!AM94 + Source!AO94)</f>
        <v>17.260000000000002</v>
      </c>
      <c r="H114" s="16"/>
      <c r="I114" s="22"/>
      <c r="J114" s="16" t="str">
        <f>Source!BO94</f>
        <v>509-5944</v>
      </c>
      <c r="K114" s="16"/>
      <c r="L114" s="22"/>
      <c r="M114" s="32"/>
      <c r="S114">
        <f>ROUND((Source!FX94/100)*((ROUND(Source!AF94*Source!I94, 2)+ROUND(Source!AE94*Source!I94, 2))), 2)</f>
        <v>0</v>
      </c>
      <c r="T114">
        <f>Source!X94</f>
        <v>0</v>
      </c>
      <c r="U114">
        <f>ROUND((Source!FY94/100)*((ROUND(Source!AF94*Source!I94, 2)+ROUND(Source!AE94*Source!I94, 2))), 2)</f>
        <v>0</v>
      </c>
      <c r="V114">
        <f>Source!Y94</f>
        <v>0</v>
      </c>
    </row>
    <row r="115" spans="1:26" ht="14.25" x14ac:dyDescent="0.2">
      <c r="A115" s="38"/>
      <c r="B115" s="38"/>
      <c r="C115" s="39"/>
      <c r="D115" s="40" t="s">
        <v>540</v>
      </c>
      <c r="E115" s="41"/>
      <c r="F115" s="42"/>
      <c r="G115" s="43">
        <f>Source!AL94</f>
        <v>17.260000000000002</v>
      </c>
      <c r="H115" s="44" t="str">
        <f>Source!DD94</f>
        <v/>
      </c>
      <c r="I115" s="43">
        <f>ROUND(Source!AC94*Source!I94, 2)</f>
        <v>103.56</v>
      </c>
      <c r="J115" s="44"/>
      <c r="K115" s="44">
        <f>IF(Source!BC94&lt;&gt; 0, Source!BC94, 1)</f>
        <v>8.42</v>
      </c>
      <c r="L115" s="43">
        <f>Source!P94</f>
        <v>871.98</v>
      </c>
      <c r="M115" s="54"/>
    </row>
    <row r="116" spans="1:26" ht="15" x14ac:dyDescent="0.25">
      <c r="H116" s="89">
        <f>ROUND(Source!AC94*Source!I94, 2)+ROUND(Source!AF94*Source!I94, 2)+ROUND((((Source!ET94)-(Source!EU94))+Source!AE94)*Source!I94, 2)</f>
        <v>103.56</v>
      </c>
      <c r="I116" s="89"/>
      <c r="K116" s="89">
        <f>Source!O94</f>
        <v>871.98</v>
      </c>
      <c r="L116" s="89"/>
      <c r="M116" s="37">
        <f>Source!U94</f>
        <v>0</v>
      </c>
      <c r="O116" s="36">
        <f>H116</f>
        <v>103.56</v>
      </c>
      <c r="P116" s="36">
        <f>K116</f>
        <v>871.98</v>
      </c>
      <c r="Q116" s="36">
        <f>M116</f>
        <v>0</v>
      </c>
      <c r="W116">
        <f>IF(Source!BI94&lt;=1,H116, 0)</f>
        <v>0</v>
      </c>
      <c r="X116">
        <f>IF(Source!BI94=2,H116, 0)</f>
        <v>103.56</v>
      </c>
      <c r="Y116">
        <f>IF(Source!BI94=3,H116, 0)</f>
        <v>0</v>
      </c>
      <c r="Z116">
        <f>IF(Source!BI94=4,H116, 0)</f>
        <v>0</v>
      </c>
    </row>
    <row r="117" spans="1:26" ht="28.5" x14ac:dyDescent="0.2">
      <c r="A117" s="28">
        <v>16</v>
      </c>
      <c r="B117" s="28" t="str">
        <f>Source!E95</f>
        <v>15</v>
      </c>
      <c r="C117" s="29" t="str">
        <f>Source!F95</f>
        <v>Прайс-лист</v>
      </c>
      <c r="D117" s="15" t="s">
        <v>541</v>
      </c>
      <c r="E117" s="31" t="str">
        <f>Source!H95</f>
        <v>шт.</v>
      </c>
      <c r="F117" s="10">
        <f>Source!I95</f>
        <v>1</v>
      </c>
      <c r="G117" s="22">
        <f>IF(Source!AK95&lt;&gt; 0, Source!AK95,Source!AL95 + Source!AM95 + Source!AO95)</f>
        <v>583.33000000000004</v>
      </c>
      <c r="H117" s="16"/>
      <c r="I117" s="22"/>
      <c r="J117" s="16" t="str">
        <f>Source!BO95</f>
        <v/>
      </c>
      <c r="K117" s="16"/>
      <c r="L117" s="22"/>
      <c r="M117" s="32"/>
      <c r="S117">
        <f>ROUND((Source!FX95/100)*((ROUND(Source!AF95*Source!I95, 2)+ROUND(Source!AE95*Source!I95, 2))), 2)</f>
        <v>0</v>
      </c>
      <c r="T117">
        <f>Source!X95</f>
        <v>0</v>
      </c>
      <c r="U117">
        <f>ROUND((Source!FY95/100)*((ROUND(Source!AF95*Source!I95, 2)+ROUND(Source!AE95*Source!I95, 2))), 2)</f>
        <v>0</v>
      </c>
      <c r="V117">
        <f>Source!Y95</f>
        <v>0</v>
      </c>
    </row>
    <row r="118" spans="1:26" ht="14.25" x14ac:dyDescent="0.2">
      <c r="A118" s="38"/>
      <c r="B118" s="38"/>
      <c r="C118" s="39"/>
      <c r="D118" s="40" t="s">
        <v>540</v>
      </c>
      <c r="E118" s="41"/>
      <c r="F118" s="42"/>
      <c r="G118" s="43">
        <f>Source!AL95</f>
        <v>583.33000000000004</v>
      </c>
      <c r="H118" s="44" t="str">
        <f>Source!DD95</f>
        <v/>
      </c>
      <c r="I118" s="43">
        <f>ROUND(Source!AC95*Source!I95, 2)</f>
        <v>583.33000000000004</v>
      </c>
      <c r="J118" s="44"/>
      <c r="K118" s="44">
        <f>IF(Source!BC95&lt;&gt; 0, Source!BC95, 1)</f>
        <v>1</v>
      </c>
      <c r="L118" s="43">
        <f>Source!P95</f>
        <v>583.33000000000004</v>
      </c>
      <c r="M118" s="54"/>
    </row>
    <row r="119" spans="1:26" ht="15" x14ac:dyDescent="0.25">
      <c r="H119" s="89">
        <f>ROUND(Source!AC95*Source!I95, 2)+ROUND(Source!AF95*Source!I95, 2)+ROUND((((Source!ET95)-(Source!EU95))+Source!AE95)*Source!I95, 2)</f>
        <v>583.33000000000004</v>
      </c>
      <c r="I119" s="89"/>
      <c r="K119" s="89">
        <f>Source!O95</f>
        <v>583.33000000000004</v>
      </c>
      <c r="L119" s="89"/>
      <c r="M119" s="37">
        <f>Source!U95</f>
        <v>0</v>
      </c>
      <c r="O119" s="36">
        <f>H119</f>
        <v>583.33000000000004</v>
      </c>
      <c r="P119" s="36">
        <f>K119</f>
        <v>583.33000000000004</v>
      </c>
      <c r="Q119" s="36">
        <f>M119</f>
        <v>0</v>
      </c>
      <c r="W119">
        <f>IF(Source!BI95&lt;=1,H119, 0)</f>
        <v>583.33000000000004</v>
      </c>
      <c r="X119">
        <f>IF(Source!BI95=2,H119, 0)</f>
        <v>0</v>
      </c>
      <c r="Y119">
        <f>IF(Source!BI95=3,H119, 0)</f>
        <v>0</v>
      </c>
      <c r="Z119">
        <f>IF(Source!BI95=4,H119, 0)</f>
        <v>0</v>
      </c>
    </row>
    <row r="120" spans="1:26" ht="28.5" x14ac:dyDescent="0.2">
      <c r="A120" s="28">
        <v>17</v>
      </c>
      <c r="B120" s="28" t="str">
        <f>Source!E96</f>
        <v>16</v>
      </c>
      <c r="C120" s="29" t="str">
        <f>Source!F96</f>
        <v>33-04-030-1</v>
      </c>
      <c r="D120" s="15" t="str">
        <f>Source!G96</f>
        <v>Установка разрядников с помощью механизмов</v>
      </c>
      <c r="E120" s="31" t="str">
        <f>Source!H96</f>
        <v>1 КОМПЛ.</v>
      </c>
      <c r="F120" s="10">
        <f>Source!I96</f>
        <v>1</v>
      </c>
      <c r="G120" s="22">
        <f>IF(Source!AK96&lt;&gt; 0, Source!AK96,Source!AL96 + Source!AM96 + Source!AO96)</f>
        <v>141.72</v>
      </c>
      <c r="H120" s="16"/>
      <c r="I120" s="22"/>
      <c r="J120" s="16" t="str">
        <f>Source!BO96</f>
        <v>33-04-030-1</v>
      </c>
      <c r="K120" s="16"/>
      <c r="L120" s="22"/>
      <c r="M120" s="32"/>
      <c r="S120">
        <f>ROUND((Source!FX96/100)*((ROUND(Source!AF96*Source!I96, 2)+ROUND(Source!AE96*Source!I96, 2))), 2)</f>
        <v>45.58</v>
      </c>
      <c r="T120">
        <f>Source!X96</f>
        <v>1607.52</v>
      </c>
      <c r="U120">
        <f>ROUND((Source!FY96/100)*((ROUND(Source!AF96*Source!I96, 2)+ROUND(Source!AE96*Source!I96, 2))), 2)</f>
        <v>26.55</v>
      </c>
      <c r="V120">
        <f>Source!Y96</f>
        <v>936.42</v>
      </c>
    </row>
    <row r="121" spans="1:26" ht="14.25" x14ac:dyDescent="0.2">
      <c r="A121" s="28"/>
      <c r="B121" s="28"/>
      <c r="C121" s="29"/>
      <c r="D121" s="15" t="s">
        <v>533</v>
      </c>
      <c r="E121" s="31"/>
      <c r="F121" s="10"/>
      <c r="G121" s="22">
        <f>Source!AO96</f>
        <v>35.520000000000003</v>
      </c>
      <c r="H121" s="16" t="str">
        <f>Source!DG96</f>
        <v/>
      </c>
      <c r="I121" s="22">
        <f>ROUND(Source!AF96*Source!I96, 2)</f>
        <v>35.520000000000003</v>
      </c>
      <c r="J121" s="16"/>
      <c r="K121" s="16">
        <f>IF(Source!BA96&lt;&gt; 0, Source!BA96, 1)</f>
        <v>35.270000000000003</v>
      </c>
      <c r="L121" s="22">
        <f>Source!S96</f>
        <v>1252.79</v>
      </c>
      <c r="M121" s="32"/>
      <c r="R121">
        <f>I121</f>
        <v>35.520000000000003</v>
      </c>
    </row>
    <row r="122" spans="1:26" ht="14.25" x14ac:dyDescent="0.2">
      <c r="A122" s="28"/>
      <c r="B122" s="28"/>
      <c r="C122" s="29"/>
      <c r="D122" s="15" t="s">
        <v>45</v>
      </c>
      <c r="E122" s="31"/>
      <c r="F122" s="10"/>
      <c r="G122" s="22">
        <f>Source!AM96</f>
        <v>103.26</v>
      </c>
      <c r="H122" s="16" t="str">
        <f>Source!DE96</f>
        <v/>
      </c>
      <c r="I122" s="22">
        <f>ROUND((((Source!ET96)-(Source!EU96))+Source!AE96)*Source!I96, 2)</f>
        <v>103.26</v>
      </c>
      <c r="J122" s="16"/>
      <c r="K122" s="16">
        <f>IF(Source!BB96&lt;&gt; 0, Source!BB96, 1)</f>
        <v>11.22</v>
      </c>
      <c r="L122" s="22">
        <f>Source!Q96</f>
        <v>1158.58</v>
      </c>
      <c r="M122" s="32"/>
    </row>
    <row r="123" spans="1:26" ht="14.25" x14ac:dyDescent="0.2">
      <c r="A123" s="28"/>
      <c r="B123" s="28"/>
      <c r="C123" s="29"/>
      <c r="D123" s="15" t="s">
        <v>534</v>
      </c>
      <c r="E123" s="31"/>
      <c r="F123" s="10"/>
      <c r="G123" s="22">
        <f>Source!AN96</f>
        <v>8.73</v>
      </c>
      <c r="H123" s="16" t="str">
        <f>Source!DF96</f>
        <v/>
      </c>
      <c r="I123" s="22">
        <f>ROUND(Source!AE96*Source!I96, 2)</f>
        <v>8.73</v>
      </c>
      <c r="J123" s="16"/>
      <c r="K123" s="16">
        <f>IF(Source!BS96&lt;&gt; 0, Source!BS96, 1)</f>
        <v>35.270000000000003</v>
      </c>
      <c r="L123" s="22">
        <f>Source!R96</f>
        <v>307.91000000000003</v>
      </c>
      <c r="M123" s="32"/>
      <c r="R123">
        <f>I123</f>
        <v>8.73</v>
      </c>
    </row>
    <row r="124" spans="1:26" ht="14.25" x14ac:dyDescent="0.2">
      <c r="A124" s="28"/>
      <c r="B124" s="28"/>
      <c r="C124" s="29"/>
      <c r="D124" s="15" t="s">
        <v>540</v>
      </c>
      <c r="E124" s="31"/>
      <c r="F124" s="10"/>
      <c r="G124" s="22">
        <f>Source!AL96</f>
        <v>2.94</v>
      </c>
      <c r="H124" s="16" t="str">
        <f>Source!DD96</f>
        <v/>
      </c>
      <c r="I124" s="22">
        <f>ROUND(Source!AC96*Source!I96, 2)</f>
        <v>2.94</v>
      </c>
      <c r="J124" s="16"/>
      <c r="K124" s="16">
        <f>IF(Source!BC96&lt;&gt; 0, Source!BC96, 1)</f>
        <v>13.66</v>
      </c>
      <c r="L124" s="22">
        <f>Source!P96</f>
        <v>40.159999999999997</v>
      </c>
      <c r="M124" s="32"/>
    </row>
    <row r="125" spans="1:26" ht="14.25" x14ac:dyDescent="0.2">
      <c r="A125" s="28"/>
      <c r="B125" s="28"/>
      <c r="C125" s="29"/>
      <c r="D125" s="15" t="s">
        <v>535</v>
      </c>
      <c r="E125" s="31" t="s">
        <v>536</v>
      </c>
      <c r="F125" s="10">
        <f>Source!BZ96</f>
        <v>103</v>
      </c>
      <c r="G125" s="33"/>
      <c r="H125" s="16"/>
      <c r="I125" s="22">
        <f>SUM(S120:S127)</f>
        <v>45.58</v>
      </c>
      <c r="J125" s="34"/>
      <c r="K125" s="15">
        <f>Source!AT96</f>
        <v>103</v>
      </c>
      <c r="L125" s="22">
        <f>SUM(T120:T127)</f>
        <v>1607.52</v>
      </c>
      <c r="M125" s="32"/>
    </row>
    <row r="126" spans="1:26" ht="14.25" x14ac:dyDescent="0.2">
      <c r="A126" s="28"/>
      <c r="B126" s="28"/>
      <c r="C126" s="29"/>
      <c r="D126" s="15" t="s">
        <v>537</v>
      </c>
      <c r="E126" s="31" t="s">
        <v>536</v>
      </c>
      <c r="F126" s="10">
        <f>Source!CA96</f>
        <v>60</v>
      </c>
      <c r="G126" s="33"/>
      <c r="H126" s="16"/>
      <c r="I126" s="22">
        <f>SUM(U120:U127)</f>
        <v>26.55</v>
      </c>
      <c r="J126" s="34"/>
      <c r="K126" s="15">
        <f>Source!AU96</f>
        <v>60</v>
      </c>
      <c r="L126" s="22">
        <f>SUM(V120:V127)</f>
        <v>936.42</v>
      </c>
      <c r="M126" s="32"/>
    </row>
    <row r="127" spans="1:26" ht="14.25" x14ac:dyDescent="0.2">
      <c r="A127" s="38"/>
      <c r="B127" s="38"/>
      <c r="C127" s="39"/>
      <c r="D127" s="40" t="s">
        <v>538</v>
      </c>
      <c r="E127" s="41" t="s">
        <v>539</v>
      </c>
      <c r="F127" s="42">
        <f>Source!AQ96</f>
        <v>4.29</v>
      </c>
      <c r="G127" s="43"/>
      <c r="H127" s="44" t="str">
        <f>Source!DI96</f>
        <v/>
      </c>
      <c r="I127" s="43"/>
      <c r="J127" s="44"/>
      <c r="K127" s="44"/>
      <c r="L127" s="43"/>
      <c r="M127" s="45">
        <f>Source!U96</f>
        <v>4.29</v>
      </c>
    </row>
    <row r="128" spans="1:26" ht="15" x14ac:dyDescent="0.25">
      <c r="H128" s="89">
        <f>ROUND(Source!AC96*Source!I96, 2)+ROUND(Source!AF96*Source!I96, 2)+ROUND((((Source!ET96)-(Source!EU96))+Source!AE96)*Source!I96, 2)+SUM(I125:I126)</f>
        <v>213.85</v>
      </c>
      <c r="I128" s="89"/>
      <c r="K128" s="89">
        <f>Source!O96+SUM(L125:L126)</f>
        <v>4995.47</v>
      </c>
      <c r="L128" s="89"/>
      <c r="M128" s="37">
        <f>Source!U96</f>
        <v>4.29</v>
      </c>
      <c r="O128" s="36">
        <f>H128</f>
        <v>213.85</v>
      </c>
      <c r="P128" s="36">
        <f>K128</f>
        <v>4995.47</v>
      </c>
      <c r="Q128" s="36">
        <f>M128</f>
        <v>4.29</v>
      </c>
      <c r="W128">
        <f>IF(Source!BI96&lt;=1,H128, 0)</f>
        <v>213.85</v>
      </c>
      <c r="X128">
        <f>IF(Source!BI96=2,H128, 0)</f>
        <v>0</v>
      </c>
      <c r="Y128">
        <f>IF(Source!BI96=3,H128, 0)</f>
        <v>0</v>
      </c>
      <c r="Z128">
        <f>IF(Source!BI96=4,H128, 0)</f>
        <v>0</v>
      </c>
    </row>
    <row r="129" spans="1:28" ht="28.5" x14ac:dyDescent="0.2">
      <c r="A129" s="28">
        <v>18</v>
      </c>
      <c r="B129" s="28" t="str">
        <f>Source!E102</f>
        <v>17</v>
      </c>
      <c r="C129" s="29" t="str">
        <f>Source!F102</f>
        <v>204-0003</v>
      </c>
      <c r="D129" s="15" t="str">
        <f>Source!G102</f>
        <v>Горячекатаная арматурная сталь гладкая класса А-I, диаметром 10 мм</v>
      </c>
      <c r="E129" s="31" t="str">
        <f>Source!H102</f>
        <v>т</v>
      </c>
      <c r="F129" s="10">
        <f>Source!I102</f>
        <v>5.169E-3</v>
      </c>
      <c r="G129" s="22">
        <f>IF(Source!AK102&lt;&gt; 0, Source!AK102,Source!AL102 + Source!AM102 + Source!AO102)</f>
        <v>6813</v>
      </c>
      <c r="H129" s="16"/>
      <c r="I129" s="22"/>
      <c r="J129" s="16" t="str">
        <f>Source!BO102</f>
        <v>204-0003</v>
      </c>
      <c r="K129" s="16"/>
      <c r="L129" s="22"/>
      <c r="M129" s="32"/>
      <c r="S129">
        <f>ROUND((Source!FX102/100)*((ROUND(Source!AF102*Source!I102, 2)+ROUND(Source!AE102*Source!I102, 2))), 2)</f>
        <v>0</v>
      </c>
      <c r="T129">
        <f>Source!X102</f>
        <v>0</v>
      </c>
      <c r="U129">
        <f>ROUND((Source!FY102/100)*((ROUND(Source!AF102*Source!I102, 2)+ROUND(Source!AE102*Source!I102, 2))), 2)</f>
        <v>0</v>
      </c>
      <c r="V129">
        <f>Source!Y102</f>
        <v>0</v>
      </c>
    </row>
    <row r="130" spans="1:28" ht="14.25" x14ac:dyDescent="0.2">
      <c r="A130" s="38"/>
      <c r="B130" s="38"/>
      <c r="C130" s="39"/>
      <c r="D130" s="40" t="s">
        <v>540</v>
      </c>
      <c r="E130" s="41"/>
      <c r="F130" s="42"/>
      <c r="G130" s="43">
        <f>Source!AL102</f>
        <v>6813</v>
      </c>
      <c r="H130" s="44" t="str">
        <f>Source!DD102</f>
        <v/>
      </c>
      <c r="I130" s="43">
        <f>ROUND(Source!AC102*Source!I102, 2)</f>
        <v>35.22</v>
      </c>
      <c r="J130" s="44"/>
      <c r="K130" s="44">
        <f>IF(Source!BC102&lt;&gt; 0, Source!BC102, 1)</f>
        <v>10.43</v>
      </c>
      <c r="L130" s="43">
        <f>Source!P102</f>
        <v>367.31</v>
      </c>
      <c r="M130" s="54"/>
    </row>
    <row r="131" spans="1:28" ht="15" x14ac:dyDescent="0.25">
      <c r="H131" s="89">
        <f>ROUND(Source!AC102*Source!I102, 2)+ROUND(Source!AF102*Source!I102, 2)+ROUND((((Source!ET102)-(Source!EU102))+Source!AE102)*Source!I102, 2)</f>
        <v>35.22</v>
      </c>
      <c r="I131" s="89"/>
      <c r="K131" s="89">
        <f>Source!O102</f>
        <v>367.31</v>
      </c>
      <c r="L131" s="89"/>
      <c r="M131" s="37">
        <f>Source!U102</f>
        <v>0</v>
      </c>
      <c r="O131" s="36">
        <f>H131</f>
        <v>35.22</v>
      </c>
      <c r="P131" s="36">
        <f>K131</f>
        <v>367.31</v>
      </c>
      <c r="Q131" s="36">
        <f>M131</f>
        <v>0</v>
      </c>
      <c r="W131">
        <f>IF(Source!BI102&lt;=1,H131, 0)</f>
        <v>35.22</v>
      </c>
      <c r="X131">
        <f>IF(Source!BI102=2,H131, 0)</f>
        <v>0</v>
      </c>
      <c r="Y131">
        <f>IF(Source!BI102=3,H131, 0)</f>
        <v>0</v>
      </c>
      <c r="Z131">
        <f>IF(Source!BI102=4,H131, 0)</f>
        <v>0</v>
      </c>
    </row>
    <row r="132" spans="1:28" ht="42.75" x14ac:dyDescent="0.2">
      <c r="A132" s="28">
        <v>19</v>
      </c>
      <c r="B132" s="28" t="str">
        <f>Source!E103</f>
        <v>18</v>
      </c>
      <c r="C132" s="29" t="str">
        <f>Source!F103</f>
        <v>33-03-004-1</v>
      </c>
      <c r="D132" s="15" t="str">
        <f>Source!G103</f>
        <v>Забивка вертикальных заземлителей механизированная на глубину до 5 м</v>
      </c>
      <c r="E132" s="31" t="str">
        <f>Source!H103</f>
        <v>1 заземлитель</v>
      </c>
      <c r="F132" s="10">
        <f>Source!I103</f>
        <v>2</v>
      </c>
      <c r="G132" s="22">
        <f>IF(Source!AK103&lt;&gt; 0, Source!AK103,Source!AL103 + Source!AM103 + Source!AO103)</f>
        <v>140.05000000000001</v>
      </c>
      <c r="H132" s="16"/>
      <c r="I132" s="22"/>
      <c r="J132" s="16" t="str">
        <f>Source!BO103</f>
        <v>33-03-004-1</v>
      </c>
      <c r="K132" s="16"/>
      <c r="L132" s="22"/>
      <c r="M132" s="32"/>
      <c r="S132">
        <f>ROUND((Source!FX103/100)*((ROUND(Source!AF103*Source!I103, 2)+ROUND(Source!AE103*Source!I103, 2))), 2)</f>
        <v>24.49</v>
      </c>
      <c r="T132">
        <f>Source!X103</f>
        <v>863.88</v>
      </c>
      <c r="U132">
        <f>ROUND((Source!FY103/100)*((ROUND(Source!AF103*Source!I103, 2)+ROUND(Source!AE103*Source!I103, 2))), 2)</f>
        <v>14.27</v>
      </c>
      <c r="V132">
        <f>Source!Y103</f>
        <v>503.23</v>
      </c>
    </row>
    <row r="133" spans="1:28" ht="14.25" x14ac:dyDescent="0.2">
      <c r="A133" s="28"/>
      <c r="B133" s="28"/>
      <c r="C133" s="29"/>
      <c r="D133" s="15" t="s">
        <v>533</v>
      </c>
      <c r="E133" s="31"/>
      <c r="F133" s="10"/>
      <c r="G133" s="22">
        <f>Source!AO103</f>
        <v>6.4</v>
      </c>
      <c r="H133" s="16" t="str">
        <f>Source!DG103</f>
        <v/>
      </c>
      <c r="I133" s="22">
        <f>ROUND(Source!AF103*Source!I103, 2)</f>
        <v>12.8</v>
      </c>
      <c r="J133" s="16"/>
      <c r="K133" s="16">
        <f>IF(Source!BA103&lt;&gt; 0, Source!BA103, 1)</f>
        <v>35.270000000000003</v>
      </c>
      <c r="L133" s="22">
        <f>Source!S103</f>
        <v>451.46</v>
      </c>
      <c r="M133" s="32"/>
      <c r="R133">
        <f>I133</f>
        <v>12.8</v>
      </c>
    </row>
    <row r="134" spans="1:28" ht="14.25" x14ac:dyDescent="0.2">
      <c r="A134" s="28"/>
      <c r="B134" s="28"/>
      <c r="C134" s="29"/>
      <c r="D134" s="15" t="s">
        <v>45</v>
      </c>
      <c r="E134" s="31"/>
      <c r="F134" s="10"/>
      <c r="G134" s="22">
        <f>Source!AM103</f>
        <v>100.39</v>
      </c>
      <c r="H134" s="16" t="str">
        <f>Source!DE103</f>
        <v/>
      </c>
      <c r="I134" s="22">
        <f>ROUND((((Source!ET103)-(Source!EU103))+Source!AE103)*Source!I103, 2)</f>
        <v>200.78</v>
      </c>
      <c r="J134" s="16"/>
      <c r="K134" s="16">
        <f>IF(Source!BB103&lt;&gt; 0, Source!BB103, 1)</f>
        <v>9.14</v>
      </c>
      <c r="L134" s="22">
        <f>Source!Q103</f>
        <v>1835.13</v>
      </c>
      <c r="M134" s="32"/>
    </row>
    <row r="135" spans="1:28" ht="14.25" x14ac:dyDescent="0.2">
      <c r="A135" s="28"/>
      <c r="B135" s="28"/>
      <c r="C135" s="29"/>
      <c r="D135" s="15" t="s">
        <v>534</v>
      </c>
      <c r="E135" s="31"/>
      <c r="F135" s="10"/>
      <c r="G135" s="22">
        <f>Source!AN103</f>
        <v>5.49</v>
      </c>
      <c r="H135" s="16" t="str">
        <f>Source!DF103</f>
        <v/>
      </c>
      <c r="I135" s="22">
        <f>ROUND(Source!AE103*Source!I103, 2)</f>
        <v>10.98</v>
      </c>
      <c r="J135" s="16"/>
      <c r="K135" s="16">
        <f>IF(Source!BS103&lt;&gt; 0, Source!BS103, 1)</f>
        <v>35.270000000000003</v>
      </c>
      <c r="L135" s="22">
        <f>Source!R103</f>
        <v>387.26</v>
      </c>
      <c r="M135" s="32"/>
      <c r="R135">
        <f>I135</f>
        <v>10.98</v>
      </c>
    </row>
    <row r="136" spans="1:28" ht="14.25" x14ac:dyDescent="0.2">
      <c r="A136" s="28"/>
      <c r="B136" s="28"/>
      <c r="C136" s="29"/>
      <c r="D136" s="15" t="s">
        <v>540</v>
      </c>
      <c r="E136" s="31"/>
      <c r="F136" s="10"/>
      <c r="G136" s="22">
        <f>Source!AL103</f>
        <v>33.26</v>
      </c>
      <c r="H136" s="16" t="str">
        <f>Source!DD103</f>
        <v/>
      </c>
      <c r="I136" s="22">
        <f>ROUND(Source!AC103*Source!I103, 2)</f>
        <v>66.52</v>
      </c>
      <c r="J136" s="16"/>
      <c r="K136" s="16">
        <f>IF(Source!BC103&lt;&gt; 0, Source!BC103, 1)</f>
        <v>10.55</v>
      </c>
      <c r="L136" s="22">
        <f>Source!P103</f>
        <v>701.79</v>
      </c>
      <c r="M136" s="32"/>
    </row>
    <row r="137" spans="1:28" ht="14.25" x14ac:dyDescent="0.2">
      <c r="A137" s="28"/>
      <c r="B137" s="28"/>
      <c r="C137" s="29"/>
      <c r="D137" s="15" t="s">
        <v>535</v>
      </c>
      <c r="E137" s="31" t="s">
        <v>536</v>
      </c>
      <c r="F137" s="10">
        <f>Source!BZ103</f>
        <v>103</v>
      </c>
      <c r="G137" s="33"/>
      <c r="H137" s="16"/>
      <c r="I137" s="22">
        <f>SUM(S132:S140)</f>
        <v>24.49</v>
      </c>
      <c r="J137" s="34"/>
      <c r="K137" s="15">
        <f>Source!AT103</f>
        <v>103</v>
      </c>
      <c r="L137" s="22">
        <f>SUM(T132:T140)</f>
        <v>863.88</v>
      </c>
      <c r="M137" s="32"/>
    </row>
    <row r="138" spans="1:28" ht="14.25" x14ac:dyDescent="0.2">
      <c r="A138" s="28"/>
      <c r="B138" s="28"/>
      <c r="C138" s="29"/>
      <c r="D138" s="15" t="s">
        <v>537</v>
      </c>
      <c r="E138" s="31" t="s">
        <v>536</v>
      </c>
      <c r="F138" s="10">
        <f>Source!CA103</f>
        <v>60</v>
      </c>
      <c r="G138" s="33"/>
      <c r="H138" s="16"/>
      <c r="I138" s="22">
        <f>SUM(U132:U140)</f>
        <v>14.27</v>
      </c>
      <c r="J138" s="34"/>
      <c r="K138" s="15">
        <f>Source!AU103</f>
        <v>60</v>
      </c>
      <c r="L138" s="22">
        <f>SUM(V132:V140)</f>
        <v>503.23</v>
      </c>
      <c r="M138" s="32"/>
    </row>
    <row r="139" spans="1:28" ht="14.25" x14ac:dyDescent="0.2">
      <c r="A139" s="28"/>
      <c r="B139" s="28"/>
      <c r="C139" s="29"/>
      <c r="D139" s="15" t="s">
        <v>538</v>
      </c>
      <c r="E139" s="31" t="s">
        <v>539</v>
      </c>
      <c r="F139" s="10">
        <f>Source!AQ103</f>
        <v>0.81</v>
      </c>
      <c r="G139" s="22"/>
      <c r="H139" s="16" t="str">
        <f>Source!DI103</f>
        <v/>
      </c>
      <c r="I139" s="22"/>
      <c r="J139" s="16"/>
      <c r="K139" s="16"/>
      <c r="L139" s="22"/>
      <c r="M139" s="35">
        <f>Source!U103</f>
        <v>1.62</v>
      </c>
    </row>
    <row r="140" spans="1:28" ht="42.75" x14ac:dyDescent="0.2">
      <c r="A140" s="49">
        <v>20</v>
      </c>
      <c r="B140" s="49" t="str">
        <f>Source!E104</f>
        <v>18,1</v>
      </c>
      <c r="C140" s="49" t="str">
        <f>Source!F104</f>
        <v>204-0004</v>
      </c>
      <c r="D140" s="49" t="s">
        <v>542</v>
      </c>
      <c r="E140" s="50" t="str">
        <f>Source!H104</f>
        <v>т</v>
      </c>
      <c r="F140" s="51">
        <f>Source!I104</f>
        <v>-0.01</v>
      </c>
      <c r="G140" s="52">
        <f>Source!AK104</f>
        <v>6594</v>
      </c>
      <c r="H140" s="53" t="s">
        <v>3</v>
      </c>
      <c r="I140" s="52">
        <f>ROUND(Source!AC104*Source!I104, 2)+ROUND((((Source!ET104)-(Source!EU104))+Source!AE104)*Source!I104, 2)+ROUND(Source!AF104*Source!I104, 2)</f>
        <v>-65.94</v>
      </c>
      <c r="J140" s="50"/>
      <c r="K140" s="50">
        <f>IF(Source!BC104&lt;&gt; 0, Source!BC104, 1)</f>
        <v>10.53</v>
      </c>
      <c r="L140" s="52">
        <f>Source!O104</f>
        <v>-694.35</v>
      </c>
      <c r="M140" s="52"/>
      <c r="S140">
        <f>ROUND((Source!FX104/100)*((ROUND(Source!AF104*Source!I104, 2)+ROUND(Source!AE104*Source!I104, 2))), 2)</f>
        <v>0</v>
      </c>
      <c r="T140">
        <f>Source!X104</f>
        <v>0</v>
      </c>
      <c r="U140">
        <f>ROUND((Source!FY104/100)*((ROUND(Source!AF104*Source!I104, 2)+ROUND(Source!AE104*Source!I104, 2))), 2)</f>
        <v>0</v>
      </c>
      <c r="V140">
        <f>Source!Y104</f>
        <v>0</v>
      </c>
      <c r="Y140">
        <f>IF(Source!BI104=3,I140, 0)</f>
        <v>0</v>
      </c>
      <c r="AA140">
        <f>ROUND(Source!AC104*Source!I104, 2)+ROUND((((Source!ET104)-(Source!EU104))+Source!AE104)*Source!I104, 2)+ROUND(Source!AF104*Source!I104, 2)</f>
        <v>-65.94</v>
      </c>
      <c r="AB140">
        <f>Source!O104</f>
        <v>-694.35</v>
      </c>
    </row>
    <row r="141" spans="1:28" ht="15" x14ac:dyDescent="0.25">
      <c r="H141" s="89">
        <f>ROUND(Source!AC103*Source!I103, 2)+ROUND(Source!AF103*Source!I103, 2)+ROUND((((Source!ET103)-(Source!EU103))+Source!AE103)*Source!I103, 2)+SUM(I137:I138)+SUM(AA140:AA140)</f>
        <v>252.92000000000002</v>
      </c>
      <c r="I141" s="89"/>
      <c r="K141" s="89">
        <f>Source!O103+SUM(L137:L138)+SUM(AB140:AB140)</f>
        <v>3661.14</v>
      </c>
      <c r="L141" s="89"/>
      <c r="M141" s="37">
        <f>Source!U103</f>
        <v>1.62</v>
      </c>
      <c r="O141" s="36">
        <f>H141</f>
        <v>252.92000000000002</v>
      </c>
      <c r="P141" s="36">
        <f>K141</f>
        <v>3661.14</v>
      </c>
      <c r="Q141" s="36">
        <f>M141</f>
        <v>1.62</v>
      </c>
      <c r="W141">
        <f>IF(Source!BI103&lt;=1,H141, 0)</f>
        <v>252.92000000000002</v>
      </c>
      <c r="X141">
        <f>IF(Source!BI103=2,H141, 0)</f>
        <v>0</v>
      </c>
      <c r="Y141">
        <f>IF(Source!BI103=3,H141, 0)</f>
        <v>0</v>
      </c>
      <c r="Z141">
        <f>IF(Source!BI103=4,H141, 0)</f>
        <v>0</v>
      </c>
    </row>
    <row r="142" spans="1:28" ht="28.5" x14ac:dyDescent="0.2">
      <c r="A142" s="28">
        <v>21</v>
      </c>
      <c r="B142" s="28" t="str">
        <f>Source!E105</f>
        <v>19</v>
      </c>
      <c r="C142" s="29" t="str">
        <f>Source!F105</f>
        <v>101-1641</v>
      </c>
      <c r="D142" s="15" t="str">
        <f>Source!G105</f>
        <v>Сталь угловая равнополочная, марка стали ВСт3кп2, размером 50x50x5 мм</v>
      </c>
      <c r="E142" s="31" t="str">
        <f>Source!H105</f>
        <v>т</v>
      </c>
      <c r="F142" s="10">
        <f>Source!I105</f>
        <v>2.223E-2</v>
      </c>
      <c r="G142" s="22">
        <f>IF(Source!AK105&lt;&gt; 0, Source!AK105,Source!AL105 + Source!AM105 + Source!AO105)</f>
        <v>6074</v>
      </c>
      <c r="H142" s="16"/>
      <c r="I142" s="22"/>
      <c r="J142" s="16" t="str">
        <f>Source!BO105</f>
        <v>101-1641</v>
      </c>
      <c r="K142" s="16"/>
      <c r="L142" s="22"/>
      <c r="M142" s="32"/>
      <c r="S142">
        <f>ROUND((Source!FX105/100)*((ROUND(Source!AF105*Source!I105, 2)+ROUND(Source!AE105*Source!I105, 2))), 2)</f>
        <v>0</v>
      </c>
      <c r="T142">
        <f>Source!X105</f>
        <v>0</v>
      </c>
      <c r="U142">
        <f>ROUND((Source!FY105/100)*((ROUND(Source!AF105*Source!I105, 2)+ROUND(Source!AE105*Source!I105, 2))), 2)</f>
        <v>0</v>
      </c>
      <c r="V142">
        <f>Source!Y105</f>
        <v>0</v>
      </c>
    </row>
    <row r="143" spans="1:28" x14ac:dyDescent="0.2">
      <c r="D143" s="55" t="str">
        <f>"Объем: "&amp;Source!I105&amp;"=0,011115*"&amp;"2"</f>
        <v>Объем: 0,02223=0,011115*2</v>
      </c>
    </row>
    <row r="144" spans="1:28" ht="14.25" x14ac:dyDescent="0.2">
      <c r="A144" s="38"/>
      <c r="B144" s="38"/>
      <c r="C144" s="39"/>
      <c r="D144" s="40" t="s">
        <v>540</v>
      </c>
      <c r="E144" s="41"/>
      <c r="F144" s="42"/>
      <c r="G144" s="43">
        <f>Source!AL105</f>
        <v>6074</v>
      </c>
      <c r="H144" s="44" t="str">
        <f>Source!DD105</f>
        <v/>
      </c>
      <c r="I144" s="43">
        <f>ROUND(Source!AC105*Source!I105, 2)</f>
        <v>135.03</v>
      </c>
      <c r="J144" s="44"/>
      <c r="K144" s="44">
        <f>IF(Source!BC105&lt;&gt; 0, Source!BC105, 1)</f>
        <v>13.67</v>
      </c>
      <c r="L144" s="43">
        <f>Source!P105</f>
        <v>1845.79</v>
      </c>
      <c r="M144" s="54"/>
    </row>
    <row r="145" spans="1:32" ht="15" x14ac:dyDescent="0.25">
      <c r="H145" s="89">
        <f>ROUND(Source!AC105*Source!I105, 2)+ROUND(Source!AF105*Source!I105, 2)+ROUND((((Source!ET105)-(Source!EU105))+Source!AE105)*Source!I105, 2)</f>
        <v>135.03</v>
      </c>
      <c r="I145" s="89"/>
      <c r="K145" s="89">
        <f>Source!O105</f>
        <v>1845.79</v>
      </c>
      <c r="L145" s="89"/>
      <c r="M145" s="37">
        <f>Source!U105</f>
        <v>0</v>
      </c>
      <c r="O145" s="36">
        <f>H145</f>
        <v>135.03</v>
      </c>
      <c r="P145" s="36">
        <f>K145</f>
        <v>1845.79</v>
      </c>
      <c r="Q145" s="36">
        <f>M145</f>
        <v>0</v>
      </c>
      <c r="W145">
        <f>IF(Source!BI105&lt;=1,H145, 0)</f>
        <v>135.03</v>
      </c>
      <c r="X145">
        <f>IF(Source!BI105=2,H145, 0)</f>
        <v>0</v>
      </c>
      <c r="Y145">
        <f>IF(Source!BI105=3,H145, 0)</f>
        <v>0</v>
      </c>
      <c r="Z145">
        <f>IF(Source!BI105=4,H145, 0)</f>
        <v>0</v>
      </c>
    </row>
    <row r="146" spans="1:32" ht="42.75" x14ac:dyDescent="0.2">
      <c r="A146" s="28">
        <v>22</v>
      </c>
      <c r="B146" s="28" t="str">
        <f>Source!E106</f>
        <v>20</v>
      </c>
      <c r="C146" s="29" t="str">
        <f>Source!F106</f>
        <v>33-04-031-3</v>
      </c>
      <c r="D146" s="15" t="str">
        <f>Source!G106</f>
        <v>Установка оборудования пунктов секционирования на железобетонных стойках опор ВЛ</v>
      </c>
      <c r="E146" s="31" t="str">
        <f>Source!H106</f>
        <v>1 ПУНКТ</v>
      </c>
      <c r="F146" s="10">
        <f>Source!I106</f>
        <v>1</v>
      </c>
      <c r="G146" s="22">
        <f>IF(Source!AK106&lt;&gt; 0, Source!AK106,Source!AL106 + Source!AM106 + Source!AO106)</f>
        <v>1214.69</v>
      </c>
      <c r="H146" s="16"/>
      <c r="I146" s="22"/>
      <c r="J146" s="16" t="str">
        <f>Source!BO106</f>
        <v>33-04-031-3</v>
      </c>
      <c r="K146" s="16"/>
      <c r="L146" s="22"/>
      <c r="M146" s="32"/>
      <c r="S146">
        <f>ROUND((Source!FX106/100)*((ROUND(Source!AF106*Source!I106, 2)+ROUND(Source!AE106*Source!I106, 2))), 2)</f>
        <v>351.59</v>
      </c>
      <c r="T146">
        <f>Source!X106</f>
        <v>12400.6</v>
      </c>
      <c r="U146">
        <f>ROUND((Source!FY106/100)*((ROUND(Source!AF106*Source!I106, 2)+ROUND(Source!AE106*Source!I106, 2))), 2)</f>
        <v>204.81</v>
      </c>
      <c r="V146">
        <f>Source!Y106</f>
        <v>7223.65</v>
      </c>
    </row>
    <row r="147" spans="1:32" ht="14.25" x14ac:dyDescent="0.2">
      <c r="A147" s="28"/>
      <c r="B147" s="28"/>
      <c r="C147" s="29"/>
      <c r="D147" s="15" t="s">
        <v>533</v>
      </c>
      <c r="E147" s="31"/>
      <c r="F147" s="10"/>
      <c r="G147" s="22">
        <f>Source!AO106</f>
        <v>257.02</v>
      </c>
      <c r="H147" s="16" t="str">
        <f>Source!DG106</f>
        <v/>
      </c>
      <c r="I147" s="22">
        <f>ROUND(Source!AF106*Source!I106, 2)</f>
        <v>257.02</v>
      </c>
      <c r="J147" s="16"/>
      <c r="K147" s="16">
        <f>IF(Source!BA106&lt;&gt; 0, Source!BA106, 1)</f>
        <v>35.270000000000003</v>
      </c>
      <c r="L147" s="22">
        <f>Source!S106</f>
        <v>9065.1</v>
      </c>
      <c r="M147" s="32"/>
      <c r="R147">
        <f>I147</f>
        <v>257.02</v>
      </c>
    </row>
    <row r="148" spans="1:32" ht="14.25" x14ac:dyDescent="0.2">
      <c r="A148" s="28"/>
      <c r="B148" s="28"/>
      <c r="C148" s="29"/>
      <c r="D148" s="15" t="s">
        <v>45</v>
      </c>
      <c r="E148" s="31"/>
      <c r="F148" s="10"/>
      <c r="G148" s="22">
        <f>Source!AM106</f>
        <v>957.67</v>
      </c>
      <c r="H148" s="16" t="str">
        <f>Source!DE106</f>
        <v/>
      </c>
      <c r="I148" s="22">
        <f>ROUND((((Source!ET106)-(Source!EU106))+Source!AE106)*Source!I106, 2)</f>
        <v>957.67</v>
      </c>
      <c r="J148" s="16"/>
      <c r="K148" s="16">
        <f>IF(Source!BB106&lt;&gt; 0, Source!BB106, 1)</f>
        <v>11.43</v>
      </c>
      <c r="L148" s="22">
        <f>Source!Q106</f>
        <v>10946.17</v>
      </c>
      <c r="M148" s="32"/>
    </row>
    <row r="149" spans="1:32" ht="14.25" x14ac:dyDescent="0.2">
      <c r="A149" s="28"/>
      <c r="B149" s="28"/>
      <c r="C149" s="29"/>
      <c r="D149" s="15" t="s">
        <v>534</v>
      </c>
      <c r="E149" s="31"/>
      <c r="F149" s="10"/>
      <c r="G149" s="22">
        <f>Source!AN106</f>
        <v>84.33</v>
      </c>
      <c r="H149" s="16" t="str">
        <f>Source!DF106</f>
        <v/>
      </c>
      <c r="I149" s="22">
        <f>ROUND(Source!AE106*Source!I106, 2)</f>
        <v>84.33</v>
      </c>
      <c r="J149" s="16"/>
      <c r="K149" s="16">
        <f>IF(Source!BS106&lt;&gt; 0, Source!BS106, 1)</f>
        <v>35.270000000000003</v>
      </c>
      <c r="L149" s="22">
        <f>Source!R106</f>
        <v>2974.32</v>
      </c>
      <c r="M149" s="32"/>
      <c r="R149">
        <f>I149</f>
        <v>84.33</v>
      </c>
    </row>
    <row r="150" spans="1:32" ht="14.25" x14ac:dyDescent="0.2">
      <c r="A150" s="28"/>
      <c r="B150" s="28"/>
      <c r="C150" s="29"/>
      <c r="D150" s="15" t="s">
        <v>535</v>
      </c>
      <c r="E150" s="31" t="s">
        <v>536</v>
      </c>
      <c r="F150" s="10">
        <f>Source!BZ106</f>
        <v>103</v>
      </c>
      <c r="G150" s="33"/>
      <c r="H150" s="16"/>
      <c r="I150" s="22">
        <f>SUM(S146:S152)</f>
        <v>351.59</v>
      </c>
      <c r="J150" s="34"/>
      <c r="K150" s="15">
        <f>Source!AT106</f>
        <v>103</v>
      </c>
      <c r="L150" s="22">
        <f>SUM(T146:T152)</f>
        <v>12400.6</v>
      </c>
      <c r="M150" s="32"/>
    </row>
    <row r="151" spans="1:32" ht="14.25" x14ac:dyDescent="0.2">
      <c r="A151" s="28"/>
      <c r="B151" s="28"/>
      <c r="C151" s="29"/>
      <c r="D151" s="15" t="s">
        <v>537</v>
      </c>
      <c r="E151" s="31" t="s">
        <v>536</v>
      </c>
      <c r="F151" s="10">
        <f>Source!CA106</f>
        <v>60</v>
      </c>
      <c r="G151" s="33"/>
      <c r="H151" s="16"/>
      <c r="I151" s="22">
        <f>SUM(U146:U152)</f>
        <v>204.81</v>
      </c>
      <c r="J151" s="34"/>
      <c r="K151" s="15">
        <f>Source!AU106</f>
        <v>60</v>
      </c>
      <c r="L151" s="22">
        <f>SUM(V146:V152)</f>
        <v>7223.65</v>
      </c>
      <c r="M151" s="32"/>
    </row>
    <row r="152" spans="1:32" ht="14.25" x14ac:dyDescent="0.2">
      <c r="A152" s="38"/>
      <c r="B152" s="38"/>
      <c r="C152" s="39"/>
      <c r="D152" s="40" t="s">
        <v>538</v>
      </c>
      <c r="E152" s="41" t="s">
        <v>539</v>
      </c>
      <c r="F152" s="42">
        <f>Source!AQ106</f>
        <v>28.59</v>
      </c>
      <c r="G152" s="43"/>
      <c r="H152" s="44" t="str">
        <f>Source!DI106</f>
        <v/>
      </c>
      <c r="I152" s="43"/>
      <c r="J152" s="44"/>
      <c r="K152" s="44"/>
      <c r="L152" s="43"/>
      <c r="M152" s="45">
        <f>Source!U106</f>
        <v>28.59</v>
      </c>
    </row>
    <row r="153" spans="1:32" ht="15" x14ac:dyDescent="0.25">
      <c r="H153" s="89">
        <f>ROUND(Source!AC106*Source!I106, 2)+ROUND(Source!AF106*Source!I106, 2)+ROUND((((Source!ET106)-(Source!EU106))+Source!AE106)*Source!I106, 2)+SUM(I150:I151)</f>
        <v>1771.0900000000001</v>
      </c>
      <c r="I153" s="89"/>
      <c r="K153" s="89">
        <f>Source!O106+SUM(L150:L151)</f>
        <v>39635.520000000004</v>
      </c>
      <c r="L153" s="89"/>
      <c r="M153" s="37">
        <f>Source!U106</f>
        <v>28.59</v>
      </c>
      <c r="O153" s="36">
        <f>H153</f>
        <v>1771.0900000000001</v>
      </c>
      <c r="P153" s="36">
        <f>K153</f>
        <v>39635.520000000004</v>
      </c>
      <c r="Q153" s="36">
        <f>M153</f>
        <v>28.59</v>
      </c>
      <c r="W153">
        <f>IF(Source!BI106&lt;=1,H153, 0)</f>
        <v>1771.0900000000001</v>
      </c>
      <c r="X153">
        <f>IF(Source!BI106=2,H153, 0)</f>
        <v>0</v>
      </c>
      <c r="Y153">
        <f>IF(Source!BI106=3,H153, 0)</f>
        <v>0</v>
      </c>
      <c r="Z153">
        <f>IF(Source!BI106=4,H153, 0)</f>
        <v>0</v>
      </c>
    </row>
    <row r="154" spans="1:32" ht="42.75" x14ac:dyDescent="0.2">
      <c r="A154" s="38">
        <v>23</v>
      </c>
      <c r="B154" s="38" t="str">
        <f>Source!E108</f>
        <v>21</v>
      </c>
      <c r="C154" s="39" t="str">
        <f>Source!F108</f>
        <v>Оборудование Заказчика</v>
      </c>
      <c r="D154" s="40" t="str">
        <f>Source!G108</f>
        <v>Комплект вакуумного реклоузера</v>
      </c>
      <c r="E154" s="41" t="str">
        <f>Source!H108</f>
        <v>компл.</v>
      </c>
      <c r="F154" s="42">
        <f>Source!I108</f>
        <v>1</v>
      </c>
      <c r="G154" s="43">
        <f>IF(Source!AK108&lt;&gt; 0, Source!AK108,Source!AL108 + Source!AM108 + Source!AO108)</f>
        <v>0</v>
      </c>
      <c r="H154" s="44"/>
      <c r="I154" s="43"/>
      <c r="J154" s="44" t="str">
        <f>Source!BO108</f>
        <v/>
      </c>
      <c r="K154" s="44"/>
      <c r="L154" s="43"/>
      <c r="M154" s="54"/>
      <c r="S154">
        <f>ROUND((Source!FX108/100)*((ROUND(Source!AF108*Source!I108, 2)+ROUND(Source!AE108*Source!I108, 2))), 2)</f>
        <v>0</v>
      </c>
      <c r="T154">
        <f>Source!X108</f>
        <v>0</v>
      </c>
      <c r="U154">
        <f>ROUND((Source!FY108/100)*((ROUND(Source!AF108*Source!I108, 2)+ROUND(Source!AE108*Source!I108, 2))), 2)</f>
        <v>0</v>
      </c>
      <c r="V154">
        <f>Source!Y108</f>
        <v>0</v>
      </c>
    </row>
    <row r="155" spans="1:32" ht="15" x14ac:dyDescent="0.25">
      <c r="H155" s="89">
        <f>ROUND(Source!AC108*Source!I108, 2)+ROUND(Source!AF108*Source!I108, 2)+ROUND((((Source!ET108)-(Source!EU108))+Source!AE108)*Source!I108, 2)</f>
        <v>0</v>
      </c>
      <c r="I155" s="89"/>
      <c r="K155" s="89">
        <f>Source!O108</f>
        <v>0</v>
      </c>
      <c r="L155" s="89"/>
      <c r="M155" s="37">
        <f>Source!U108</f>
        <v>0</v>
      </c>
      <c r="O155" s="36">
        <f>H155</f>
        <v>0</v>
      </c>
      <c r="P155" s="36">
        <f>K155</f>
        <v>0</v>
      </c>
      <c r="Q155" s="36">
        <f>M155</f>
        <v>0</v>
      </c>
      <c r="W155">
        <f>IF(Source!BI108&lt;=1,H155, 0)</f>
        <v>0</v>
      </c>
      <c r="X155">
        <f>IF(Source!BI108=2,H155, 0)</f>
        <v>0</v>
      </c>
      <c r="Y155">
        <f>IF(Source!BI108=3,H155, 0)</f>
        <v>0</v>
      </c>
      <c r="Z155">
        <f>IF(Source!BI108=4,H155, 0)</f>
        <v>0</v>
      </c>
    </row>
    <row r="156" spans="1:32" ht="14.25" x14ac:dyDescent="0.2">
      <c r="D156" s="92" t="str">
        <f>Source!G109</f>
        <v>Устройство контура заземления</v>
      </c>
      <c r="E156" s="92"/>
      <c r="F156" s="92"/>
      <c r="G156" s="92"/>
      <c r="H156" s="92"/>
      <c r="I156" s="92"/>
      <c r="J156" s="92"/>
      <c r="K156" s="92"/>
      <c r="L156" s="92"/>
      <c r="M156" s="92"/>
      <c r="AF156" s="30" t="str">
        <f>Source!G109</f>
        <v>Устройство контура заземления</v>
      </c>
    </row>
    <row r="157" spans="1:32" ht="42.75" x14ac:dyDescent="0.2">
      <c r="A157" s="28">
        <v>24</v>
      </c>
      <c r="B157" s="28" t="str">
        <f>Source!E110</f>
        <v>22</v>
      </c>
      <c r="C157" s="29" t="str">
        <f>Source!F110</f>
        <v>01-02-057-2</v>
      </c>
      <c r="D157" s="15" t="str">
        <f>Source!G110</f>
        <v>Разработка грунта вручную в траншеях глубиной до 2 м без креплений с откосами, группа грунтов 2</v>
      </c>
      <c r="E157" s="31" t="str">
        <f>Source!H110</f>
        <v>100 м3 грунта</v>
      </c>
      <c r="F157" s="10">
        <f>Source!I110</f>
        <v>2.5000000000000001E-2</v>
      </c>
      <c r="G157" s="22">
        <f>IF(Source!AK110&lt;&gt; 0, Source!AK110,Source!AL110 + Source!AM110 + Source!AO110)</f>
        <v>1122.6600000000001</v>
      </c>
      <c r="H157" s="16"/>
      <c r="I157" s="22"/>
      <c r="J157" s="16" t="str">
        <f>Source!BO110</f>
        <v>01-02-057-2</v>
      </c>
      <c r="K157" s="16"/>
      <c r="L157" s="22"/>
      <c r="M157" s="32"/>
      <c r="S157">
        <f>ROUND((Source!FX110/100)*((ROUND(Source!AF110*Source!I110, 2)+ROUND(Source!AE110*Source!I110, 2))), 2)</f>
        <v>24.98</v>
      </c>
      <c r="T157">
        <f>Source!X110</f>
        <v>881.02</v>
      </c>
      <c r="U157">
        <f>ROUND((Source!FY110/100)*((ROUND(Source!AF110*Source!I110, 2)+ROUND(Source!AE110*Source!I110, 2))), 2)</f>
        <v>11.23</v>
      </c>
      <c r="V157">
        <f>Source!Y110</f>
        <v>395.96</v>
      </c>
    </row>
    <row r="158" spans="1:32" x14ac:dyDescent="0.2">
      <c r="D158" s="55" t="str">
        <f>"Объем: "&amp;Source!I110&amp;"=2,5/"&amp;"100"</f>
        <v>Объем: 0,025=2,5/100</v>
      </c>
    </row>
    <row r="159" spans="1:32" ht="14.25" x14ac:dyDescent="0.2">
      <c r="A159" s="28"/>
      <c r="B159" s="28"/>
      <c r="C159" s="29"/>
      <c r="D159" s="15" t="s">
        <v>533</v>
      </c>
      <c r="E159" s="31"/>
      <c r="F159" s="10"/>
      <c r="G159" s="22">
        <f>Source!AO110</f>
        <v>1122.6600000000001</v>
      </c>
      <c r="H159" s="16" t="str">
        <f>Source!DG110</f>
        <v/>
      </c>
      <c r="I159" s="22">
        <f>ROUND(Source!AF110*Source!I110, 2)</f>
        <v>28.07</v>
      </c>
      <c r="J159" s="16"/>
      <c r="K159" s="16">
        <f>IF(Source!BA110&lt;&gt; 0, Source!BA110, 1)</f>
        <v>35.270000000000003</v>
      </c>
      <c r="L159" s="22">
        <f>Source!S110</f>
        <v>989.91</v>
      </c>
      <c r="M159" s="32"/>
      <c r="R159">
        <f>I159</f>
        <v>28.07</v>
      </c>
    </row>
    <row r="160" spans="1:32" ht="14.25" x14ac:dyDescent="0.2">
      <c r="A160" s="28"/>
      <c r="B160" s="28"/>
      <c r="C160" s="29"/>
      <c r="D160" s="15" t="s">
        <v>535</v>
      </c>
      <c r="E160" s="31" t="s">
        <v>536</v>
      </c>
      <c r="F160" s="10">
        <f>Source!BZ110</f>
        <v>89</v>
      </c>
      <c r="G160" s="33"/>
      <c r="H160" s="16"/>
      <c r="I160" s="22">
        <f>SUM(S157:S162)</f>
        <v>24.98</v>
      </c>
      <c r="J160" s="34"/>
      <c r="K160" s="15">
        <f>Source!AT110</f>
        <v>89</v>
      </c>
      <c r="L160" s="22">
        <f>SUM(T157:T162)</f>
        <v>881.02</v>
      </c>
      <c r="M160" s="32"/>
    </row>
    <row r="161" spans="1:26" ht="14.25" x14ac:dyDescent="0.2">
      <c r="A161" s="28"/>
      <c r="B161" s="28"/>
      <c r="C161" s="29"/>
      <c r="D161" s="15" t="s">
        <v>537</v>
      </c>
      <c r="E161" s="31" t="s">
        <v>536</v>
      </c>
      <c r="F161" s="10">
        <f>Source!CA110</f>
        <v>40</v>
      </c>
      <c r="G161" s="33"/>
      <c r="H161" s="16"/>
      <c r="I161" s="22">
        <f>SUM(U157:U162)</f>
        <v>11.23</v>
      </c>
      <c r="J161" s="34"/>
      <c r="K161" s="15">
        <f>Source!AU110</f>
        <v>40</v>
      </c>
      <c r="L161" s="22">
        <f>SUM(V157:V162)</f>
        <v>395.96</v>
      </c>
      <c r="M161" s="32"/>
    </row>
    <row r="162" spans="1:26" ht="14.25" x14ac:dyDescent="0.2">
      <c r="A162" s="38"/>
      <c r="B162" s="38"/>
      <c r="C162" s="39"/>
      <c r="D162" s="40" t="s">
        <v>538</v>
      </c>
      <c r="E162" s="41" t="s">
        <v>539</v>
      </c>
      <c r="F162" s="42">
        <f>Source!AQ110</f>
        <v>154</v>
      </c>
      <c r="G162" s="43"/>
      <c r="H162" s="44" t="str">
        <f>Source!DI110</f>
        <v/>
      </c>
      <c r="I162" s="43"/>
      <c r="J162" s="44"/>
      <c r="K162" s="44"/>
      <c r="L162" s="43"/>
      <c r="M162" s="45">
        <f>Source!U110</f>
        <v>3.85</v>
      </c>
    </row>
    <row r="163" spans="1:26" ht="15" x14ac:dyDescent="0.25">
      <c r="H163" s="89">
        <f>ROUND(Source!AC110*Source!I110, 2)+ROUND(Source!AF110*Source!I110, 2)+ROUND((((Source!ET110)-(Source!EU110))+Source!AE110)*Source!I110, 2)+SUM(I160:I161)</f>
        <v>64.28</v>
      </c>
      <c r="I163" s="89"/>
      <c r="K163" s="89">
        <f>Source!O110+SUM(L160:L161)</f>
        <v>2266.89</v>
      </c>
      <c r="L163" s="89"/>
      <c r="M163" s="37">
        <f>Source!U110</f>
        <v>3.85</v>
      </c>
      <c r="O163" s="36">
        <f>H163</f>
        <v>64.28</v>
      </c>
      <c r="P163" s="36">
        <f>K163</f>
        <v>2266.89</v>
      </c>
      <c r="Q163" s="36">
        <f>M163</f>
        <v>3.85</v>
      </c>
      <c r="W163">
        <f>IF(Source!BI110&lt;=1,H163, 0)</f>
        <v>64.28</v>
      </c>
      <c r="X163">
        <f>IF(Source!BI110=2,H163, 0)</f>
        <v>0</v>
      </c>
      <c r="Y163">
        <f>IF(Source!BI110=3,H163, 0)</f>
        <v>0</v>
      </c>
      <c r="Z163">
        <f>IF(Source!BI110=4,H163, 0)</f>
        <v>0</v>
      </c>
    </row>
    <row r="164" spans="1:26" ht="28.5" x14ac:dyDescent="0.2">
      <c r="A164" s="28">
        <v>25</v>
      </c>
      <c r="B164" s="28" t="str">
        <f>Source!E111</f>
        <v>23</v>
      </c>
      <c r="C164" s="29" t="str">
        <f>Source!F111</f>
        <v>01-02-061-2</v>
      </c>
      <c r="D164" s="15" t="str">
        <f>Source!G111</f>
        <v>Засыпка вручную траншей, пазух котлованов и ям, группа грунтов 2</v>
      </c>
      <c r="E164" s="31" t="str">
        <f>Source!H111</f>
        <v>100 м3 грунта</v>
      </c>
      <c r="F164" s="10">
        <f>Source!I111</f>
        <v>2.5000000000000001E-2</v>
      </c>
      <c r="G164" s="22">
        <f>IF(Source!AK111&lt;&gt; 0, Source!AK111,Source!AL111 + Source!AM111 + Source!AO111)</f>
        <v>681.37</v>
      </c>
      <c r="H164" s="16"/>
      <c r="I164" s="22"/>
      <c r="J164" s="16" t="str">
        <f>Source!BO111</f>
        <v>01-02-061-2</v>
      </c>
      <c r="K164" s="16"/>
      <c r="L164" s="22"/>
      <c r="M164" s="32"/>
      <c r="S164">
        <f>ROUND((Source!FX111/100)*((ROUND(Source!AF111*Source!I111, 2)+ROUND(Source!AE111*Source!I111, 2))), 2)</f>
        <v>15.16</v>
      </c>
      <c r="T164">
        <f>Source!X111</f>
        <v>534.71</v>
      </c>
      <c r="U164">
        <f>ROUND((Source!FY111/100)*((ROUND(Source!AF111*Source!I111, 2)+ROUND(Source!AE111*Source!I111, 2))), 2)</f>
        <v>6.81</v>
      </c>
      <c r="V164">
        <f>Source!Y111</f>
        <v>240.32</v>
      </c>
    </row>
    <row r="165" spans="1:26" x14ac:dyDescent="0.2">
      <c r="D165" s="55" t="str">
        <f>"Объем: "&amp;Source!I111&amp;"=2,5/"&amp;"100"</f>
        <v>Объем: 0,025=2,5/100</v>
      </c>
    </row>
    <row r="166" spans="1:26" ht="14.25" x14ac:dyDescent="0.2">
      <c r="A166" s="28"/>
      <c r="B166" s="28"/>
      <c r="C166" s="29"/>
      <c r="D166" s="15" t="s">
        <v>533</v>
      </c>
      <c r="E166" s="31"/>
      <c r="F166" s="10"/>
      <c r="G166" s="22">
        <f>Source!AO111</f>
        <v>681.37</v>
      </c>
      <c r="H166" s="16" t="str">
        <f>Source!DG111</f>
        <v/>
      </c>
      <c r="I166" s="22">
        <f>ROUND(Source!AF111*Source!I111, 2)</f>
        <v>17.03</v>
      </c>
      <c r="J166" s="16"/>
      <c r="K166" s="16">
        <f>IF(Source!BA111&lt;&gt; 0, Source!BA111, 1)</f>
        <v>35.270000000000003</v>
      </c>
      <c r="L166" s="22">
        <f>Source!S111</f>
        <v>600.79999999999995</v>
      </c>
      <c r="M166" s="32"/>
      <c r="R166">
        <f>I166</f>
        <v>17.03</v>
      </c>
    </row>
    <row r="167" spans="1:26" ht="14.25" x14ac:dyDescent="0.2">
      <c r="A167" s="28"/>
      <c r="B167" s="28"/>
      <c r="C167" s="29"/>
      <c r="D167" s="15" t="s">
        <v>535</v>
      </c>
      <c r="E167" s="31" t="s">
        <v>536</v>
      </c>
      <c r="F167" s="10">
        <f>Source!BZ111</f>
        <v>89</v>
      </c>
      <c r="G167" s="33"/>
      <c r="H167" s="16"/>
      <c r="I167" s="22">
        <f>SUM(S164:S169)</f>
        <v>15.16</v>
      </c>
      <c r="J167" s="34"/>
      <c r="K167" s="15">
        <f>Source!AT111</f>
        <v>89</v>
      </c>
      <c r="L167" s="22">
        <f>SUM(T164:T169)</f>
        <v>534.71</v>
      </c>
      <c r="M167" s="32"/>
    </row>
    <row r="168" spans="1:26" ht="14.25" x14ac:dyDescent="0.2">
      <c r="A168" s="28"/>
      <c r="B168" s="28"/>
      <c r="C168" s="29"/>
      <c r="D168" s="15" t="s">
        <v>537</v>
      </c>
      <c r="E168" s="31" t="s">
        <v>536</v>
      </c>
      <c r="F168" s="10">
        <f>Source!CA111</f>
        <v>40</v>
      </c>
      <c r="G168" s="33"/>
      <c r="H168" s="16"/>
      <c r="I168" s="22">
        <f>SUM(U164:U169)</f>
        <v>6.81</v>
      </c>
      <c r="J168" s="34"/>
      <c r="K168" s="15">
        <f>Source!AU111</f>
        <v>40</v>
      </c>
      <c r="L168" s="22">
        <f>SUM(V164:V169)</f>
        <v>240.32</v>
      </c>
      <c r="M168" s="32"/>
    </row>
    <row r="169" spans="1:26" ht="14.25" x14ac:dyDescent="0.2">
      <c r="A169" s="38"/>
      <c r="B169" s="38"/>
      <c r="C169" s="39"/>
      <c r="D169" s="40" t="s">
        <v>538</v>
      </c>
      <c r="E169" s="41" t="s">
        <v>539</v>
      </c>
      <c r="F169" s="42">
        <f>Source!AQ111</f>
        <v>97.2</v>
      </c>
      <c r="G169" s="43"/>
      <c r="H169" s="44" t="str">
        <f>Source!DI111</f>
        <v/>
      </c>
      <c r="I169" s="43"/>
      <c r="J169" s="44"/>
      <c r="K169" s="44"/>
      <c r="L169" s="43"/>
      <c r="M169" s="45">
        <f>Source!U111</f>
        <v>2.4300000000000002</v>
      </c>
    </row>
    <row r="170" spans="1:26" ht="15" x14ac:dyDescent="0.25">
      <c r="H170" s="89">
        <f>ROUND(Source!AC111*Source!I111, 2)+ROUND(Source!AF111*Source!I111, 2)+ROUND((((Source!ET111)-(Source!EU111))+Source!AE111)*Source!I111, 2)+SUM(I167:I168)</f>
        <v>39</v>
      </c>
      <c r="I170" s="89"/>
      <c r="K170" s="89">
        <f>Source!O111+SUM(L167:L168)</f>
        <v>1375.83</v>
      </c>
      <c r="L170" s="89"/>
      <c r="M170" s="37">
        <f>Source!U111</f>
        <v>2.4300000000000002</v>
      </c>
      <c r="O170" s="36">
        <f>H170</f>
        <v>39</v>
      </c>
      <c r="P170" s="36">
        <f>K170</f>
        <v>1375.83</v>
      </c>
      <c r="Q170" s="36">
        <f>M170</f>
        <v>2.4300000000000002</v>
      </c>
      <c r="W170">
        <f>IF(Source!BI111&lt;=1,H170, 0)</f>
        <v>39</v>
      </c>
      <c r="X170">
        <f>IF(Source!BI111=2,H170, 0)</f>
        <v>0</v>
      </c>
      <c r="Y170">
        <f>IF(Source!BI111=3,H170, 0)</f>
        <v>0</v>
      </c>
      <c r="Z170">
        <f>IF(Source!BI111=4,H170, 0)</f>
        <v>0</v>
      </c>
    </row>
    <row r="171" spans="1:26" ht="28.5" x14ac:dyDescent="0.2">
      <c r="A171" s="28">
        <v>26</v>
      </c>
      <c r="B171" s="28" t="str">
        <f>Source!E112</f>
        <v>24</v>
      </c>
      <c r="C171" s="29" t="str">
        <f>Source!F112</f>
        <v>м08-02-472-2</v>
      </c>
      <c r="D171" s="15" t="str">
        <f>Source!G112</f>
        <v>Заземлитель горизонтальный из стали полосовой сечением 160 мм2</v>
      </c>
      <c r="E171" s="31" t="str">
        <f>Source!H112</f>
        <v>100 м</v>
      </c>
      <c r="F171" s="10">
        <f>Source!I112</f>
        <v>0.09</v>
      </c>
      <c r="G171" s="22">
        <f>IF(Source!AK112&lt;&gt; 0, Source!AK112,Source!AL112 + Source!AM112 + Source!AO112)</f>
        <v>269.77</v>
      </c>
      <c r="H171" s="16"/>
      <c r="I171" s="22"/>
      <c r="J171" s="16" t="str">
        <f>Source!BO112</f>
        <v>м08-02-472-2</v>
      </c>
      <c r="K171" s="16"/>
      <c r="L171" s="22"/>
      <c r="M171" s="32"/>
      <c r="S171">
        <f>ROUND((Source!FX112/100)*((ROUND(Source!AF112*Source!I112, 2)+ROUND(Source!AE112*Source!I112, 2))), 2)</f>
        <v>12.97</v>
      </c>
      <c r="T171">
        <f>Source!X112</f>
        <v>457.45</v>
      </c>
      <c r="U171">
        <f>ROUND((Source!FY112/100)*((ROUND(Source!AF112*Source!I112, 2)+ROUND(Source!AE112*Source!I112, 2))), 2)</f>
        <v>6.82</v>
      </c>
      <c r="V171">
        <f>Source!Y112</f>
        <v>240.52</v>
      </c>
    </row>
    <row r="172" spans="1:26" x14ac:dyDescent="0.2">
      <c r="D172" s="55" t="str">
        <f>"Объем: "&amp;Source!I112&amp;"=9/"&amp;"100"</f>
        <v>Объем: 0,09=9/100</v>
      </c>
    </row>
    <row r="173" spans="1:26" ht="14.25" x14ac:dyDescent="0.2">
      <c r="A173" s="28"/>
      <c r="B173" s="28"/>
      <c r="C173" s="29"/>
      <c r="D173" s="15" t="s">
        <v>533</v>
      </c>
      <c r="E173" s="31"/>
      <c r="F173" s="10"/>
      <c r="G173" s="22">
        <f>Source!AO112</f>
        <v>145.91</v>
      </c>
      <c r="H173" s="16" t="str">
        <f>Source!DG112</f>
        <v/>
      </c>
      <c r="I173" s="22">
        <f>ROUND(Source!AF112*Source!I112, 2)</f>
        <v>13.13</v>
      </c>
      <c r="J173" s="16"/>
      <c r="K173" s="16">
        <f>IF(Source!BA112&lt;&gt; 0, Source!BA112, 1)</f>
        <v>35.270000000000003</v>
      </c>
      <c r="L173" s="22">
        <f>Source!S112</f>
        <v>463.16</v>
      </c>
      <c r="M173" s="32"/>
      <c r="R173">
        <f>I173</f>
        <v>13.13</v>
      </c>
    </row>
    <row r="174" spans="1:26" ht="14.25" x14ac:dyDescent="0.2">
      <c r="A174" s="28"/>
      <c r="B174" s="28"/>
      <c r="C174" s="29"/>
      <c r="D174" s="15" t="s">
        <v>45</v>
      </c>
      <c r="E174" s="31"/>
      <c r="F174" s="10"/>
      <c r="G174" s="22">
        <f>Source!AM112</f>
        <v>74.3</v>
      </c>
      <c r="H174" s="16" t="str">
        <f>Source!DE112</f>
        <v/>
      </c>
      <c r="I174" s="22">
        <f>ROUND((((Source!ET112)-(Source!EU112))+Source!AE112)*Source!I112, 2)</f>
        <v>6.69</v>
      </c>
      <c r="J174" s="16"/>
      <c r="K174" s="16">
        <f>IF(Source!BB112&lt;&gt; 0, Source!BB112, 1)</f>
        <v>10.41</v>
      </c>
      <c r="L174" s="22">
        <f>Source!Q112</f>
        <v>69.61</v>
      </c>
      <c r="M174" s="32"/>
    </row>
    <row r="175" spans="1:26" ht="14.25" x14ac:dyDescent="0.2">
      <c r="A175" s="28"/>
      <c r="B175" s="28"/>
      <c r="C175" s="29"/>
      <c r="D175" s="15" t="s">
        <v>534</v>
      </c>
      <c r="E175" s="31"/>
      <c r="F175" s="10"/>
      <c r="G175" s="22">
        <f>Source!AN112</f>
        <v>2.66</v>
      </c>
      <c r="H175" s="16" t="str">
        <f>Source!DF112</f>
        <v/>
      </c>
      <c r="I175" s="22">
        <f>ROUND(Source!AE112*Source!I112, 2)</f>
        <v>0.24</v>
      </c>
      <c r="J175" s="16"/>
      <c r="K175" s="16">
        <f>IF(Source!BS112&lt;&gt; 0, Source!BS112, 1)</f>
        <v>35.270000000000003</v>
      </c>
      <c r="L175" s="22">
        <f>Source!R112</f>
        <v>8.44</v>
      </c>
      <c r="M175" s="32"/>
      <c r="R175">
        <f>I175</f>
        <v>0.24</v>
      </c>
    </row>
    <row r="176" spans="1:26" ht="14.25" x14ac:dyDescent="0.2">
      <c r="A176" s="28"/>
      <c r="B176" s="28"/>
      <c r="C176" s="29"/>
      <c r="D176" s="15" t="s">
        <v>540</v>
      </c>
      <c r="E176" s="31"/>
      <c r="F176" s="10"/>
      <c r="G176" s="22">
        <f>Source!AL112</f>
        <v>49.56</v>
      </c>
      <c r="H176" s="16" t="str">
        <f>Source!DD112</f>
        <v/>
      </c>
      <c r="I176" s="22">
        <f>ROUND(Source!AC112*Source!I112, 2)</f>
        <v>4.46</v>
      </c>
      <c r="J176" s="16"/>
      <c r="K176" s="16">
        <f>IF(Source!BC112&lt;&gt; 0, Source!BC112, 1)</f>
        <v>10.08</v>
      </c>
      <c r="L176" s="22">
        <f>Source!P112</f>
        <v>44.96</v>
      </c>
      <c r="M176" s="32"/>
    </row>
    <row r="177" spans="1:28" ht="14.25" x14ac:dyDescent="0.2">
      <c r="A177" s="28"/>
      <c r="B177" s="28"/>
      <c r="C177" s="29"/>
      <c r="D177" s="15" t="s">
        <v>535</v>
      </c>
      <c r="E177" s="31" t="s">
        <v>536</v>
      </c>
      <c r="F177" s="10">
        <f>Source!BZ112</f>
        <v>97</v>
      </c>
      <c r="G177" s="33"/>
      <c r="H177" s="16"/>
      <c r="I177" s="22">
        <f>SUM(S171:S179)</f>
        <v>12.97</v>
      </c>
      <c r="J177" s="34"/>
      <c r="K177" s="15">
        <f>Source!AT112</f>
        <v>97</v>
      </c>
      <c r="L177" s="22">
        <f>SUM(T171:T179)</f>
        <v>457.45</v>
      </c>
      <c r="M177" s="32"/>
    </row>
    <row r="178" spans="1:28" ht="14.25" x14ac:dyDescent="0.2">
      <c r="A178" s="28"/>
      <c r="B178" s="28"/>
      <c r="C178" s="29"/>
      <c r="D178" s="15" t="s">
        <v>537</v>
      </c>
      <c r="E178" s="31" t="s">
        <v>536</v>
      </c>
      <c r="F178" s="10">
        <f>Source!CA112</f>
        <v>51</v>
      </c>
      <c r="G178" s="33"/>
      <c r="H178" s="16"/>
      <c r="I178" s="22">
        <f>SUM(U171:U179)</f>
        <v>6.82</v>
      </c>
      <c r="J178" s="34"/>
      <c r="K178" s="15">
        <f>Source!AU112</f>
        <v>51</v>
      </c>
      <c r="L178" s="22">
        <f>SUM(V171:V179)</f>
        <v>240.52</v>
      </c>
      <c r="M178" s="32"/>
    </row>
    <row r="179" spans="1:28" ht="14.25" x14ac:dyDescent="0.2">
      <c r="A179" s="38"/>
      <c r="B179" s="38"/>
      <c r="C179" s="39"/>
      <c r="D179" s="40" t="s">
        <v>538</v>
      </c>
      <c r="E179" s="41" t="s">
        <v>539</v>
      </c>
      <c r="F179" s="42">
        <f>Source!AQ112</f>
        <v>16.600000000000001</v>
      </c>
      <c r="G179" s="43"/>
      <c r="H179" s="44" t="str">
        <f>Source!DI112</f>
        <v/>
      </c>
      <c r="I179" s="43"/>
      <c r="J179" s="44"/>
      <c r="K179" s="44"/>
      <c r="L179" s="43"/>
      <c r="M179" s="45">
        <f>Source!U112</f>
        <v>1.494</v>
      </c>
    </row>
    <row r="180" spans="1:28" ht="15" x14ac:dyDescent="0.25">
      <c r="H180" s="89">
        <f>ROUND(Source!AC112*Source!I112, 2)+ROUND(Source!AF112*Source!I112, 2)+ROUND((((Source!ET112)-(Source!EU112))+Source!AE112)*Source!I112, 2)+SUM(I177:I178)</f>
        <v>44.07</v>
      </c>
      <c r="I180" s="89"/>
      <c r="K180" s="89">
        <f>Source!O112+SUM(L177:L178)</f>
        <v>1275.7</v>
      </c>
      <c r="L180" s="89"/>
      <c r="M180" s="37">
        <f>Source!U112</f>
        <v>1.494</v>
      </c>
      <c r="O180" s="36">
        <f>H180</f>
        <v>44.07</v>
      </c>
      <c r="P180" s="36">
        <f>K180</f>
        <v>1275.7</v>
      </c>
      <c r="Q180" s="36">
        <f>M180</f>
        <v>1.494</v>
      </c>
      <c r="W180">
        <f>IF(Source!BI112&lt;=1,H180, 0)</f>
        <v>0</v>
      </c>
      <c r="X180">
        <f>IF(Source!BI112=2,H180, 0)</f>
        <v>44.07</v>
      </c>
      <c r="Y180">
        <f>IF(Source!BI112=3,H180, 0)</f>
        <v>0</v>
      </c>
      <c r="Z180">
        <f>IF(Source!BI112=4,H180, 0)</f>
        <v>0</v>
      </c>
    </row>
    <row r="181" spans="1:28" ht="14.25" x14ac:dyDescent="0.2">
      <c r="A181" s="28">
        <v>27</v>
      </c>
      <c r="B181" s="28" t="str">
        <f>Source!E113</f>
        <v>25</v>
      </c>
      <c r="C181" s="29" t="str">
        <f>Source!F113</f>
        <v>101-2548</v>
      </c>
      <c r="D181" s="15" t="str">
        <f>Source!G113</f>
        <v>Сталь полосовая 40х4 мм</v>
      </c>
      <c r="E181" s="31" t="str">
        <f>Source!H113</f>
        <v>т</v>
      </c>
      <c r="F181" s="10">
        <f>Source!I113</f>
        <v>3.3345E-2</v>
      </c>
      <c r="G181" s="22">
        <f>IF(Source!AK113&lt;&gt; 0, Source!AK113,Source!AL113 + Source!AM113 + Source!AO113)</f>
        <v>6258.8</v>
      </c>
      <c r="H181" s="16"/>
      <c r="I181" s="22"/>
      <c r="J181" s="16" t="str">
        <f>Source!BO113</f>
        <v>101-2548</v>
      </c>
      <c r="K181" s="16"/>
      <c r="L181" s="22"/>
      <c r="M181" s="32"/>
      <c r="S181">
        <f>ROUND((Source!FX113/100)*((ROUND(Source!AF113*Source!I113, 2)+ROUND(Source!AE113*Source!I113, 2))), 2)</f>
        <v>0</v>
      </c>
      <c r="T181">
        <f>Source!X113</f>
        <v>0</v>
      </c>
      <c r="U181">
        <f>ROUND((Source!FY113/100)*((ROUND(Source!AF113*Source!I113, 2)+ROUND(Source!AE113*Source!I113, 2))), 2)</f>
        <v>0</v>
      </c>
      <c r="V181">
        <f>Source!Y113</f>
        <v>0</v>
      </c>
    </row>
    <row r="182" spans="1:28" ht="14.25" x14ac:dyDescent="0.2">
      <c r="A182" s="38"/>
      <c r="B182" s="38"/>
      <c r="C182" s="39"/>
      <c r="D182" s="40" t="s">
        <v>540</v>
      </c>
      <c r="E182" s="41"/>
      <c r="F182" s="42"/>
      <c r="G182" s="43">
        <f>Source!AL113</f>
        <v>6258.8</v>
      </c>
      <c r="H182" s="44" t="str">
        <f>Source!DD113</f>
        <v/>
      </c>
      <c r="I182" s="43">
        <f>ROUND(Source!AC113*Source!I113, 2)</f>
        <v>208.7</v>
      </c>
      <c r="J182" s="44"/>
      <c r="K182" s="44">
        <f>IF(Source!BC113&lt;&gt; 0, Source!BC113, 1)</f>
        <v>14.13</v>
      </c>
      <c r="L182" s="43">
        <f>Source!P113</f>
        <v>2948.93</v>
      </c>
      <c r="M182" s="54"/>
    </row>
    <row r="183" spans="1:28" ht="15" x14ac:dyDescent="0.25">
      <c r="H183" s="89">
        <f>ROUND(Source!AC113*Source!I113, 2)+ROUND(Source!AF113*Source!I113, 2)+ROUND((((Source!ET113)-(Source!EU113))+Source!AE113)*Source!I113, 2)</f>
        <v>208.7</v>
      </c>
      <c r="I183" s="89"/>
      <c r="K183" s="89">
        <f>Source!O113</f>
        <v>2948.93</v>
      </c>
      <c r="L183" s="89"/>
      <c r="M183" s="37">
        <f>Source!U113</f>
        <v>0</v>
      </c>
      <c r="O183" s="36">
        <f>H183</f>
        <v>208.7</v>
      </c>
      <c r="P183" s="36">
        <f>K183</f>
        <v>2948.93</v>
      </c>
      <c r="Q183" s="36">
        <f>M183</f>
        <v>0</v>
      </c>
      <c r="W183">
        <f>IF(Source!BI113&lt;=1,H183, 0)</f>
        <v>208.7</v>
      </c>
      <c r="X183">
        <f>IF(Source!BI113=2,H183, 0)</f>
        <v>0</v>
      </c>
      <c r="Y183">
        <f>IF(Source!BI113=3,H183, 0)</f>
        <v>0</v>
      </c>
      <c r="Z183">
        <f>IF(Source!BI113=4,H183, 0)</f>
        <v>0</v>
      </c>
    </row>
    <row r="184" spans="1:28" ht="42.75" x14ac:dyDescent="0.2">
      <c r="A184" s="28">
        <v>28</v>
      </c>
      <c r="B184" s="28" t="str">
        <f>Source!E114</f>
        <v>26</v>
      </c>
      <c r="C184" s="29" t="str">
        <f>Source!F114</f>
        <v>33-03-004-1</v>
      </c>
      <c r="D184" s="15" t="str">
        <f>Source!G114</f>
        <v>Забивка вертикальных заземлителей механизированная на глубину до 5 м</v>
      </c>
      <c r="E184" s="31" t="str">
        <f>Source!H114</f>
        <v>1 заземлитель</v>
      </c>
      <c r="F184" s="10">
        <f>Source!I114</f>
        <v>3</v>
      </c>
      <c r="G184" s="22">
        <f>IF(Source!AK114&lt;&gt; 0, Source!AK114,Source!AL114 + Source!AM114 + Source!AO114)</f>
        <v>140.05000000000001</v>
      </c>
      <c r="H184" s="16"/>
      <c r="I184" s="22"/>
      <c r="J184" s="16" t="str">
        <f>Source!BO114</f>
        <v>33-03-004-1</v>
      </c>
      <c r="K184" s="16"/>
      <c r="L184" s="22"/>
      <c r="M184" s="32"/>
      <c r="S184">
        <f>ROUND((Source!FX114/100)*((ROUND(Source!AF114*Source!I114, 2)+ROUND(Source!AE114*Source!I114, 2))), 2)</f>
        <v>36.74</v>
      </c>
      <c r="T184">
        <f>Source!X114</f>
        <v>1295.82</v>
      </c>
      <c r="U184">
        <f>ROUND((Source!FY114/100)*((ROUND(Source!AF114*Source!I114, 2)+ROUND(Source!AE114*Source!I114, 2))), 2)</f>
        <v>21.4</v>
      </c>
      <c r="V184">
        <f>Source!Y114</f>
        <v>754.85</v>
      </c>
    </row>
    <row r="185" spans="1:28" ht="14.25" x14ac:dyDescent="0.2">
      <c r="A185" s="28"/>
      <c r="B185" s="28"/>
      <c r="C185" s="29"/>
      <c r="D185" s="15" t="s">
        <v>533</v>
      </c>
      <c r="E185" s="31"/>
      <c r="F185" s="10"/>
      <c r="G185" s="22">
        <f>Source!AO114</f>
        <v>6.4</v>
      </c>
      <c r="H185" s="16" t="str">
        <f>Source!DG114</f>
        <v/>
      </c>
      <c r="I185" s="22">
        <f>ROUND(Source!AF114*Source!I114, 2)</f>
        <v>19.2</v>
      </c>
      <c r="J185" s="16"/>
      <c r="K185" s="16">
        <f>IF(Source!BA114&lt;&gt; 0, Source!BA114, 1)</f>
        <v>35.270000000000003</v>
      </c>
      <c r="L185" s="22">
        <f>Source!S114</f>
        <v>677.18</v>
      </c>
      <c r="M185" s="32"/>
      <c r="R185">
        <f>I185</f>
        <v>19.2</v>
      </c>
    </row>
    <row r="186" spans="1:28" ht="14.25" x14ac:dyDescent="0.2">
      <c r="A186" s="28"/>
      <c r="B186" s="28"/>
      <c r="C186" s="29"/>
      <c r="D186" s="15" t="s">
        <v>45</v>
      </c>
      <c r="E186" s="31"/>
      <c r="F186" s="10"/>
      <c r="G186" s="22">
        <f>Source!AM114</f>
        <v>100.39</v>
      </c>
      <c r="H186" s="16" t="str">
        <f>Source!DE114</f>
        <v/>
      </c>
      <c r="I186" s="22">
        <f>ROUND((((Source!ET114)-(Source!EU114))+Source!AE114)*Source!I114, 2)</f>
        <v>301.17</v>
      </c>
      <c r="J186" s="16"/>
      <c r="K186" s="16">
        <f>IF(Source!BB114&lt;&gt; 0, Source!BB114, 1)</f>
        <v>9.14</v>
      </c>
      <c r="L186" s="22">
        <f>Source!Q114</f>
        <v>2752.69</v>
      </c>
      <c r="M186" s="32"/>
    </row>
    <row r="187" spans="1:28" ht="14.25" x14ac:dyDescent="0.2">
      <c r="A187" s="28"/>
      <c r="B187" s="28"/>
      <c r="C187" s="29"/>
      <c r="D187" s="15" t="s">
        <v>534</v>
      </c>
      <c r="E187" s="31"/>
      <c r="F187" s="10"/>
      <c r="G187" s="22">
        <f>Source!AN114</f>
        <v>5.49</v>
      </c>
      <c r="H187" s="16" t="str">
        <f>Source!DF114</f>
        <v/>
      </c>
      <c r="I187" s="22">
        <f>ROUND(Source!AE114*Source!I114, 2)</f>
        <v>16.47</v>
      </c>
      <c r="J187" s="16"/>
      <c r="K187" s="16">
        <f>IF(Source!BS114&lt;&gt; 0, Source!BS114, 1)</f>
        <v>35.270000000000003</v>
      </c>
      <c r="L187" s="22">
        <f>Source!R114</f>
        <v>580.9</v>
      </c>
      <c r="M187" s="32"/>
      <c r="R187">
        <f>I187</f>
        <v>16.47</v>
      </c>
    </row>
    <row r="188" spans="1:28" ht="14.25" x14ac:dyDescent="0.2">
      <c r="A188" s="28"/>
      <c r="B188" s="28"/>
      <c r="C188" s="29"/>
      <c r="D188" s="15" t="s">
        <v>540</v>
      </c>
      <c r="E188" s="31"/>
      <c r="F188" s="10"/>
      <c r="G188" s="22">
        <f>Source!AL114</f>
        <v>33.26</v>
      </c>
      <c r="H188" s="16" t="str">
        <f>Source!DD114</f>
        <v/>
      </c>
      <c r="I188" s="22">
        <f>ROUND(Source!AC114*Source!I114, 2)</f>
        <v>99.78</v>
      </c>
      <c r="J188" s="16"/>
      <c r="K188" s="16">
        <f>IF(Source!BC114&lt;&gt; 0, Source!BC114, 1)</f>
        <v>10.55</v>
      </c>
      <c r="L188" s="22">
        <f>Source!P114</f>
        <v>1052.68</v>
      </c>
      <c r="M188" s="32"/>
    </row>
    <row r="189" spans="1:28" ht="14.25" x14ac:dyDescent="0.2">
      <c r="A189" s="28"/>
      <c r="B189" s="28"/>
      <c r="C189" s="29"/>
      <c r="D189" s="15" t="s">
        <v>535</v>
      </c>
      <c r="E189" s="31" t="s">
        <v>536</v>
      </c>
      <c r="F189" s="10">
        <f>Source!BZ114</f>
        <v>103</v>
      </c>
      <c r="G189" s="33"/>
      <c r="H189" s="16"/>
      <c r="I189" s="22">
        <f>SUM(S184:S192)</f>
        <v>36.74</v>
      </c>
      <c r="J189" s="34"/>
      <c r="K189" s="15">
        <f>Source!AT114</f>
        <v>103</v>
      </c>
      <c r="L189" s="22">
        <f>SUM(T184:T192)</f>
        <v>1295.82</v>
      </c>
      <c r="M189" s="32"/>
    </row>
    <row r="190" spans="1:28" ht="14.25" x14ac:dyDescent="0.2">
      <c r="A190" s="28"/>
      <c r="B190" s="28"/>
      <c r="C190" s="29"/>
      <c r="D190" s="15" t="s">
        <v>537</v>
      </c>
      <c r="E190" s="31" t="s">
        <v>536</v>
      </c>
      <c r="F190" s="10">
        <f>Source!CA114</f>
        <v>60</v>
      </c>
      <c r="G190" s="33"/>
      <c r="H190" s="16"/>
      <c r="I190" s="22">
        <f>SUM(U184:U192)</f>
        <v>21.4</v>
      </c>
      <c r="J190" s="34"/>
      <c r="K190" s="15">
        <f>Source!AU114</f>
        <v>60</v>
      </c>
      <c r="L190" s="22">
        <f>SUM(V184:V192)</f>
        <v>754.85</v>
      </c>
      <c r="M190" s="32"/>
    </row>
    <row r="191" spans="1:28" ht="14.25" x14ac:dyDescent="0.2">
      <c r="A191" s="28"/>
      <c r="B191" s="28"/>
      <c r="C191" s="29"/>
      <c r="D191" s="15" t="s">
        <v>538</v>
      </c>
      <c r="E191" s="31" t="s">
        <v>539</v>
      </c>
      <c r="F191" s="10">
        <f>Source!AQ114</f>
        <v>0.81</v>
      </c>
      <c r="G191" s="22"/>
      <c r="H191" s="16" t="str">
        <f>Source!DI114</f>
        <v/>
      </c>
      <c r="I191" s="22"/>
      <c r="J191" s="16"/>
      <c r="K191" s="16"/>
      <c r="L191" s="22"/>
      <c r="M191" s="35">
        <f>Source!U114</f>
        <v>2.4300000000000002</v>
      </c>
    </row>
    <row r="192" spans="1:28" ht="42.75" x14ac:dyDescent="0.2">
      <c r="A192" s="49">
        <v>29</v>
      </c>
      <c r="B192" s="49" t="str">
        <f>Source!E115</f>
        <v>26,1</v>
      </c>
      <c r="C192" s="49" t="str">
        <f>Source!F115</f>
        <v>204-0004</v>
      </c>
      <c r="D192" s="49" t="s">
        <v>542</v>
      </c>
      <c r="E192" s="50" t="str">
        <f>Source!H115</f>
        <v>т</v>
      </c>
      <c r="F192" s="51">
        <f>Source!I115</f>
        <v>-1.4999999999999999E-2</v>
      </c>
      <c r="G192" s="52">
        <f>Source!AK115</f>
        <v>6594</v>
      </c>
      <c r="H192" s="53" t="s">
        <v>3</v>
      </c>
      <c r="I192" s="52">
        <f>ROUND(Source!AC115*Source!I115, 2)+ROUND((((Source!ET115)-(Source!EU115))+Source!AE115)*Source!I115, 2)+ROUND(Source!AF115*Source!I115, 2)</f>
        <v>-98.91</v>
      </c>
      <c r="J192" s="50"/>
      <c r="K192" s="50">
        <f>IF(Source!BC115&lt;&gt; 0, Source!BC115, 1)</f>
        <v>10.53</v>
      </c>
      <c r="L192" s="52">
        <f>Source!O115</f>
        <v>-1041.52</v>
      </c>
      <c r="M192" s="52"/>
      <c r="S192">
        <f>ROUND((Source!FX115/100)*((ROUND(Source!AF115*Source!I115, 2)+ROUND(Source!AE115*Source!I115, 2))), 2)</f>
        <v>0</v>
      </c>
      <c r="T192">
        <f>Source!X115</f>
        <v>0</v>
      </c>
      <c r="U192">
        <f>ROUND((Source!FY115/100)*((ROUND(Source!AF115*Source!I115, 2)+ROUND(Source!AE115*Source!I115, 2))), 2)</f>
        <v>0</v>
      </c>
      <c r="V192">
        <f>Source!Y115</f>
        <v>0</v>
      </c>
      <c r="Y192">
        <f>IF(Source!BI115=3,I192, 0)</f>
        <v>0</v>
      </c>
      <c r="AA192">
        <f>ROUND(Source!AC115*Source!I115, 2)+ROUND((((Source!ET115)-(Source!EU115))+Source!AE115)*Source!I115, 2)+ROUND(Source!AF115*Source!I115, 2)</f>
        <v>-98.91</v>
      </c>
      <c r="AB192">
        <f>Source!O115</f>
        <v>-1041.52</v>
      </c>
    </row>
    <row r="193" spans="1:26" ht="15" x14ac:dyDescent="0.25">
      <c r="H193" s="89">
        <f>ROUND(Source!AC114*Source!I114, 2)+ROUND(Source!AF114*Source!I114, 2)+ROUND((((Source!ET114)-(Source!EU114))+Source!AE114)*Source!I114, 2)+SUM(I189:I190)+SUM(AA192:AA192)</f>
        <v>379.38</v>
      </c>
      <c r="I193" s="89"/>
      <c r="K193" s="89">
        <f>Source!O114+SUM(L189:L190)+SUM(AB192:AB192)</f>
        <v>5491.7000000000007</v>
      </c>
      <c r="L193" s="89"/>
      <c r="M193" s="37">
        <f>Source!U114</f>
        <v>2.4300000000000002</v>
      </c>
      <c r="O193" s="36">
        <f>H193</f>
        <v>379.38</v>
      </c>
      <c r="P193" s="36">
        <f>K193</f>
        <v>5491.7000000000007</v>
      </c>
      <c r="Q193" s="36">
        <f>M193</f>
        <v>2.4300000000000002</v>
      </c>
      <c r="W193">
        <f>IF(Source!BI114&lt;=1,H193, 0)</f>
        <v>379.38</v>
      </c>
      <c r="X193">
        <f>IF(Source!BI114=2,H193, 0)</f>
        <v>0</v>
      </c>
      <c r="Y193">
        <f>IF(Source!BI114=3,H193, 0)</f>
        <v>0</v>
      </c>
      <c r="Z193">
        <f>IF(Source!BI114=4,H193, 0)</f>
        <v>0</v>
      </c>
    </row>
    <row r="194" spans="1:26" ht="28.5" x14ac:dyDescent="0.2">
      <c r="A194" s="28">
        <v>30</v>
      </c>
      <c r="B194" s="28" t="str">
        <f>Source!E116</f>
        <v>27</v>
      </c>
      <c r="C194" s="29" t="str">
        <f>Source!F116</f>
        <v>101-1641</v>
      </c>
      <c r="D194" s="15" t="str">
        <f>Source!G116</f>
        <v>Сталь угловая равнополочная, марка стали ВСт3кп2, размером 50x50x5 мм</v>
      </c>
      <c r="E194" s="31" t="str">
        <f>Source!H116</f>
        <v>т</v>
      </c>
      <c r="F194" s="10">
        <f>Source!I116</f>
        <v>3.3345E-2</v>
      </c>
      <c r="G194" s="22">
        <f>IF(Source!AK116&lt;&gt; 0, Source!AK116,Source!AL116 + Source!AM116 + Source!AO116)</f>
        <v>6074</v>
      </c>
      <c r="H194" s="16"/>
      <c r="I194" s="22"/>
      <c r="J194" s="16" t="str">
        <f>Source!BO116</f>
        <v>101-1641</v>
      </c>
      <c r="K194" s="16"/>
      <c r="L194" s="22"/>
      <c r="M194" s="32"/>
      <c r="S194">
        <f>ROUND((Source!FX116/100)*((ROUND(Source!AF116*Source!I116, 2)+ROUND(Source!AE116*Source!I116, 2))), 2)</f>
        <v>0</v>
      </c>
      <c r="T194">
        <f>Source!X116</f>
        <v>0</v>
      </c>
      <c r="U194">
        <f>ROUND((Source!FY116/100)*((ROUND(Source!AF116*Source!I116, 2)+ROUND(Source!AE116*Source!I116, 2))), 2)</f>
        <v>0</v>
      </c>
      <c r="V194">
        <f>Source!Y116</f>
        <v>0</v>
      </c>
    </row>
    <row r="195" spans="1:26" x14ac:dyDescent="0.2">
      <c r="D195" s="55" t="str">
        <f>"Объем: "&amp;Source!I116&amp;"=0,011115*"&amp;"3"</f>
        <v>Объем: 0,033345=0,011115*3</v>
      </c>
    </row>
    <row r="196" spans="1:26" ht="14.25" x14ac:dyDescent="0.2">
      <c r="A196" s="38"/>
      <c r="B196" s="38"/>
      <c r="C196" s="39"/>
      <c r="D196" s="40" t="s">
        <v>540</v>
      </c>
      <c r="E196" s="41"/>
      <c r="F196" s="42"/>
      <c r="G196" s="43">
        <f>Source!AL116</f>
        <v>6074</v>
      </c>
      <c r="H196" s="44" t="str">
        <f>Source!DD116</f>
        <v/>
      </c>
      <c r="I196" s="43">
        <f>ROUND(Source!AC116*Source!I116, 2)</f>
        <v>202.54</v>
      </c>
      <c r="J196" s="44"/>
      <c r="K196" s="44">
        <f>IF(Source!BC116&lt;&gt; 0, Source!BC116, 1)</f>
        <v>13.67</v>
      </c>
      <c r="L196" s="43">
        <f>Source!P116</f>
        <v>2768.69</v>
      </c>
      <c r="M196" s="54"/>
    </row>
    <row r="197" spans="1:26" ht="15" x14ac:dyDescent="0.25">
      <c r="H197" s="89">
        <f>ROUND(Source!AC116*Source!I116, 2)+ROUND(Source!AF116*Source!I116, 2)+ROUND((((Source!ET116)-(Source!EU116))+Source!AE116)*Source!I116, 2)</f>
        <v>202.54</v>
      </c>
      <c r="I197" s="89"/>
      <c r="K197" s="89">
        <f>Source!O116</f>
        <v>2768.69</v>
      </c>
      <c r="L197" s="89"/>
      <c r="M197" s="37">
        <f>Source!U116</f>
        <v>0</v>
      </c>
      <c r="O197" s="36">
        <f>H197</f>
        <v>202.54</v>
      </c>
      <c r="P197" s="36">
        <f>K197</f>
        <v>2768.69</v>
      </c>
      <c r="Q197" s="36">
        <f>M197</f>
        <v>0</v>
      </c>
      <c r="W197">
        <f>IF(Source!BI116&lt;=1,H197, 0)</f>
        <v>202.54</v>
      </c>
      <c r="X197">
        <f>IF(Source!BI116=2,H197, 0)</f>
        <v>0</v>
      </c>
      <c r="Y197">
        <f>IF(Source!BI116=3,H197, 0)</f>
        <v>0</v>
      </c>
      <c r="Z197">
        <f>IF(Source!BI116=4,H197, 0)</f>
        <v>0</v>
      </c>
    </row>
    <row r="198" spans="1:26" ht="42.75" x14ac:dyDescent="0.2">
      <c r="A198" s="28">
        <v>31</v>
      </c>
      <c r="B198" s="28" t="str">
        <f>Source!E117</f>
        <v>28</v>
      </c>
      <c r="C198" s="29" t="str">
        <f>Source!F117</f>
        <v>п01-11-010-1</v>
      </c>
      <c r="D198" s="15" t="str">
        <f>Source!G117</f>
        <v>Измерение сопротивления растеканию тока заземлителя</v>
      </c>
      <c r="E198" s="31" t="str">
        <f>Source!H117</f>
        <v>1 измерение</v>
      </c>
      <c r="F198" s="10">
        <f>Source!I117</f>
        <v>6</v>
      </c>
      <c r="G198" s="22">
        <f>IF(Source!AK117&lt;&gt; 0, Source!AK117,Source!AL117 + Source!AM117 + Source!AO117)</f>
        <v>14.6</v>
      </c>
      <c r="H198" s="16"/>
      <c r="I198" s="22"/>
      <c r="J198" s="16" t="str">
        <f>Source!BO117</f>
        <v/>
      </c>
      <c r="K198" s="16"/>
      <c r="L198" s="22"/>
      <c r="M198" s="32"/>
      <c r="S198">
        <f>ROUND((Source!FX117/100)*((ROUND(Source!AF117*Source!I117, 2)+ROUND(Source!AE117*Source!I117, 2))), 2)</f>
        <v>64.819999999999993</v>
      </c>
      <c r="T198">
        <f>Source!X117</f>
        <v>2286.34</v>
      </c>
      <c r="U198">
        <f>ROUND((Source!FY117/100)*((ROUND(Source!AF117*Source!I117, 2)+ROUND(Source!AE117*Source!I117, 2))), 2)</f>
        <v>31.54</v>
      </c>
      <c r="V198">
        <f>Source!Y117</f>
        <v>1112.27</v>
      </c>
    </row>
    <row r="199" spans="1:26" ht="14.25" x14ac:dyDescent="0.2">
      <c r="A199" s="28"/>
      <c r="B199" s="28"/>
      <c r="C199" s="29"/>
      <c r="D199" s="15" t="s">
        <v>533</v>
      </c>
      <c r="E199" s="31"/>
      <c r="F199" s="10"/>
      <c r="G199" s="22">
        <f>Source!AO117</f>
        <v>14.6</v>
      </c>
      <c r="H199" s="16" t="str">
        <f>Source!DG117</f>
        <v/>
      </c>
      <c r="I199" s="22">
        <f>ROUND(Source!AF117*Source!I117, 2)</f>
        <v>87.6</v>
      </c>
      <c r="J199" s="16"/>
      <c r="K199" s="16">
        <f>IF(Source!BA117&lt;&gt; 0, Source!BA117, 1)</f>
        <v>35.270000000000003</v>
      </c>
      <c r="L199" s="22">
        <f>Source!S117</f>
        <v>3089.65</v>
      </c>
      <c r="M199" s="32"/>
      <c r="R199">
        <f>I199</f>
        <v>87.6</v>
      </c>
    </row>
    <row r="200" spans="1:26" ht="14.25" x14ac:dyDescent="0.2">
      <c r="A200" s="28"/>
      <c r="B200" s="28"/>
      <c r="C200" s="29"/>
      <c r="D200" s="15" t="s">
        <v>535</v>
      </c>
      <c r="E200" s="31" t="s">
        <v>536</v>
      </c>
      <c r="F200" s="10">
        <f>Source!BZ117</f>
        <v>74</v>
      </c>
      <c r="G200" s="33"/>
      <c r="H200" s="16"/>
      <c r="I200" s="22">
        <f>SUM(S198:S202)</f>
        <v>64.819999999999993</v>
      </c>
      <c r="J200" s="34"/>
      <c r="K200" s="15">
        <f>Source!AT117</f>
        <v>74</v>
      </c>
      <c r="L200" s="22">
        <f>SUM(T198:T202)</f>
        <v>2286.34</v>
      </c>
      <c r="M200" s="32"/>
    </row>
    <row r="201" spans="1:26" ht="14.25" x14ac:dyDescent="0.2">
      <c r="A201" s="28"/>
      <c r="B201" s="28"/>
      <c r="C201" s="29"/>
      <c r="D201" s="15" t="s">
        <v>537</v>
      </c>
      <c r="E201" s="31" t="s">
        <v>536</v>
      </c>
      <c r="F201" s="10">
        <f>Source!CA117</f>
        <v>36</v>
      </c>
      <c r="G201" s="33"/>
      <c r="H201" s="16"/>
      <c r="I201" s="22">
        <f>SUM(U198:U202)</f>
        <v>31.54</v>
      </c>
      <c r="J201" s="34"/>
      <c r="K201" s="15">
        <f>Source!AU117</f>
        <v>36</v>
      </c>
      <c r="L201" s="22">
        <f>SUM(V198:V202)</f>
        <v>1112.27</v>
      </c>
      <c r="M201" s="32"/>
    </row>
    <row r="202" spans="1:26" ht="14.25" x14ac:dyDescent="0.2">
      <c r="A202" s="38"/>
      <c r="B202" s="38"/>
      <c r="C202" s="39"/>
      <c r="D202" s="40" t="s">
        <v>538</v>
      </c>
      <c r="E202" s="41" t="s">
        <v>539</v>
      </c>
      <c r="F202" s="42">
        <f>Source!AQ117</f>
        <v>1.22</v>
      </c>
      <c r="G202" s="43"/>
      <c r="H202" s="44" t="str">
        <f>Source!DI117</f>
        <v/>
      </c>
      <c r="I202" s="43"/>
      <c r="J202" s="44"/>
      <c r="K202" s="44"/>
      <c r="L202" s="43"/>
      <c r="M202" s="45">
        <f>Source!U117</f>
        <v>7.32</v>
      </c>
    </row>
    <row r="203" spans="1:26" ht="15" x14ac:dyDescent="0.25">
      <c r="H203" s="89">
        <f>ROUND(Source!AC117*Source!I117, 2)+ROUND(Source!AF117*Source!I117, 2)+ROUND((((Source!ET117)-(Source!EU117))+Source!AE117)*Source!I117, 2)+SUM(I200:I201)</f>
        <v>183.95999999999998</v>
      </c>
      <c r="I203" s="89"/>
      <c r="K203" s="89">
        <f>Source!O117+SUM(L200:L201)</f>
        <v>6488.26</v>
      </c>
      <c r="L203" s="89"/>
      <c r="M203" s="37">
        <f>Source!U117</f>
        <v>7.32</v>
      </c>
      <c r="O203" s="36">
        <f>H203</f>
        <v>183.95999999999998</v>
      </c>
      <c r="P203" s="36">
        <f>K203</f>
        <v>6488.26</v>
      </c>
      <c r="Q203" s="36">
        <f>M203</f>
        <v>7.32</v>
      </c>
      <c r="W203">
        <f>IF(Source!BI117&lt;=1,H203, 0)</f>
        <v>0</v>
      </c>
      <c r="X203">
        <f>IF(Source!BI117=2,H203, 0)</f>
        <v>0</v>
      </c>
      <c r="Y203">
        <f>IF(Source!BI117=3,H203, 0)</f>
        <v>0</v>
      </c>
      <c r="Z203">
        <f>IF(Source!BI117=4,H203, 0)</f>
        <v>183.95999999999998</v>
      </c>
    </row>
    <row r="204" spans="1:26" ht="42.75" x14ac:dyDescent="0.2">
      <c r="A204" s="28">
        <v>32</v>
      </c>
      <c r="B204" s="28" t="str">
        <f>Source!E118</f>
        <v>29</v>
      </c>
      <c r="C204" s="29" t="str">
        <f>Source!F118</f>
        <v>п01-11-011-1</v>
      </c>
      <c r="D204" s="15" t="str">
        <f>Source!G118</f>
        <v>Проверка наличия цепи между заземлителями и заземленными элементами</v>
      </c>
      <c r="E204" s="31" t="str">
        <f>Source!H118</f>
        <v>100 точек</v>
      </c>
      <c r="F204" s="10">
        <f>Source!I118</f>
        <v>0.4</v>
      </c>
      <c r="G204" s="22">
        <f>IF(Source!AK118&lt;&gt; 0, Source!AK118,Source!AL118 + Source!AM118 + Source!AO118)</f>
        <v>155.13</v>
      </c>
      <c r="H204" s="16"/>
      <c r="I204" s="22"/>
      <c r="J204" s="16" t="str">
        <f>Source!BO118</f>
        <v/>
      </c>
      <c r="K204" s="16"/>
      <c r="L204" s="22"/>
      <c r="M204" s="32"/>
      <c r="S204">
        <f>ROUND((Source!FX118/100)*((ROUND(Source!AF118*Source!I118, 2)+ROUND(Source!AE118*Source!I118, 2))), 2)</f>
        <v>45.92</v>
      </c>
      <c r="T204">
        <f>Source!X118</f>
        <v>1619.54</v>
      </c>
      <c r="U204">
        <f>ROUND((Source!FY118/100)*((ROUND(Source!AF118*Source!I118, 2)+ROUND(Source!AE118*Source!I118, 2))), 2)</f>
        <v>22.34</v>
      </c>
      <c r="V204">
        <f>Source!Y118</f>
        <v>787.89</v>
      </c>
    </row>
    <row r="205" spans="1:26" x14ac:dyDescent="0.2">
      <c r="D205" s="55" t="str">
        <f>"Объем: "&amp;Source!I118&amp;"=40/"&amp;"100"</f>
        <v>Объем: 0,4=40/100</v>
      </c>
    </row>
    <row r="206" spans="1:26" ht="14.25" x14ac:dyDescent="0.2">
      <c r="A206" s="28"/>
      <c r="B206" s="28"/>
      <c r="C206" s="29"/>
      <c r="D206" s="15" t="s">
        <v>533</v>
      </c>
      <c r="E206" s="31"/>
      <c r="F206" s="10"/>
      <c r="G206" s="22">
        <f>Source!AO118</f>
        <v>155.13</v>
      </c>
      <c r="H206" s="16" t="str">
        <f>Source!DG118</f>
        <v/>
      </c>
      <c r="I206" s="22">
        <f>ROUND(Source!AF118*Source!I118, 2)</f>
        <v>62.05</v>
      </c>
      <c r="J206" s="16"/>
      <c r="K206" s="16">
        <f>IF(Source!BA118&lt;&gt; 0, Source!BA118, 1)</f>
        <v>35.270000000000003</v>
      </c>
      <c r="L206" s="22">
        <f>Source!S118</f>
        <v>2188.5700000000002</v>
      </c>
      <c r="M206" s="32"/>
      <c r="R206">
        <f>I206</f>
        <v>62.05</v>
      </c>
    </row>
    <row r="207" spans="1:26" ht="14.25" x14ac:dyDescent="0.2">
      <c r="A207" s="28"/>
      <c r="B207" s="28"/>
      <c r="C207" s="29"/>
      <c r="D207" s="15" t="s">
        <v>535</v>
      </c>
      <c r="E207" s="31" t="s">
        <v>536</v>
      </c>
      <c r="F207" s="10">
        <f>Source!BZ118</f>
        <v>74</v>
      </c>
      <c r="G207" s="33"/>
      <c r="H207" s="16"/>
      <c r="I207" s="22">
        <f>SUM(S204:S209)</f>
        <v>45.92</v>
      </c>
      <c r="J207" s="34"/>
      <c r="K207" s="15">
        <f>Source!AT118</f>
        <v>74</v>
      </c>
      <c r="L207" s="22">
        <f>SUM(T204:T209)</f>
        <v>1619.54</v>
      </c>
      <c r="M207" s="32"/>
    </row>
    <row r="208" spans="1:26" ht="14.25" x14ac:dyDescent="0.2">
      <c r="A208" s="28"/>
      <c r="B208" s="28"/>
      <c r="C208" s="29"/>
      <c r="D208" s="15" t="s">
        <v>537</v>
      </c>
      <c r="E208" s="31" t="s">
        <v>536</v>
      </c>
      <c r="F208" s="10">
        <f>Source!CA118</f>
        <v>36</v>
      </c>
      <c r="G208" s="33"/>
      <c r="H208" s="16"/>
      <c r="I208" s="22">
        <f>SUM(U204:U209)</f>
        <v>22.34</v>
      </c>
      <c r="J208" s="34"/>
      <c r="K208" s="15">
        <f>Source!AU118</f>
        <v>36</v>
      </c>
      <c r="L208" s="22">
        <f>SUM(V204:V209)</f>
        <v>787.89</v>
      </c>
      <c r="M208" s="32"/>
    </row>
    <row r="209" spans="1:39" ht="14.25" x14ac:dyDescent="0.2">
      <c r="A209" s="38"/>
      <c r="B209" s="38"/>
      <c r="C209" s="39"/>
      <c r="D209" s="40" t="s">
        <v>538</v>
      </c>
      <c r="E209" s="41" t="s">
        <v>539</v>
      </c>
      <c r="F209" s="42">
        <f>Source!AQ118</f>
        <v>12.96</v>
      </c>
      <c r="G209" s="43"/>
      <c r="H209" s="44" t="str">
        <f>Source!DI118</f>
        <v/>
      </c>
      <c r="I209" s="43"/>
      <c r="J209" s="44"/>
      <c r="K209" s="44"/>
      <c r="L209" s="43"/>
      <c r="M209" s="45">
        <f>Source!U118</f>
        <v>5.1840000000000011</v>
      </c>
    </row>
    <row r="210" spans="1:39" ht="15" x14ac:dyDescent="0.25">
      <c r="H210" s="89">
        <f>ROUND(Source!AC118*Source!I118, 2)+ROUND(Source!AF118*Source!I118, 2)+ROUND((((Source!ET118)-(Source!EU118))+Source!AE118)*Source!I118, 2)+SUM(I207:I208)</f>
        <v>130.31</v>
      </c>
      <c r="I210" s="89"/>
      <c r="K210" s="89">
        <f>Source!O118+SUM(L207:L208)</f>
        <v>4596</v>
      </c>
      <c r="L210" s="89"/>
      <c r="M210" s="37">
        <f>Source!U118</f>
        <v>5.1840000000000011</v>
      </c>
      <c r="O210" s="36">
        <f>H210</f>
        <v>130.31</v>
      </c>
      <c r="P210" s="36">
        <f>K210</f>
        <v>4596</v>
      </c>
      <c r="Q210" s="36">
        <f>M210</f>
        <v>5.1840000000000011</v>
      </c>
      <c r="W210">
        <f>IF(Source!BI118&lt;=1,H210, 0)</f>
        <v>0</v>
      </c>
      <c r="X210">
        <f>IF(Source!BI118=2,H210, 0)</f>
        <v>0</v>
      </c>
      <c r="Y210">
        <f>IF(Source!BI118=3,H210, 0)</f>
        <v>0</v>
      </c>
      <c r="Z210">
        <f>IF(Source!BI118=4,H210, 0)</f>
        <v>130.31</v>
      </c>
    </row>
    <row r="212" spans="1:39" ht="15" x14ac:dyDescent="0.25">
      <c r="A212" s="88" t="str">
        <f>CONCATENATE("Итого по разделу: ", Source!G120)</f>
        <v>Итого по разделу: Монтаж реклоузера</v>
      </c>
      <c r="B212" s="88"/>
      <c r="C212" s="88"/>
      <c r="D212" s="88"/>
      <c r="E212" s="88"/>
      <c r="F212" s="88"/>
      <c r="G212" s="88"/>
      <c r="H212" s="89">
        <f>SUM(O59:O211)</f>
        <v>10486.72</v>
      </c>
      <c r="I212" s="90"/>
      <c r="J212" s="46"/>
      <c r="K212" s="89">
        <f>SUM(P59:P211)</f>
        <v>159978.74000000002</v>
      </c>
      <c r="L212" s="90"/>
      <c r="M212" s="37">
        <f>SUM(Q59:Q211)</f>
        <v>67.758212</v>
      </c>
      <c r="AG212" s="47" t="str">
        <f>CONCATENATE("Итого по разделу: ", Source!G120)</f>
        <v>Итого по разделу: Монтаж реклоузера</v>
      </c>
    </row>
    <row r="214" spans="1:39" ht="14.25" x14ac:dyDescent="0.2">
      <c r="D214" s="15" t="str">
        <f>Source!H149</f>
        <v>ОЗП</v>
      </c>
      <c r="K214" s="86">
        <f>Source!F149</f>
        <v>21883.94</v>
      </c>
      <c r="L214" s="86"/>
    </row>
    <row r="215" spans="1:39" ht="14.25" x14ac:dyDescent="0.2">
      <c r="D215" s="15" t="str">
        <f>Source!H150</f>
        <v>ЭММ, в т.ч. ЗПМ</v>
      </c>
      <c r="K215" s="86">
        <f>Source!F150</f>
        <v>22634.89</v>
      </c>
      <c r="L215" s="86"/>
    </row>
    <row r="216" spans="1:39" ht="14.25" x14ac:dyDescent="0.2">
      <c r="D216" s="15" t="str">
        <f>Source!H151</f>
        <v>ЗПМ (справочно)</v>
      </c>
      <c r="K216" s="86">
        <f>Source!F151</f>
        <v>5368.75</v>
      </c>
      <c r="L216" s="86"/>
    </row>
    <row r="217" spans="1:39" ht="14.25" x14ac:dyDescent="0.2">
      <c r="D217" s="15" t="str">
        <f>Source!H152</f>
        <v>Стоимость материалов</v>
      </c>
      <c r="K217" s="86">
        <f>Source!F152</f>
        <v>74534.429999999993</v>
      </c>
      <c r="L217" s="86"/>
    </row>
    <row r="218" spans="1:39" ht="14.25" x14ac:dyDescent="0.2">
      <c r="D218" s="15" t="str">
        <f>Source!H153</f>
        <v>НР</v>
      </c>
      <c r="K218" s="86">
        <f>Source!F153</f>
        <v>26253.64</v>
      </c>
      <c r="L218" s="86"/>
    </row>
    <row r="219" spans="1:39" ht="14.25" x14ac:dyDescent="0.2">
      <c r="D219" s="15" t="str">
        <f>Source!H154</f>
        <v>СП</v>
      </c>
      <c r="K219" s="86">
        <f>Source!F154</f>
        <v>14671.84</v>
      </c>
      <c r="L219" s="86"/>
    </row>
    <row r="220" spans="1:39" ht="14.25" x14ac:dyDescent="0.2">
      <c r="D220" s="15" t="str">
        <f>Source!H155</f>
        <v>Итого</v>
      </c>
      <c r="E220" s="84" t="str">
        <f>"="&amp;Source!F149&amp;"+"&amp;""&amp;Source!F150&amp;"+"&amp;""&amp;Source!F152&amp;"+"&amp;""&amp;Source!F153&amp;"+"&amp;""&amp;Source!F154&amp;""</f>
        <v>=21883,94+22634,89+74534,43+26253,64+14671,84</v>
      </c>
      <c r="F220" s="85"/>
      <c r="G220" s="85"/>
      <c r="H220" s="85"/>
      <c r="I220" s="85"/>
      <c r="J220" s="85"/>
      <c r="K220" s="86">
        <f>Source!F155</f>
        <v>159978.74</v>
      </c>
      <c r="L220" s="86"/>
      <c r="AM220" s="48" t="str">
        <f>"="&amp;Source!F149&amp;"+"&amp;""&amp;Source!F150&amp;"+"&amp;""&amp;Source!F152&amp;"+"&amp;""&amp;Source!F153&amp;"+"&amp;""&amp;Source!F154&amp;""</f>
        <v>=21883,94+22634,89+74534,43+26253,64+14671,84</v>
      </c>
    </row>
    <row r="221" spans="1:39" ht="14.25" x14ac:dyDescent="0.2">
      <c r="D221" s="15" t="str">
        <f>Source!H156</f>
        <v>НДС 20%</v>
      </c>
      <c r="E221" s="84" t="str">
        <f>"="&amp;Source!F155&amp;"*"&amp;"0,2"</f>
        <v>=159978,74*0,2</v>
      </c>
      <c r="F221" s="85"/>
      <c r="G221" s="85"/>
      <c r="H221" s="85"/>
      <c r="I221" s="85"/>
      <c r="J221" s="85"/>
      <c r="K221" s="86">
        <f>Source!F156</f>
        <v>31995.75</v>
      </c>
      <c r="L221" s="86"/>
      <c r="AM221" s="48" t="str">
        <f>"="&amp;Source!F155&amp;"*"&amp;"0,2"</f>
        <v>=159978,74*0,2</v>
      </c>
    </row>
    <row r="222" spans="1:39" ht="14.25" x14ac:dyDescent="0.2">
      <c r="D222" s="15" t="str">
        <f>Source!H157</f>
        <v>Всего с НДС</v>
      </c>
      <c r="E222" s="84" t="str">
        <f>"="&amp;Source!F155&amp;"+"&amp;""&amp;Source!F156&amp;""</f>
        <v>=159978,74+31995,75</v>
      </c>
      <c r="F222" s="85"/>
      <c r="G222" s="85"/>
      <c r="H222" s="85"/>
      <c r="I222" s="85"/>
      <c r="J222" s="85"/>
      <c r="K222" s="86">
        <f>Source!F157</f>
        <v>191974.49</v>
      </c>
      <c r="L222" s="86"/>
      <c r="AM222" s="48" t="str">
        <f>"="&amp;Source!F155&amp;"+"&amp;""&amp;Source!F156&amp;""</f>
        <v>=159978,74+31995,75</v>
      </c>
    </row>
    <row r="225" spans="1:31" ht="16.5" x14ac:dyDescent="0.25">
      <c r="A225" s="91" t="str">
        <f>CONCATENATE("Раздел: ", Source!G159)</f>
        <v>Раздел: Подвеска провода</v>
      </c>
      <c r="B225" s="91"/>
      <c r="C225" s="91"/>
      <c r="D225" s="91"/>
      <c r="E225" s="91"/>
      <c r="F225" s="91"/>
      <c r="G225" s="91"/>
      <c r="H225" s="91"/>
      <c r="I225" s="91"/>
      <c r="J225" s="91"/>
      <c r="K225" s="91"/>
      <c r="L225" s="91"/>
      <c r="M225" s="91"/>
      <c r="AE225" s="27" t="str">
        <f>CONCATENATE("Раздел: ", Source!G159)</f>
        <v>Раздел: Подвеска провода</v>
      </c>
    </row>
    <row r="226" spans="1:31" ht="71.25" x14ac:dyDescent="0.2">
      <c r="A226" s="28">
        <v>33</v>
      </c>
      <c r="B226" s="28" t="str">
        <f>Source!E163</f>
        <v>30</v>
      </c>
      <c r="C226" s="29" t="str">
        <f>Source!F163</f>
        <v>33-04-009-2</v>
      </c>
      <c r="D226" s="15" t="str">
        <f>Source!G163</f>
        <v>Подвеска проводов ВЛ 6-10 кВ в ненаселенной местности сечением свыше 35 мм2 с помощью механизмов</v>
      </c>
      <c r="E226" s="31" t="str">
        <f>Source!H163</f>
        <v>1 км линии (3 провода) при 10 опорах</v>
      </c>
      <c r="F226" s="10">
        <f>Source!I163</f>
        <v>0.05</v>
      </c>
      <c r="G226" s="22">
        <f>IF(Source!AK163&lt;&gt; 0, Source!AK163,Source!AL163 + Source!AM163 + Source!AO163)</f>
        <v>2096.8200000000002</v>
      </c>
      <c r="H226" s="16"/>
      <c r="I226" s="22"/>
      <c r="J226" s="16" t="str">
        <f>Source!BO163</f>
        <v>33-04-009-2</v>
      </c>
      <c r="K226" s="16"/>
      <c r="L226" s="22"/>
      <c r="M226" s="32"/>
      <c r="S226">
        <f>ROUND((Source!FX163/100)*((ROUND(Source!AF163*Source!I163, 2)+ROUND(Source!AE163*Source!I163, 2))), 2)</f>
        <v>29.66</v>
      </c>
      <c r="T226">
        <f>Source!X163</f>
        <v>1046.0999999999999</v>
      </c>
      <c r="U226">
        <f>ROUND((Source!FY163/100)*((ROUND(Source!AF163*Source!I163, 2)+ROUND(Source!AE163*Source!I163, 2))), 2)</f>
        <v>17.28</v>
      </c>
      <c r="V226">
        <f>Source!Y163</f>
        <v>609.38</v>
      </c>
    </row>
    <row r="227" spans="1:31" x14ac:dyDescent="0.2">
      <c r="D227" s="55" t="str">
        <f>"Объем: "&amp;Source!I163&amp;"=(43+"&amp;"7)/"&amp;"1000"</f>
        <v>Объем: 0,05=(43+7)/1000</v>
      </c>
    </row>
    <row r="228" spans="1:31" ht="14.25" x14ac:dyDescent="0.2">
      <c r="A228" s="28"/>
      <c r="B228" s="28"/>
      <c r="C228" s="29"/>
      <c r="D228" s="15" t="s">
        <v>533</v>
      </c>
      <c r="E228" s="31"/>
      <c r="F228" s="10"/>
      <c r="G228" s="22">
        <f>Source!AO163</f>
        <v>424.8</v>
      </c>
      <c r="H228" s="16" t="str">
        <f>Source!DG163</f>
        <v/>
      </c>
      <c r="I228" s="22">
        <f>ROUND(Source!AF163*Source!I163, 2)</f>
        <v>21.24</v>
      </c>
      <c r="J228" s="16"/>
      <c r="K228" s="16">
        <f>IF(Source!BA163&lt;&gt; 0, Source!BA163, 1)</f>
        <v>35.270000000000003</v>
      </c>
      <c r="L228" s="22">
        <f>Source!S163</f>
        <v>749.13</v>
      </c>
      <c r="M228" s="32"/>
      <c r="R228">
        <f>I228</f>
        <v>21.24</v>
      </c>
    </row>
    <row r="229" spans="1:31" ht="14.25" x14ac:dyDescent="0.2">
      <c r="A229" s="28"/>
      <c r="B229" s="28"/>
      <c r="C229" s="29"/>
      <c r="D229" s="15" t="s">
        <v>45</v>
      </c>
      <c r="E229" s="31"/>
      <c r="F229" s="10"/>
      <c r="G229" s="22">
        <f>Source!AM163</f>
        <v>1338.74</v>
      </c>
      <c r="H229" s="16" t="str">
        <f>Source!DE163</f>
        <v/>
      </c>
      <c r="I229" s="22">
        <f>ROUND((((Source!ET163)-(Source!EU163))+Source!AE163)*Source!I163, 2)</f>
        <v>66.94</v>
      </c>
      <c r="J229" s="16"/>
      <c r="K229" s="16">
        <f>IF(Source!BB163&lt;&gt; 0, Source!BB163, 1)</f>
        <v>12.57</v>
      </c>
      <c r="L229" s="22">
        <f>Source!Q163</f>
        <v>841.4</v>
      </c>
      <c r="M229" s="32"/>
    </row>
    <row r="230" spans="1:31" ht="14.25" x14ac:dyDescent="0.2">
      <c r="A230" s="28"/>
      <c r="B230" s="28"/>
      <c r="C230" s="29"/>
      <c r="D230" s="15" t="s">
        <v>534</v>
      </c>
      <c r="E230" s="31"/>
      <c r="F230" s="10"/>
      <c r="G230" s="22">
        <f>Source!AN163</f>
        <v>151.12</v>
      </c>
      <c r="H230" s="16" t="str">
        <f>Source!DF163</f>
        <v/>
      </c>
      <c r="I230" s="22">
        <f>ROUND(Source!AE163*Source!I163, 2)</f>
        <v>7.56</v>
      </c>
      <c r="J230" s="16"/>
      <c r="K230" s="16">
        <f>IF(Source!BS163&lt;&gt; 0, Source!BS163, 1)</f>
        <v>35.270000000000003</v>
      </c>
      <c r="L230" s="22">
        <f>Source!R163</f>
        <v>266.5</v>
      </c>
      <c r="M230" s="32"/>
      <c r="R230">
        <f>I230</f>
        <v>7.56</v>
      </c>
    </row>
    <row r="231" spans="1:31" ht="14.25" x14ac:dyDescent="0.2">
      <c r="A231" s="28"/>
      <c r="B231" s="28"/>
      <c r="C231" s="29"/>
      <c r="D231" s="15" t="s">
        <v>540</v>
      </c>
      <c r="E231" s="31"/>
      <c r="F231" s="10"/>
      <c r="G231" s="22">
        <f>Source!AL163</f>
        <v>333.28</v>
      </c>
      <c r="H231" s="16" t="str">
        <f>Source!DD163</f>
        <v/>
      </c>
      <c r="I231" s="22">
        <f>ROUND(Source!AC163*Source!I163, 2)</f>
        <v>16.66</v>
      </c>
      <c r="J231" s="16"/>
      <c r="K231" s="16">
        <f>IF(Source!BC163&lt;&gt; 0, Source!BC163, 1)</f>
        <v>10.39</v>
      </c>
      <c r="L231" s="22">
        <f>Source!P163</f>
        <v>173.14</v>
      </c>
      <c r="M231" s="32"/>
    </row>
    <row r="232" spans="1:31" ht="14.25" x14ac:dyDescent="0.2">
      <c r="A232" s="28"/>
      <c r="B232" s="28"/>
      <c r="C232" s="29"/>
      <c r="D232" s="15" t="s">
        <v>535</v>
      </c>
      <c r="E232" s="31" t="s">
        <v>536</v>
      </c>
      <c r="F232" s="10">
        <f>Source!BZ163</f>
        <v>103</v>
      </c>
      <c r="G232" s="33"/>
      <c r="H232" s="16"/>
      <c r="I232" s="22">
        <f>SUM(S226:S234)</f>
        <v>29.66</v>
      </c>
      <c r="J232" s="34"/>
      <c r="K232" s="15">
        <f>Source!AT163</f>
        <v>103</v>
      </c>
      <c r="L232" s="22">
        <f>SUM(T226:T234)</f>
        <v>1046.0999999999999</v>
      </c>
      <c r="M232" s="32"/>
    </row>
    <row r="233" spans="1:31" ht="14.25" x14ac:dyDescent="0.2">
      <c r="A233" s="28"/>
      <c r="B233" s="28"/>
      <c r="C233" s="29"/>
      <c r="D233" s="15" t="s">
        <v>537</v>
      </c>
      <c r="E233" s="31" t="s">
        <v>536</v>
      </c>
      <c r="F233" s="10">
        <f>Source!CA163</f>
        <v>60</v>
      </c>
      <c r="G233" s="33"/>
      <c r="H233" s="16"/>
      <c r="I233" s="22">
        <f>SUM(U226:U234)</f>
        <v>17.28</v>
      </c>
      <c r="J233" s="34"/>
      <c r="K233" s="15">
        <f>Source!AU163</f>
        <v>60</v>
      </c>
      <c r="L233" s="22">
        <f>SUM(V226:V234)</f>
        <v>609.38</v>
      </c>
      <c r="M233" s="32"/>
    </row>
    <row r="234" spans="1:31" ht="14.25" x14ac:dyDescent="0.2">
      <c r="A234" s="38"/>
      <c r="B234" s="38"/>
      <c r="C234" s="39"/>
      <c r="D234" s="40" t="s">
        <v>538</v>
      </c>
      <c r="E234" s="41" t="s">
        <v>539</v>
      </c>
      <c r="F234" s="42">
        <f>Source!AQ163</f>
        <v>48.94</v>
      </c>
      <c r="G234" s="43"/>
      <c r="H234" s="44" t="str">
        <f>Source!DI163</f>
        <v/>
      </c>
      <c r="I234" s="43"/>
      <c r="J234" s="44"/>
      <c r="K234" s="44"/>
      <c r="L234" s="43"/>
      <c r="M234" s="45">
        <f>Source!U163</f>
        <v>2.4470000000000001</v>
      </c>
    </row>
    <row r="235" spans="1:31" ht="15" x14ac:dyDescent="0.25">
      <c r="H235" s="89">
        <f>ROUND(Source!AC163*Source!I163, 2)+ROUND(Source!AF163*Source!I163, 2)+ROUND((((Source!ET163)-(Source!EU163))+Source!AE163)*Source!I163, 2)+SUM(I232:I233)</f>
        <v>151.78</v>
      </c>
      <c r="I235" s="89"/>
      <c r="K235" s="89">
        <f>Source!O163+SUM(L232:L233)</f>
        <v>3419.15</v>
      </c>
      <c r="L235" s="89"/>
      <c r="M235" s="37">
        <f>Source!U163</f>
        <v>2.4470000000000001</v>
      </c>
      <c r="O235" s="36">
        <f>H235</f>
        <v>151.78</v>
      </c>
      <c r="P235" s="36">
        <f>K235</f>
        <v>3419.15</v>
      </c>
      <c r="Q235" s="36">
        <f>M235</f>
        <v>2.4470000000000001</v>
      </c>
      <c r="W235">
        <f>IF(Source!BI163&lt;=1,H235, 0)</f>
        <v>151.78</v>
      </c>
      <c r="X235">
        <f>IF(Source!BI163=2,H235, 0)</f>
        <v>0</v>
      </c>
      <c r="Y235">
        <f>IF(Source!BI163=3,H235, 0)</f>
        <v>0</v>
      </c>
      <c r="Z235">
        <f>IF(Source!BI163=4,H235, 0)</f>
        <v>0</v>
      </c>
    </row>
    <row r="236" spans="1:31" ht="28.5" x14ac:dyDescent="0.2">
      <c r="A236" s="28">
        <v>34</v>
      </c>
      <c r="B236" s="28" t="str">
        <f>Source!E167</f>
        <v>31</v>
      </c>
      <c r="C236" s="29" t="str">
        <f>Source!F167</f>
        <v>509-5892</v>
      </c>
      <c r="D236" s="15" t="str">
        <f>Source!G167</f>
        <v>Зажим плашечный соединительный ПА 2-2</v>
      </c>
      <c r="E236" s="31" t="str">
        <f>Source!H167</f>
        <v>шт.</v>
      </c>
      <c r="F236" s="10">
        <f>Source!I167</f>
        <v>3</v>
      </c>
      <c r="G236" s="22">
        <f>IF(Source!AK167&lt;&gt; 0, Source!AK167,Source!AL167 + Source!AM167 + Source!AO167)</f>
        <v>6.89</v>
      </c>
      <c r="H236" s="16"/>
      <c r="I236" s="22"/>
      <c r="J236" s="16" t="str">
        <f>Source!BO167</f>
        <v>509-5892</v>
      </c>
      <c r="K236" s="16"/>
      <c r="L236" s="22"/>
      <c r="M236" s="32"/>
      <c r="S236">
        <f>ROUND((Source!FX167/100)*((ROUND(Source!AF167*Source!I167, 2)+ROUND(Source!AE167*Source!I167, 2))), 2)</f>
        <v>0</v>
      </c>
      <c r="T236">
        <f>Source!X167</f>
        <v>0</v>
      </c>
      <c r="U236">
        <f>ROUND((Source!FY167/100)*((ROUND(Source!AF167*Source!I167, 2)+ROUND(Source!AE167*Source!I167, 2))), 2)</f>
        <v>0</v>
      </c>
      <c r="V236">
        <f>Source!Y167</f>
        <v>0</v>
      </c>
    </row>
    <row r="237" spans="1:31" ht="14.25" x14ac:dyDescent="0.2">
      <c r="A237" s="38"/>
      <c r="B237" s="38"/>
      <c r="C237" s="39"/>
      <c r="D237" s="40" t="s">
        <v>540</v>
      </c>
      <c r="E237" s="41"/>
      <c r="F237" s="42"/>
      <c r="G237" s="43">
        <f>Source!AL167</f>
        <v>6.89</v>
      </c>
      <c r="H237" s="44" t="str">
        <f>Source!DD167</f>
        <v/>
      </c>
      <c r="I237" s="43">
        <f>ROUND(Source!AC167*Source!I167, 2)</f>
        <v>20.67</v>
      </c>
      <c r="J237" s="44"/>
      <c r="K237" s="44">
        <f>IF(Source!BC167&lt;&gt; 0, Source!BC167, 1)</f>
        <v>10.73</v>
      </c>
      <c r="L237" s="43">
        <f>Source!P167</f>
        <v>221.79</v>
      </c>
      <c r="M237" s="54"/>
    </row>
    <row r="238" spans="1:31" ht="15" x14ac:dyDescent="0.25">
      <c r="H238" s="89">
        <f>ROUND(Source!AC167*Source!I167, 2)+ROUND(Source!AF167*Source!I167, 2)+ROUND((((Source!ET167)-(Source!EU167))+Source!AE167)*Source!I167, 2)</f>
        <v>20.67</v>
      </c>
      <c r="I238" s="89"/>
      <c r="K238" s="89">
        <f>Source!O167</f>
        <v>221.79</v>
      </c>
      <c r="L238" s="89"/>
      <c r="M238" s="37">
        <f>Source!U167</f>
        <v>0</v>
      </c>
      <c r="O238" s="36">
        <f>H238</f>
        <v>20.67</v>
      </c>
      <c r="P238" s="36">
        <f>K238</f>
        <v>221.79</v>
      </c>
      <c r="Q238" s="36">
        <f>M238</f>
        <v>0</v>
      </c>
      <c r="W238">
        <f>IF(Source!BI167&lt;=1,H238, 0)</f>
        <v>0</v>
      </c>
      <c r="X238">
        <f>IF(Source!BI167=2,H238, 0)</f>
        <v>20.67</v>
      </c>
      <c r="Y238">
        <f>IF(Source!BI167=3,H238, 0)</f>
        <v>0</v>
      </c>
      <c r="Z238">
        <f>IF(Source!BI167=4,H238, 0)</f>
        <v>0</v>
      </c>
    </row>
    <row r="239" spans="1:31" ht="57" x14ac:dyDescent="0.2">
      <c r="A239" s="28">
        <v>35</v>
      </c>
      <c r="B239" s="28" t="str">
        <f>Source!E168</f>
        <v>32</v>
      </c>
      <c r="C239" s="29" t="str">
        <f>Source!F168</f>
        <v>502-0860</v>
      </c>
      <c r="D239" s="15" t="str">
        <f>Source!G168</f>
        <v>Провода самонесущие изолированные для воздушных линий электропередачи с алюминиевыми жилами марки СИП-3 1х70-20</v>
      </c>
      <c r="E239" s="31" t="str">
        <f>Source!H168</f>
        <v>1000 м</v>
      </c>
      <c r="F239" s="10">
        <f>Source!I168</f>
        <v>2.1000000000000001E-2</v>
      </c>
      <c r="G239" s="22">
        <f>IF(Source!AK168&lt;&gt; 0, Source!AK168,Source!AL168 + Source!AM168 + Source!AO168)</f>
        <v>23908.94</v>
      </c>
      <c r="H239" s="16"/>
      <c r="I239" s="22"/>
      <c r="J239" s="16" t="str">
        <f>Source!BO168</f>
        <v>502-0860</v>
      </c>
      <c r="K239" s="16"/>
      <c r="L239" s="22"/>
      <c r="M239" s="32"/>
      <c r="S239">
        <f>ROUND((Source!FX168/100)*((ROUND(Source!AF168*Source!I168, 2)+ROUND(Source!AE168*Source!I168, 2))), 2)</f>
        <v>0</v>
      </c>
      <c r="T239">
        <f>Source!X168</f>
        <v>0</v>
      </c>
      <c r="U239">
        <f>ROUND((Source!FY168/100)*((ROUND(Source!AF168*Source!I168, 2)+ROUND(Source!AE168*Source!I168, 2))), 2)</f>
        <v>0</v>
      </c>
      <c r="V239">
        <f>Source!Y168</f>
        <v>0</v>
      </c>
    </row>
    <row r="240" spans="1:31" x14ac:dyDescent="0.2">
      <c r="D240" s="55" t="str">
        <f>"Объем: "&amp;Source!I168&amp;"=21/"&amp;"1000"</f>
        <v>Объем: 0,021=21/1000</v>
      </c>
    </row>
    <row r="241" spans="1:39" ht="14.25" x14ac:dyDescent="0.2">
      <c r="A241" s="38"/>
      <c r="B241" s="38"/>
      <c r="C241" s="39"/>
      <c r="D241" s="40" t="s">
        <v>540</v>
      </c>
      <c r="E241" s="41"/>
      <c r="F241" s="42"/>
      <c r="G241" s="43">
        <f>Source!AL168</f>
        <v>23908.94</v>
      </c>
      <c r="H241" s="44" t="str">
        <f>Source!DD168</f>
        <v/>
      </c>
      <c r="I241" s="43">
        <f>ROUND(Source!AC168*Source!I168, 2)</f>
        <v>502.09</v>
      </c>
      <c r="J241" s="44"/>
      <c r="K241" s="44">
        <f>IF(Source!BC168&lt;&gt; 0, Source!BC168, 1)</f>
        <v>3.78</v>
      </c>
      <c r="L241" s="43">
        <f>Source!P168</f>
        <v>1897.89</v>
      </c>
      <c r="M241" s="54"/>
    </row>
    <row r="242" spans="1:39" ht="15" x14ac:dyDescent="0.25">
      <c r="H242" s="89">
        <f>ROUND(Source!AC168*Source!I168, 2)+ROUND(Source!AF168*Source!I168, 2)+ROUND((((Source!ET168)-(Source!EU168))+Source!AE168)*Source!I168, 2)</f>
        <v>502.09</v>
      </c>
      <c r="I242" s="89"/>
      <c r="K242" s="89">
        <f>Source!O168</f>
        <v>1897.89</v>
      </c>
      <c r="L242" s="89"/>
      <c r="M242" s="37">
        <f>Source!U168</f>
        <v>0</v>
      </c>
      <c r="O242" s="36">
        <f>H242</f>
        <v>502.09</v>
      </c>
      <c r="P242" s="36">
        <f>K242</f>
        <v>1897.89</v>
      </c>
      <c r="Q242" s="36">
        <f>M242</f>
        <v>0</v>
      </c>
      <c r="W242">
        <f>IF(Source!BI168&lt;=1,H242, 0)</f>
        <v>0</v>
      </c>
      <c r="X242">
        <f>IF(Source!BI168=2,H242, 0)</f>
        <v>502.09</v>
      </c>
      <c r="Y242">
        <f>IF(Source!BI168=3,H242, 0)</f>
        <v>0</v>
      </c>
      <c r="Z242">
        <f>IF(Source!BI168=4,H242, 0)</f>
        <v>0</v>
      </c>
    </row>
    <row r="243" spans="1:39" ht="42.75" x14ac:dyDescent="0.2">
      <c r="A243" s="28">
        <v>36</v>
      </c>
      <c r="B243" s="28" t="str">
        <f>Source!E169</f>
        <v>33</v>
      </c>
      <c r="C243" s="29" t="str">
        <f>Source!F169</f>
        <v>111-3249</v>
      </c>
      <c r="D243" s="15" t="str">
        <f>Source!G169</f>
        <v>Наконечник изолированный алюминиевый с медной клеммой (СИП) CPTAU 70</v>
      </c>
      <c r="E243" s="31" t="str">
        <f>Source!H169</f>
        <v>шт.</v>
      </c>
      <c r="F243" s="10">
        <f>Source!I169</f>
        <v>6</v>
      </c>
      <c r="G243" s="22">
        <f>IF(Source!AK169&lt;&gt; 0, Source!AK169,Source!AL169 + Source!AM169 + Source!AO169)</f>
        <v>57.83</v>
      </c>
      <c r="H243" s="16"/>
      <c r="I243" s="22"/>
      <c r="J243" s="16" t="str">
        <f>Source!BO169</f>
        <v>111-3249</v>
      </c>
      <c r="K243" s="16"/>
      <c r="L243" s="22"/>
      <c r="M243" s="32"/>
      <c r="S243">
        <f>ROUND((Source!FX169/100)*((ROUND(Source!AF169*Source!I169, 2)+ROUND(Source!AE169*Source!I169, 2))), 2)</f>
        <v>0</v>
      </c>
      <c r="T243">
        <f>Source!X169</f>
        <v>0</v>
      </c>
      <c r="U243">
        <f>ROUND((Source!FY169/100)*((ROUND(Source!AF169*Source!I169, 2)+ROUND(Source!AE169*Source!I169, 2))), 2)</f>
        <v>0</v>
      </c>
      <c r="V243">
        <f>Source!Y169</f>
        <v>0</v>
      </c>
    </row>
    <row r="244" spans="1:39" ht="14.25" x14ac:dyDescent="0.2">
      <c r="A244" s="38"/>
      <c r="B244" s="38"/>
      <c r="C244" s="39"/>
      <c r="D244" s="40" t="s">
        <v>540</v>
      </c>
      <c r="E244" s="41"/>
      <c r="F244" s="42"/>
      <c r="G244" s="43">
        <f>Source!AL169</f>
        <v>57.83</v>
      </c>
      <c r="H244" s="44" t="str">
        <f>Source!DD169</f>
        <v/>
      </c>
      <c r="I244" s="43">
        <f>ROUND(Source!AC169*Source!I169, 2)</f>
        <v>346.98</v>
      </c>
      <c r="J244" s="44"/>
      <c r="K244" s="44">
        <f>IF(Source!BC169&lt;&gt; 0, Source!BC169, 1)</f>
        <v>10.95</v>
      </c>
      <c r="L244" s="43">
        <f>Source!P169</f>
        <v>3799.43</v>
      </c>
      <c r="M244" s="54"/>
    </row>
    <row r="245" spans="1:39" ht="15" x14ac:dyDescent="0.25">
      <c r="H245" s="89">
        <f>ROUND(Source!AC169*Source!I169, 2)+ROUND(Source!AF169*Source!I169, 2)+ROUND((((Source!ET169)-(Source!EU169))+Source!AE169)*Source!I169, 2)</f>
        <v>346.98</v>
      </c>
      <c r="I245" s="89"/>
      <c r="K245" s="89">
        <f>Source!O169</f>
        <v>3799.43</v>
      </c>
      <c r="L245" s="89"/>
      <c r="M245" s="37">
        <f>Source!U169</f>
        <v>0</v>
      </c>
      <c r="O245" s="36">
        <f>H245</f>
        <v>346.98</v>
      </c>
      <c r="P245" s="36">
        <f>K245</f>
        <v>3799.43</v>
      </c>
      <c r="Q245" s="36">
        <f>M245</f>
        <v>0</v>
      </c>
      <c r="W245">
        <f>IF(Source!BI169&lt;=1,H245, 0)</f>
        <v>346.98</v>
      </c>
      <c r="X245">
        <f>IF(Source!BI169=2,H245, 0)</f>
        <v>0</v>
      </c>
      <c r="Y245">
        <f>IF(Source!BI169=3,H245, 0)</f>
        <v>0</v>
      </c>
      <c r="Z245">
        <f>IF(Source!BI169=4,H245, 0)</f>
        <v>0</v>
      </c>
    </row>
    <row r="247" spans="1:39" ht="15" x14ac:dyDescent="0.25">
      <c r="A247" s="88" t="str">
        <f>CONCATENATE("Итого по разделу: ", Source!G171)</f>
        <v>Итого по разделу: Подвеска провода</v>
      </c>
      <c r="B247" s="88"/>
      <c r="C247" s="88"/>
      <c r="D247" s="88"/>
      <c r="E247" s="88"/>
      <c r="F247" s="88"/>
      <c r="G247" s="88"/>
      <c r="H247" s="89">
        <f>SUM(O225:O246)</f>
        <v>1021.52</v>
      </c>
      <c r="I247" s="90"/>
      <c r="J247" s="46"/>
      <c r="K247" s="89">
        <f>SUM(P225:P246)</f>
        <v>9338.26</v>
      </c>
      <c r="L247" s="90"/>
      <c r="M247" s="37">
        <f>SUM(Q225:Q246)</f>
        <v>2.4470000000000001</v>
      </c>
      <c r="AG247" s="47" t="str">
        <f>CONCATENATE("Итого по разделу: ", Source!G171)</f>
        <v>Итого по разделу: Подвеска провода</v>
      </c>
    </row>
    <row r="249" spans="1:39" ht="14.25" x14ac:dyDescent="0.2">
      <c r="D249" s="15" t="str">
        <f>Source!H200</f>
        <v>ОЗП</v>
      </c>
      <c r="K249" s="86">
        <f>Source!F200</f>
        <v>749.13</v>
      </c>
      <c r="L249" s="86"/>
    </row>
    <row r="250" spans="1:39" ht="14.25" x14ac:dyDescent="0.2">
      <c r="D250" s="15" t="str">
        <f>Source!H201</f>
        <v>ЭММ, в т.ч. ЗПМ</v>
      </c>
      <c r="K250" s="86">
        <f>Source!F201</f>
        <v>841.4</v>
      </c>
      <c r="L250" s="86"/>
    </row>
    <row r="251" spans="1:39" ht="14.25" x14ac:dyDescent="0.2">
      <c r="D251" s="15" t="str">
        <f>Source!H202</f>
        <v>ЗПМ (справочно)</v>
      </c>
      <c r="K251" s="86">
        <f>Source!F202</f>
        <v>266.5</v>
      </c>
      <c r="L251" s="86"/>
    </row>
    <row r="252" spans="1:39" ht="14.25" x14ac:dyDescent="0.2">
      <c r="D252" s="15" t="str">
        <f>Source!H203</f>
        <v>Стоимость материалов</v>
      </c>
      <c r="K252" s="86">
        <f>Source!F203</f>
        <v>6092.25</v>
      </c>
      <c r="L252" s="86"/>
    </row>
    <row r="253" spans="1:39" ht="14.25" x14ac:dyDescent="0.2">
      <c r="D253" s="15" t="str">
        <f>Source!H204</f>
        <v>НР</v>
      </c>
      <c r="K253" s="86">
        <f>Source!F204</f>
        <v>1046.0999999999999</v>
      </c>
      <c r="L253" s="86"/>
    </row>
    <row r="254" spans="1:39" ht="14.25" x14ac:dyDescent="0.2">
      <c r="D254" s="15" t="str">
        <f>Source!H205</f>
        <v>СП</v>
      </c>
      <c r="K254" s="86">
        <f>Source!F205</f>
        <v>609.38</v>
      </c>
      <c r="L254" s="86"/>
    </row>
    <row r="255" spans="1:39" ht="14.25" x14ac:dyDescent="0.2">
      <c r="D255" s="15" t="str">
        <f>Source!H206</f>
        <v>Итого</v>
      </c>
      <c r="E255" s="84" t="str">
        <f>"="&amp;Source!F200&amp;"+"&amp;""&amp;Source!F201&amp;"+"&amp;""&amp;Source!F203&amp;"+"&amp;""&amp;Source!F204&amp;"+"&amp;""&amp;Source!F205&amp;""</f>
        <v>=749,13+841,4+6092,25+1046,1+609,38</v>
      </c>
      <c r="F255" s="85"/>
      <c r="G255" s="85"/>
      <c r="H255" s="85"/>
      <c r="I255" s="85"/>
      <c r="J255" s="85"/>
      <c r="K255" s="86">
        <f>Source!F206</f>
        <v>9338.26</v>
      </c>
      <c r="L255" s="86"/>
      <c r="AM255" s="48" t="str">
        <f>"="&amp;Source!F200&amp;"+"&amp;""&amp;Source!F201&amp;"+"&amp;""&amp;Source!F203&amp;"+"&amp;""&amp;Source!F204&amp;"+"&amp;""&amp;Source!F205&amp;""</f>
        <v>=749,13+841,4+6092,25+1046,1+609,38</v>
      </c>
    </row>
    <row r="256" spans="1:39" ht="14.25" x14ac:dyDescent="0.2">
      <c r="D256" s="15" t="str">
        <f>Source!H207</f>
        <v>НДС 20%</v>
      </c>
      <c r="E256" s="84" t="str">
        <f>"="&amp;Source!F206&amp;"*"&amp;"0,2"</f>
        <v>=9338,26*0,2</v>
      </c>
      <c r="F256" s="85"/>
      <c r="G256" s="85"/>
      <c r="H256" s="85"/>
      <c r="I256" s="85"/>
      <c r="J256" s="85"/>
      <c r="K256" s="86">
        <f>Source!F207</f>
        <v>1867.65</v>
      </c>
      <c r="L256" s="86"/>
      <c r="AM256" s="48" t="str">
        <f>"="&amp;Source!F206&amp;"*"&amp;"0,2"</f>
        <v>=9338,26*0,2</v>
      </c>
    </row>
    <row r="257" spans="1:39" ht="14.25" x14ac:dyDescent="0.2">
      <c r="D257" s="15" t="str">
        <f>Source!H208</f>
        <v>Всего с НДС</v>
      </c>
      <c r="E257" s="84" t="str">
        <f>"="&amp;Source!F206&amp;"+"&amp;""&amp;Source!F207&amp;""</f>
        <v>=9338,26+1867,65</v>
      </c>
      <c r="F257" s="85"/>
      <c r="G257" s="85"/>
      <c r="H257" s="85"/>
      <c r="I257" s="85"/>
      <c r="J257" s="85"/>
      <c r="K257" s="86">
        <f>Source!F208</f>
        <v>11205.91</v>
      </c>
      <c r="L257" s="86"/>
      <c r="AM257" s="48" t="str">
        <f>"="&amp;Source!F206&amp;"+"&amp;""&amp;Source!F207&amp;""</f>
        <v>=9338,26+1867,65</v>
      </c>
    </row>
    <row r="260" spans="1:39" ht="15" x14ac:dyDescent="0.25">
      <c r="A260" s="88" t="str">
        <f>CONCATENATE("Итого по локальной смете: ", Source!G210)</f>
        <v xml:space="preserve">Итого по локальной смете: </v>
      </c>
      <c r="B260" s="88"/>
      <c r="C260" s="88"/>
      <c r="D260" s="88"/>
      <c r="E260" s="88"/>
      <c r="F260" s="88"/>
      <c r="G260" s="88"/>
      <c r="H260" s="89">
        <f>SUM(O35:O259)</f>
        <v>11605.110000000002</v>
      </c>
      <c r="I260" s="90"/>
      <c r="J260" s="46"/>
      <c r="K260" s="89">
        <f>SUM(P35:P259)</f>
        <v>171585.53</v>
      </c>
      <c r="L260" s="90"/>
      <c r="M260" s="37">
        <f>SUM(Q35:Q259)</f>
        <v>72.235212000000004</v>
      </c>
      <c r="AG260" s="47" t="str">
        <f>CONCATENATE("Итого по локальной смете: ", Source!G210)</f>
        <v xml:space="preserve">Итого по локальной смете: </v>
      </c>
    </row>
    <row r="262" spans="1:39" ht="14.25" x14ac:dyDescent="0.2">
      <c r="D262" s="15" t="str">
        <f>Source!H239</f>
        <v>ОЗП</v>
      </c>
      <c r="K262" s="86">
        <f>Source!F239</f>
        <v>23203.74</v>
      </c>
      <c r="L262" s="86"/>
    </row>
    <row r="263" spans="1:39" ht="14.25" x14ac:dyDescent="0.2">
      <c r="D263" s="15" t="str">
        <f>Source!H240</f>
        <v>ЭММ, в т.ч. ЗПМ</v>
      </c>
      <c r="K263" s="86">
        <f>Source!F240</f>
        <v>24011.119999999999</v>
      </c>
      <c r="L263" s="86"/>
    </row>
    <row r="264" spans="1:39" ht="14.25" x14ac:dyDescent="0.2">
      <c r="D264" s="15" t="str">
        <f>Source!H241</f>
        <v>ЗПМ (справочно)</v>
      </c>
      <c r="K264" s="86">
        <f>Source!F241</f>
        <v>5778.09</v>
      </c>
      <c r="L264" s="86"/>
    </row>
    <row r="265" spans="1:39" ht="14.25" x14ac:dyDescent="0.2">
      <c r="D265" s="15" t="str">
        <f>Source!H242</f>
        <v>Стоимость материалов</v>
      </c>
      <c r="K265" s="86">
        <f>Source!F242</f>
        <v>80626.679999999993</v>
      </c>
      <c r="L265" s="86"/>
    </row>
    <row r="266" spans="1:39" ht="14.25" x14ac:dyDescent="0.2">
      <c r="D266" s="15" t="str">
        <f>Source!H243</f>
        <v>НР</v>
      </c>
      <c r="K266" s="86">
        <f>Source!F243</f>
        <v>28034.66</v>
      </c>
      <c r="L266" s="86"/>
    </row>
    <row r="267" spans="1:39" ht="14.25" x14ac:dyDescent="0.2">
      <c r="D267" s="15" t="str">
        <f>Source!H244</f>
        <v>СП</v>
      </c>
      <c r="K267" s="86">
        <f>Source!F244</f>
        <v>15709.33</v>
      </c>
      <c r="L267" s="86"/>
    </row>
    <row r="268" spans="1:39" ht="14.25" x14ac:dyDescent="0.2">
      <c r="D268" s="15" t="str">
        <f>Source!H245</f>
        <v>Итого</v>
      </c>
      <c r="E268" s="84" t="str">
        <f>"="&amp;Source!F239&amp;"+"&amp;""&amp;Source!F240&amp;"+"&amp;""&amp;Source!F242&amp;"+"&amp;""&amp;Source!F243&amp;"+"&amp;""&amp;Source!F244&amp;""</f>
        <v>=23203,74+24011,12+80626,68+28034,66+15709,33</v>
      </c>
      <c r="F268" s="85"/>
      <c r="G268" s="85"/>
      <c r="H268" s="85"/>
      <c r="I268" s="85"/>
      <c r="J268" s="85"/>
      <c r="K268" s="86">
        <f>Source!F245</f>
        <v>171585.53</v>
      </c>
      <c r="L268" s="86"/>
      <c r="AM268" s="48" t="str">
        <f>"="&amp;Source!F239&amp;"+"&amp;""&amp;Source!F240&amp;"+"&amp;""&amp;Source!F242&amp;"+"&amp;""&amp;Source!F243&amp;"+"&amp;""&amp;Source!F244&amp;""</f>
        <v>=23203,74+24011,12+80626,68+28034,66+15709,33</v>
      </c>
    </row>
    <row r="269" spans="1:39" ht="14.25" x14ac:dyDescent="0.2">
      <c r="D269" s="15" t="str">
        <f>Source!H246</f>
        <v>НДС 20%</v>
      </c>
      <c r="E269" s="84" t="str">
        <f>"="&amp;Source!F245&amp;"*"&amp;"0,2"</f>
        <v>=171585,53*0,2</v>
      </c>
      <c r="F269" s="85"/>
      <c r="G269" s="85"/>
      <c r="H269" s="85"/>
      <c r="I269" s="85"/>
      <c r="J269" s="85"/>
      <c r="K269" s="86">
        <f>Source!F246</f>
        <v>34317.11</v>
      </c>
      <c r="L269" s="86"/>
      <c r="AM269" s="48" t="str">
        <f>"="&amp;Source!F245&amp;"*"&amp;"0,2"</f>
        <v>=171585,53*0,2</v>
      </c>
    </row>
    <row r="270" spans="1:39" ht="14.25" x14ac:dyDescent="0.2">
      <c r="D270" s="15" t="str">
        <f>Source!H247</f>
        <v>Всего с НДС</v>
      </c>
      <c r="E270" s="84" t="str">
        <f>"="&amp;Source!F245&amp;"+"&amp;""&amp;Source!F246&amp;""</f>
        <v>=171585,53+34317,11</v>
      </c>
      <c r="F270" s="85"/>
      <c r="G270" s="85"/>
      <c r="H270" s="85"/>
      <c r="I270" s="85"/>
      <c r="J270" s="85"/>
      <c r="K270" s="86">
        <f>Source!F247</f>
        <v>205902.64</v>
      </c>
      <c r="L270" s="86"/>
      <c r="AM270" s="48" t="str">
        <f>"="&amp;Source!F245&amp;"+"&amp;""&amp;Source!F246&amp;""</f>
        <v>=171585,53+34317,11</v>
      </c>
    </row>
    <row r="273" spans="1:39" ht="30" x14ac:dyDescent="0.25">
      <c r="A273" s="88" t="str">
        <f>CONCATENATE("Итого по смете: ", Source!G249)</f>
        <v>Итого по смете: Установка реклоузеров на ВЛ-6 кВ на линии №15 в п. Сосновка, Заволжье</v>
      </c>
      <c r="B273" s="88"/>
      <c r="C273" s="88"/>
      <c r="D273" s="88"/>
      <c r="E273" s="88"/>
      <c r="F273" s="88"/>
      <c r="G273" s="88"/>
      <c r="H273" s="89">
        <f>SUM(O1:O272)</f>
        <v>11605.110000000002</v>
      </c>
      <c r="I273" s="90"/>
      <c r="J273" s="46"/>
      <c r="K273" s="89">
        <f>SUM(P1:P272)</f>
        <v>171585.53</v>
      </c>
      <c r="L273" s="90"/>
      <c r="M273" s="37">
        <f>SUM(Q1:Q272)</f>
        <v>72.235212000000004</v>
      </c>
      <c r="AG273" s="47" t="str">
        <f>CONCATENATE("Итого по смете: ", Source!G249)</f>
        <v>Итого по смете: Установка реклоузеров на ВЛ-6 кВ на линии №15 в п. Сосновка, Заволжье</v>
      </c>
    </row>
    <row r="275" spans="1:39" ht="14.25" x14ac:dyDescent="0.2">
      <c r="D275" s="15" t="str">
        <f>Source!H278</f>
        <v>ОЗП</v>
      </c>
      <c r="K275" s="86">
        <f>Source!F278</f>
        <v>23203.74</v>
      </c>
      <c r="L275" s="86"/>
    </row>
    <row r="276" spans="1:39" ht="14.25" x14ac:dyDescent="0.2">
      <c r="D276" s="15" t="str">
        <f>Source!H279</f>
        <v>ЭММ, в т.ч. ЗПМ</v>
      </c>
      <c r="K276" s="86">
        <f>Source!F279</f>
        <v>24011.119999999999</v>
      </c>
      <c r="L276" s="86"/>
    </row>
    <row r="277" spans="1:39" ht="14.25" x14ac:dyDescent="0.2">
      <c r="D277" s="15" t="str">
        <f>Source!H280</f>
        <v>ЗПМ (справочно)</v>
      </c>
      <c r="K277" s="86">
        <f>Source!F280</f>
        <v>5778.09</v>
      </c>
      <c r="L277" s="86"/>
    </row>
    <row r="278" spans="1:39" ht="14.25" x14ac:dyDescent="0.2">
      <c r="D278" s="15" t="str">
        <f>Source!H281</f>
        <v>Стоимость материалов</v>
      </c>
      <c r="K278" s="86">
        <f>Source!F281</f>
        <v>80626.679999999993</v>
      </c>
      <c r="L278" s="86"/>
    </row>
    <row r="279" spans="1:39" ht="14.25" x14ac:dyDescent="0.2">
      <c r="D279" s="15" t="str">
        <f>Source!H282</f>
        <v>НР</v>
      </c>
      <c r="K279" s="86">
        <f>Source!F282</f>
        <v>28034.66</v>
      </c>
      <c r="L279" s="86"/>
    </row>
    <row r="280" spans="1:39" ht="14.25" x14ac:dyDescent="0.2">
      <c r="D280" s="15" t="str">
        <f>Source!H283</f>
        <v>СП</v>
      </c>
      <c r="K280" s="86">
        <f>Source!F283</f>
        <v>15709.33</v>
      </c>
      <c r="L280" s="86"/>
    </row>
    <row r="281" spans="1:39" ht="14.25" x14ac:dyDescent="0.2">
      <c r="D281" s="15" t="str">
        <f>Source!H284</f>
        <v>Итого</v>
      </c>
      <c r="E281" s="84" t="str">
        <f>"="&amp;Source!F278&amp;"+"&amp;""&amp;Source!F279&amp;"+"&amp;""&amp;Source!F281&amp;"+"&amp;""&amp;Source!F282&amp;"+"&amp;""&amp;Source!F283&amp;""</f>
        <v>=23203,74+24011,12+80626,68+28034,66+15709,33</v>
      </c>
      <c r="F281" s="85"/>
      <c r="G281" s="85"/>
      <c r="H281" s="85"/>
      <c r="I281" s="85"/>
      <c r="J281" s="85"/>
      <c r="K281" s="86">
        <f>Source!F284</f>
        <v>171585.53</v>
      </c>
      <c r="L281" s="86"/>
      <c r="AM281" s="48" t="str">
        <f>"="&amp;Source!F278&amp;"+"&amp;""&amp;Source!F279&amp;"+"&amp;""&amp;Source!F281&amp;"+"&amp;""&amp;Source!F282&amp;"+"&amp;""&amp;Source!F283&amp;""</f>
        <v>=23203,74+24011,12+80626,68+28034,66+15709,33</v>
      </c>
    </row>
    <row r="282" spans="1:39" ht="14.25" x14ac:dyDescent="0.2">
      <c r="D282" s="15" t="str">
        <f>Source!H285</f>
        <v>НДС 20%</v>
      </c>
      <c r="E282" s="84" t="str">
        <f>"="&amp;Source!F284&amp;"*"&amp;"0,2"</f>
        <v>=171585,53*0,2</v>
      </c>
      <c r="F282" s="85"/>
      <c r="G282" s="85"/>
      <c r="H282" s="85"/>
      <c r="I282" s="85"/>
      <c r="J282" s="85"/>
      <c r="K282" s="86">
        <f>Source!F285</f>
        <v>34317.11</v>
      </c>
      <c r="L282" s="86"/>
      <c r="AM282" s="48" t="str">
        <f>"="&amp;Source!F284&amp;"*"&amp;"0,2"</f>
        <v>=171585,53*0,2</v>
      </c>
    </row>
    <row r="283" spans="1:39" ht="14.25" x14ac:dyDescent="0.2">
      <c r="D283" s="15" t="str">
        <f>Source!H286</f>
        <v>Всего с НДС</v>
      </c>
      <c r="E283" s="84" t="str">
        <f>"="&amp;Source!F284&amp;"+"&amp;""&amp;Source!F285&amp;""</f>
        <v>=171585,53+34317,11</v>
      </c>
      <c r="F283" s="85"/>
      <c r="G283" s="85"/>
      <c r="H283" s="85"/>
      <c r="I283" s="85"/>
      <c r="J283" s="85"/>
      <c r="K283" s="86">
        <f>Source!F286</f>
        <v>205902.64</v>
      </c>
      <c r="L283" s="86"/>
      <c r="AM283" s="48" t="str">
        <f>"="&amp;Source!F284&amp;"+"&amp;""&amp;Source!F285&amp;""</f>
        <v>=171585,53+34317,11</v>
      </c>
    </row>
    <row r="287" spans="1:39" ht="15" x14ac:dyDescent="0.2">
      <c r="A287" s="11"/>
      <c r="B287" s="82" t="s">
        <v>633</v>
      </c>
      <c r="C287" s="82"/>
      <c r="D287" s="23" t="str">
        <f>IF(Source!AM12&lt;&gt;"", Source!AM12," ")</f>
        <v xml:space="preserve"> </v>
      </c>
      <c r="E287" s="69"/>
      <c r="F287" s="23"/>
      <c r="G287" s="70"/>
      <c r="H287" s="69"/>
      <c r="I287" s="23" t="str">
        <f>IF(Source!AL12&lt;&gt;"", Source!AL12," ")</f>
        <v xml:space="preserve"> </v>
      </c>
      <c r="J287" s="70"/>
      <c r="K287" s="70"/>
      <c r="L287" s="70"/>
      <c r="M287" s="11"/>
    </row>
    <row r="288" spans="1:39" ht="14.25" x14ac:dyDescent="0.2">
      <c r="A288" s="11"/>
      <c r="B288" s="9"/>
      <c r="C288" s="9"/>
      <c r="D288" s="57" t="s">
        <v>544</v>
      </c>
      <c r="E288" s="9"/>
      <c r="F288" s="83" t="s">
        <v>545</v>
      </c>
      <c r="G288" s="83"/>
      <c r="H288" s="9"/>
      <c r="I288" s="83" t="s">
        <v>546</v>
      </c>
      <c r="J288" s="83"/>
      <c r="K288" s="83"/>
      <c r="L288" s="83"/>
      <c r="M288" s="11"/>
    </row>
    <row r="289" spans="1:13" ht="15" x14ac:dyDescent="0.2">
      <c r="A289" s="11"/>
      <c r="B289" s="69"/>
      <c r="C289" s="71"/>
      <c r="D289" s="69"/>
      <c r="E289" s="10"/>
      <c r="F289" s="11" t="s">
        <v>547</v>
      </c>
      <c r="G289" s="69"/>
      <c r="H289" s="69"/>
      <c r="I289" s="69"/>
      <c r="J289" s="69"/>
      <c r="K289" s="69"/>
      <c r="L289" s="69"/>
      <c r="M289" s="11"/>
    </row>
    <row r="290" spans="1:13" ht="14.25" x14ac:dyDescent="0.2">
      <c r="A290" s="11"/>
      <c r="M290" s="11"/>
    </row>
    <row r="291" spans="1:13" ht="15" x14ac:dyDescent="0.2">
      <c r="A291" s="11"/>
      <c r="B291" s="82" t="s">
        <v>634</v>
      </c>
      <c r="C291" s="82"/>
      <c r="D291" s="23" t="str">
        <f>IF(Source!AI12&lt;&gt;"", Source!AI12," ")</f>
        <v xml:space="preserve"> </v>
      </c>
      <c r="E291" s="69"/>
      <c r="F291" s="23"/>
      <c r="G291" s="70"/>
      <c r="H291" s="69"/>
      <c r="I291" s="23" t="str">
        <f>IF(Source!AH12&lt;&gt;"", Source!AH12," ")</f>
        <v xml:space="preserve"> </v>
      </c>
      <c r="J291" s="70"/>
      <c r="K291" s="70"/>
      <c r="L291" s="70"/>
      <c r="M291" s="11"/>
    </row>
    <row r="292" spans="1:13" ht="14.25" x14ac:dyDescent="0.2">
      <c r="A292" s="11"/>
      <c r="B292" s="9"/>
      <c r="C292" s="9"/>
      <c r="D292" s="57" t="s">
        <v>544</v>
      </c>
      <c r="E292" s="9"/>
      <c r="F292" s="83" t="s">
        <v>545</v>
      </c>
      <c r="G292" s="83"/>
      <c r="H292" s="9"/>
      <c r="I292" s="83" t="s">
        <v>546</v>
      </c>
      <c r="J292" s="83"/>
      <c r="K292" s="83"/>
      <c r="L292" s="83"/>
      <c r="M292" s="11"/>
    </row>
    <row r="293" spans="1:13" ht="15" x14ac:dyDescent="0.2">
      <c r="A293" s="11"/>
      <c r="B293" s="69"/>
      <c r="C293" s="71"/>
      <c r="D293" s="69"/>
      <c r="E293" s="71"/>
      <c r="F293" s="11" t="s">
        <v>547</v>
      </c>
      <c r="G293" s="69"/>
      <c r="H293" s="69"/>
      <c r="I293" s="69"/>
      <c r="J293" s="69"/>
      <c r="K293" s="69"/>
      <c r="L293" s="69"/>
      <c r="M293" s="11"/>
    </row>
  </sheetData>
  <mergeCells count="200">
    <mergeCell ref="A9:B9"/>
    <mergeCell ref="C9:I9"/>
    <mergeCell ref="C10:I10"/>
    <mergeCell ref="K10:M11"/>
    <mergeCell ref="A11:B11"/>
    <mergeCell ref="C11:I11"/>
    <mergeCell ref="J2:M2"/>
    <mergeCell ref="I3:M3"/>
    <mergeCell ref="J4:M4"/>
    <mergeCell ref="K6:M6"/>
    <mergeCell ref="K7:M7"/>
    <mergeCell ref="K8:M9"/>
    <mergeCell ref="A17:B17"/>
    <mergeCell ref="C17:I17"/>
    <mergeCell ref="C18:I18"/>
    <mergeCell ref="H19:J19"/>
    <mergeCell ref="K19:M19"/>
    <mergeCell ref="C12:I12"/>
    <mergeCell ref="K12:M13"/>
    <mergeCell ref="A13:B13"/>
    <mergeCell ref="C13:I13"/>
    <mergeCell ref="C14:I14"/>
    <mergeCell ref="K14:M15"/>
    <mergeCell ref="A15:B15"/>
    <mergeCell ref="C15:I15"/>
    <mergeCell ref="H20:I20"/>
    <mergeCell ref="K20:M20"/>
    <mergeCell ref="K21:M21"/>
    <mergeCell ref="K22:M22"/>
    <mergeCell ref="G24:G25"/>
    <mergeCell ref="H24:H25"/>
    <mergeCell ref="I24:J24"/>
    <mergeCell ref="C16:I16"/>
    <mergeCell ref="K16:M17"/>
    <mergeCell ref="I32:I33"/>
    <mergeCell ref="J32:J33"/>
    <mergeCell ref="K32:K33"/>
    <mergeCell ref="L32:L33"/>
    <mergeCell ref="M32:M33"/>
    <mergeCell ref="A36:M36"/>
    <mergeCell ref="B28:M28"/>
    <mergeCell ref="B29:M29"/>
    <mergeCell ref="A31:M31"/>
    <mergeCell ref="A32:B32"/>
    <mergeCell ref="C32:C33"/>
    <mergeCell ref="D32:D33"/>
    <mergeCell ref="E32:E33"/>
    <mergeCell ref="F32:F33"/>
    <mergeCell ref="G32:G33"/>
    <mergeCell ref="H32:H33"/>
    <mergeCell ref="K49:L49"/>
    <mergeCell ref="K50:L50"/>
    <mergeCell ref="K51:L51"/>
    <mergeCell ref="K52:L52"/>
    <mergeCell ref="K53:L53"/>
    <mergeCell ref="E54:J54"/>
    <mergeCell ref="K54:L54"/>
    <mergeCell ref="H44:I44"/>
    <mergeCell ref="K44:L44"/>
    <mergeCell ref="A46:G46"/>
    <mergeCell ref="K46:L46"/>
    <mergeCell ref="H46:I46"/>
    <mergeCell ref="K48:L48"/>
    <mergeCell ref="H76:I76"/>
    <mergeCell ref="K76:L76"/>
    <mergeCell ref="H86:I86"/>
    <mergeCell ref="K86:L86"/>
    <mergeCell ref="H89:I89"/>
    <mergeCell ref="K89:L89"/>
    <mergeCell ref="E55:J55"/>
    <mergeCell ref="K55:L55"/>
    <mergeCell ref="E56:J56"/>
    <mergeCell ref="K56:L56"/>
    <mergeCell ref="A59:M59"/>
    <mergeCell ref="H67:I67"/>
    <mergeCell ref="K67:L67"/>
    <mergeCell ref="H101:I101"/>
    <mergeCell ref="K101:L101"/>
    <mergeCell ref="H104:I104"/>
    <mergeCell ref="K104:L104"/>
    <mergeCell ref="H107:I107"/>
    <mergeCell ref="K107:L107"/>
    <mergeCell ref="H92:I92"/>
    <mergeCell ref="K92:L92"/>
    <mergeCell ref="H95:I95"/>
    <mergeCell ref="K95:L95"/>
    <mergeCell ref="H98:I98"/>
    <mergeCell ref="K98:L98"/>
    <mergeCell ref="H119:I119"/>
    <mergeCell ref="K119:L119"/>
    <mergeCell ref="H128:I128"/>
    <mergeCell ref="K128:L128"/>
    <mergeCell ref="H131:I131"/>
    <mergeCell ref="K131:L131"/>
    <mergeCell ref="H110:I110"/>
    <mergeCell ref="K110:L110"/>
    <mergeCell ref="H113:I113"/>
    <mergeCell ref="K113:L113"/>
    <mergeCell ref="H116:I116"/>
    <mergeCell ref="K116:L116"/>
    <mergeCell ref="H155:I155"/>
    <mergeCell ref="K155:L155"/>
    <mergeCell ref="D156:M156"/>
    <mergeCell ref="H163:I163"/>
    <mergeCell ref="K163:L163"/>
    <mergeCell ref="H170:I170"/>
    <mergeCell ref="K170:L170"/>
    <mergeCell ref="H141:I141"/>
    <mergeCell ref="K141:L141"/>
    <mergeCell ref="H145:I145"/>
    <mergeCell ref="K145:L145"/>
    <mergeCell ref="H153:I153"/>
    <mergeCell ref="K153:L153"/>
    <mergeCell ref="H197:I197"/>
    <mergeCell ref="K197:L197"/>
    <mergeCell ref="H203:I203"/>
    <mergeCell ref="K203:L203"/>
    <mergeCell ref="H210:I210"/>
    <mergeCell ref="K210:L210"/>
    <mergeCell ref="H180:I180"/>
    <mergeCell ref="K180:L180"/>
    <mergeCell ref="H183:I183"/>
    <mergeCell ref="K183:L183"/>
    <mergeCell ref="H193:I193"/>
    <mergeCell ref="K193:L193"/>
    <mergeCell ref="K217:L217"/>
    <mergeCell ref="K218:L218"/>
    <mergeCell ref="K219:L219"/>
    <mergeCell ref="E220:J220"/>
    <mergeCell ref="K220:L220"/>
    <mergeCell ref="E221:J221"/>
    <mergeCell ref="K221:L221"/>
    <mergeCell ref="A212:G212"/>
    <mergeCell ref="K212:L212"/>
    <mergeCell ref="H212:I212"/>
    <mergeCell ref="K214:L214"/>
    <mergeCell ref="K215:L215"/>
    <mergeCell ref="K216:L216"/>
    <mergeCell ref="H242:I242"/>
    <mergeCell ref="K242:L242"/>
    <mergeCell ref="H245:I245"/>
    <mergeCell ref="K245:L245"/>
    <mergeCell ref="A247:G247"/>
    <mergeCell ref="K247:L247"/>
    <mergeCell ref="H247:I247"/>
    <mergeCell ref="E222:J222"/>
    <mergeCell ref="K222:L222"/>
    <mergeCell ref="A225:M225"/>
    <mergeCell ref="H235:I235"/>
    <mergeCell ref="K235:L235"/>
    <mergeCell ref="H238:I238"/>
    <mergeCell ref="K238:L238"/>
    <mergeCell ref="E255:J255"/>
    <mergeCell ref="K255:L255"/>
    <mergeCell ref="E256:J256"/>
    <mergeCell ref="K256:L256"/>
    <mergeCell ref="E257:J257"/>
    <mergeCell ref="K257:L257"/>
    <mergeCell ref="K249:L249"/>
    <mergeCell ref="K250:L250"/>
    <mergeCell ref="K251:L251"/>
    <mergeCell ref="K252:L252"/>
    <mergeCell ref="K253:L253"/>
    <mergeCell ref="K254:L254"/>
    <mergeCell ref="K265:L265"/>
    <mergeCell ref="K266:L266"/>
    <mergeCell ref="K267:L267"/>
    <mergeCell ref="E268:J268"/>
    <mergeCell ref="K268:L268"/>
    <mergeCell ref="E269:J269"/>
    <mergeCell ref="K269:L269"/>
    <mergeCell ref="A260:G260"/>
    <mergeCell ref="K260:L260"/>
    <mergeCell ref="H260:I260"/>
    <mergeCell ref="K262:L262"/>
    <mergeCell ref="K263:L263"/>
    <mergeCell ref="K264:L264"/>
    <mergeCell ref="K276:L276"/>
    <mergeCell ref="K277:L277"/>
    <mergeCell ref="K278:L278"/>
    <mergeCell ref="K279:L279"/>
    <mergeCell ref="K280:L280"/>
    <mergeCell ref="E281:J281"/>
    <mergeCell ref="K281:L281"/>
    <mergeCell ref="E270:J270"/>
    <mergeCell ref="K270:L270"/>
    <mergeCell ref="A273:G273"/>
    <mergeCell ref="K273:L273"/>
    <mergeCell ref="H273:I273"/>
    <mergeCell ref="K275:L275"/>
    <mergeCell ref="B291:C291"/>
    <mergeCell ref="F292:G292"/>
    <mergeCell ref="I292:L292"/>
    <mergeCell ref="E282:J282"/>
    <mergeCell ref="K282:L282"/>
    <mergeCell ref="E283:J283"/>
    <mergeCell ref="K283:L283"/>
    <mergeCell ref="B287:C287"/>
    <mergeCell ref="F288:G288"/>
    <mergeCell ref="I288:L288"/>
  </mergeCells>
  <pageMargins left="0.4" right="0.2" top="0.2" bottom="0.4" header="0.2" footer="0.2"/>
  <pageSetup paperSize="9" scale="55" orientation="portrait" verticalDpi="0" r:id="rId1"/>
  <headerFooter>
    <oddHeader>&amp;L&amp;8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D939A-2A06-40D3-9DC7-6F5A999ECC9B}">
  <sheetPr>
    <pageSetUpPr fitToPage="1"/>
  </sheetPr>
  <dimension ref="A1:L52"/>
  <sheetViews>
    <sheetView zoomScaleNormal="100" workbookViewId="0">
      <selection sqref="A1:D1"/>
    </sheetView>
  </sheetViews>
  <sheetFormatPr defaultRowHeight="12.75" x14ac:dyDescent="0.2"/>
  <cols>
    <col min="1" max="1" width="5.7109375" customWidth="1"/>
    <col min="2" max="2" width="22.7109375" customWidth="1"/>
    <col min="10" max="11" width="11.140625" customWidth="1"/>
  </cols>
  <sheetData>
    <row r="1" spans="1:12" ht="14.25" x14ac:dyDescent="0.2">
      <c r="A1" s="184" t="str">
        <f>Source!B1</f>
        <v>Smeta.RU  (495) 974-1589</v>
      </c>
      <c r="B1" s="184"/>
      <c r="C1" s="184"/>
      <c r="D1" s="184"/>
      <c r="E1" s="11"/>
      <c r="F1" s="11"/>
      <c r="G1" s="11"/>
      <c r="H1" s="185" t="s">
        <v>635</v>
      </c>
      <c r="I1" s="185"/>
      <c r="J1" s="185"/>
      <c r="K1" s="185"/>
      <c r="L1" s="185"/>
    </row>
    <row r="2" spans="1:12" ht="14.25" x14ac:dyDescent="0.2">
      <c r="A2" s="11"/>
      <c r="B2" s="11"/>
      <c r="C2" s="11"/>
      <c r="D2" s="11"/>
      <c r="E2" s="11"/>
      <c r="F2" s="11"/>
      <c r="G2" s="11"/>
      <c r="H2" s="185" t="s">
        <v>604</v>
      </c>
      <c r="I2" s="185"/>
      <c r="J2" s="185"/>
      <c r="K2" s="185"/>
      <c r="L2" s="185"/>
    </row>
    <row r="3" spans="1:12" ht="14.25" x14ac:dyDescent="0.2">
      <c r="A3" s="11"/>
      <c r="B3" s="11"/>
      <c r="C3" s="11"/>
      <c r="D3" s="11"/>
      <c r="E3" s="11"/>
      <c r="F3" s="11"/>
      <c r="G3" s="11"/>
      <c r="H3" s="185" t="s">
        <v>605</v>
      </c>
      <c r="I3" s="185"/>
      <c r="J3" s="185"/>
      <c r="K3" s="185"/>
      <c r="L3" s="185"/>
    </row>
    <row r="4" spans="1:12" ht="14.25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40" t="s">
        <v>636</v>
      </c>
      <c r="L4" s="142"/>
    </row>
    <row r="5" spans="1:12" ht="14.25" x14ac:dyDescent="0.2">
      <c r="A5" s="11"/>
      <c r="B5" s="11"/>
      <c r="C5" s="11"/>
      <c r="D5" s="11"/>
      <c r="E5" s="11"/>
      <c r="F5" s="11"/>
      <c r="G5" s="11"/>
      <c r="H5" s="11"/>
      <c r="I5" s="95" t="s">
        <v>607</v>
      </c>
      <c r="J5" s="95"/>
      <c r="K5" s="140">
        <v>322001</v>
      </c>
      <c r="L5" s="142"/>
    </row>
    <row r="6" spans="1:12" ht="14.25" x14ac:dyDescent="0.2">
      <c r="A6" s="95" t="s">
        <v>637</v>
      </c>
      <c r="B6" s="95"/>
      <c r="C6" s="181"/>
      <c r="D6" s="181"/>
      <c r="E6" s="181"/>
      <c r="F6" s="181"/>
      <c r="G6" s="181"/>
      <c r="H6" s="181"/>
      <c r="I6" s="181"/>
      <c r="J6" s="10" t="s">
        <v>610</v>
      </c>
      <c r="K6" s="140"/>
      <c r="L6" s="142"/>
    </row>
    <row r="7" spans="1:12" ht="14.25" x14ac:dyDescent="0.2">
      <c r="A7" s="11"/>
      <c r="B7" s="11"/>
      <c r="C7" s="179" t="s">
        <v>611</v>
      </c>
      <c r="D7" s="179"/>
      <c r="E7" s="179"/>
      <c r="F7" s="179"/>
      <c r="G7" s="179"/>
      <c r="H7" s="179"/>
      <c r="I7" s="179"/>
      <c r="J7" s="11"/>
      <c r="K7" s="66"/>
      <c r="L7" s="72"/>
    </row>
    <row r="8" spans="1:12" ht="14.25" x14ac:dyDescent="0.2">
      <c r="A8" s="95" t="s">
        <v>638</v>
      </c>
      <c r="B8" s="95"/>
      <c r="C8" s="181"/>
      <c r="D8" s="181"/>
      <c r="E8" s="181"/>
      <c r="F8" s="181"/>
      <c r="G8" s="181"/>
      <c r="H8" s="181"/>
      <c r="I8" s="56"/>
      <c r="J8" s="10" t="s">
        <v>610</v>
      </c>
      <c r="K8" s="182"/>
      <c r="L8" s="183"/>
    </row>
    <row r="9" spans="1:12" ht="14.25" x14ac:dyDescent="0.2">
      <c r="A9" s="11"/>
      <c r="B9" s="11"/>
      <c r="C9" s="179" t="s">
        <v>611</v>
      </c>
      <c r="D9" s="179"/>
      <c r="E9" s="179"/>
      <c r="F9" s="179"/>
      <c r="G9" s="179"/>
      <c r="H9" s="179"/>
      <c r="I9" s="179"/>
      <c r="J9" s="11"/>
      <c r="K9" s="66"/>
      <c r="L9" s="72"/>
    </row>
    <row r="10" spans="1:12" ht="14.25" x14ac:dyDescent="0.2">
      <c r="A10" s="95" t="s">
        <v>639</v>
      </c>
      <c r="B10" s="95"/>
      <c r="C10" s="181"/>
      <c r="D10" s="181"/>
      <c r="E10" s="181"/>
      <c r="F10" s="181"/>
      <c r="G10" s="181"/>
      <c r="H10" s="181"/>
      <c r="I10" s="181"/>
      <c r="J10" s="10" t="s">
        <v>610</v>
      </c>
      <c r="K10" s="182"/>
      <c r="L10" s="183"/>
    </row>
    <row r="11" spans="1:12" ht="14.25" x14ac:dyDescent="0.2">
      <c r="A11" s="11"/>
      <c r="B11" s="11"/>
      <c r="C11" s="179" t="s">
        <v>611</v>
      </c>
      <c r="D11" s="179"/>
      <c r="E11" s="179"/>
      <c r="F11" s="179"/>
      <c r="G11" s="179"/>
      <c r="H11" s="179"/>
      <c r="I11" s="179"/>
      <c r="J11" s="11"/>
      <c r="K11" s="66"/>
      <c r="L11" s="72"/>
    </row>
    <row r="12" spans="1:12" ht="14.25" x14ac:dyDescent="0.2">
      <c r="A12" s="95" t="s">
        <v>640</v>
      </c>
      <c r="B12" s="95"/>
      <c r="C12" s="181"/>
      <c r="D12" s="181"/>
      <c r="E12" s="181"/>
      <c r="F12" s="181"/>
      <c r="G12" s="181"/>
      <c r="H12" s="181"/>
      <c r="I12" s="181"/>
      <c r="J12" s="10" t="s">
        <v>610</v>
      </c>
      <c r="K12" s="182"/>
      <c r="L12" s="183"/>
    </row>
    <row r="13" spans="1:12" ht="14.25" x14ac:dyDescent="0.2">
      <c r="A13" s="11"/>
      <c r="B13" s="11"/>
      <c r="C13" s="179" t="s">
        <v>615</v>
      </c>
      <c r="D13" s="179"/>
      <c r="E13" s="179"/>
      <c r="F13" s="179"/>
      <c r="G13" s="179"/>
      <c r="H13" s="95" t="s">
        <v>641</v>
      </c>
      <c r="I13" s="95"/>
      <c r="J13" s="121"/>
      <c r="K13" s="140"/>
      <c r="L13" s="142"/>
    </row>
    <row r="14" spans="1:12" ht="14.25" x14ac:dyDescent="0.2">
      <c r="A14" s="11"/>
      <c r="B14" s="11"/>
      <c r="C14" s="11"/>
      <c r="D14" s="11"/>
      <c r="E14" s="95" t="s">
        <v>642</v>
      </c>
      <c r="F14" s="95"/>
      <c r="G14" s="95"/>
      <c r="H14" s="95"/>
      <c r="I14" s="180" t="s">
        <v>620</v>
      </c>
      <c r="J14" s="151"/>
      <c r="K14" s="140"/>
      <c r="L14" s="142"/>
    </row>
    <row r="15" spans="1:12" ht="14.25" x14ac:dyDescent="0.2">
      <c r="A15" s="11"/>
      <c r="B15" s="11"/>
      <c r="C15" s="11"/>
      <c r="D15" s="11"/>
      <c r="E15" s="11"/>
      <c r="F15" s="11"/>
      <c r="G15" s="11"/>
      <c r="H15" s="11"/>
      <c r="I15" s="162" t="s">
        <v>621</v>
      </c>
      <c r="J15" s="163"/>
      <c r="K15" s="164"/>
      <c r="L15" s="165"/>
    </row>
    <row r="16" spans="1:12" ht="14.25" x14ac:dyDescent="0.2">
      <c r="A16" s="11"/>
      <c r="B16" s="11"/>
      <c r="C16" s="11"/>
      <c r="D16" s="11"/>
      <c r="E16" s="11"/>
      <c r="F16" s="11"/>
      <c r="G16" s="11"/>
      <c r="H16" s="11"/>
      <c r="I16" s="151" t="s">
        <v>643</v>
      </c>
      <c r="J16" s="151"/>
      <c r="K16" s="166"/>
      <c r="L16" s="167"/>
    </row>
    <row r="17" spans="1:12" ht="14.25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12" ht="14.25" x14ac:dyDescent="0.2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pans="1:12" ht="14.25" x14ac:dyDescent="0.2">
      <c r="A19" s="11"/>
      <c r="B19" s="11"/>
      <c r="C19" s="114" t="s">
        <v>623</v>
      </c>
      <c r="D19" s="168"/>
      <c r="E19" s="114" t="s">
        <v>624</v>
      </c>
      <c r="F19" s="115"/>
      <c r="G19" s="11"/>
      <c r="H19" s="11"/>
      <c r="I19" s="114" t="s">
        <v>625</v>
      </c>
      <c r="J19" s="168"/>
      <c r="K19" s="168"/>
      <c r="L19" s="115"/>
    </row>
    <row r="20" spans="1:12" ht="14.25" x14ac:dyDescent="0.2">
      <c r="A20" s="11"/>
      <c r="B20" s="11"/>
      <c r="C20" s="169"/>
      <c r="D20" s="82"/>
      <c r="E20" s="169"/>
      <c r="F20" s="170"/>
      <c r="G20" s="11"/>
      <c r="H20" s="11"/>
      <c r="I20" s="171" t="s">
        <v>626</v>
      </c>
      <c r="J20" s="172"/>
      <c r="K20" s="171" t="s">
        <v>627</v>
      </c>
      <c r="L20" s="173"/>
    </row>
    <row r="21" spans="1:12" ht="14.25" x14ac:dyDescent="0.2">
      <c r="A21" s="11"/>
      <c r="B21" s="11"/>
      <c r="C21" s="174"/>
      <c r="D21" s="175"/>
      <c r="E21" s="176"/>
      <c r="F21" s="177"/>
      <c r="G21" s="73"/>
      <c r="H21" s="73"/>
      <c r="I21" s="176"/>
      <c r="J21" s="178"/>
      <c r="K21" s="176"/>
      <c r="L21" s="177"/>
    </row>
    <row r="22" spans="1:12" ht="14.2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</row>
    <row r="23" spans="1:12" ht="14.2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1:12" ht="18" x14ac:dyDescent="0.25">
      <c r="A24" s="119" t="s">
        <v>644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</row>
    <row r="25" spans="1:12" ht="18" x14ac:dyDescent="0.25">
      <c r="A25" s="119" t="s">
        <v>645</v>
      </c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</row>
    <row r="26" spans="1:12" ht="14.2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1:12" ht="14.2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12" ht="14.25" x14ac:dyDescent="0.2">
      <c r="A28" s="156" t="s">
        <v>520</v>
      </c>
      <c r="B28" s="156" t="s">
        <v>646</v>
      </c>
      <c r="C28" s="158"/>
      <c r="D28" s="158"/>
      <c r="E28" s="158"/>
      <c r="F28" s="156" t="s">
        <v>606</v>
      </c>
      <c r="G28" s="156" t="s">
        <v>647</v>
      </c>
      <c r="H28" s="158"/>
      <c r="I28" s="158"/>
      <c r="J28" s="158"/>
      <c r="K28" s="158"/>
      <c r="L28" s="160"/>
    </row>
    <row r="29" spans="1:12" x14ac:dyDescent="0.2">
      <c r="A29" s="157"/>
      <c r="B29" s="157"/>
      <c r="C29" s="159"/>
      <c r="D29" s="159"/>
      <c r="E29" s="159"/>
      <c r="F29" s="157"/>
      <c r="G29" s="156" t="s">
        <v>648</v>
      </c>
      <c r="H29" s="158"/>
      <c r="I29" s="156" t="s">
        <v>649</v>
      </c>
      <c r="J29" s="158"/>
      <c r="K29" s="156" t="s">
        <v>650</v>
      </c>
      <c r="L29" s="160"/>
    </row>
    <row r="30" spans="1:12" x14ac:dyDescent="0.2">
      <c r="A30" s="157"/>
      <c r="B30" s="157"/>
      <c r="C30" s="159"/>
      <c r="D30" s="159"/>
      <c r="E30" s="159"/>
      <c r="F30" s="157"/>
      <c r="G30" s="157"/>
      <c r="H30" s="159"/>
      <c r="I30" s="157"/>
      <c r="J30" s="159"/>
      <c r="K30" s="157"/>
      <c r="L30" s="161"/>
    </row>
    <row r="31" spans="1:12" x14ac:dyDescent="0.2">
      <c r="A31" s="157"/>
      <c r="B31" s="157"/>
      <c r="C31" s="159"/>
      <c r="D31" s="159"/>
      <c r="E31" s="159"/>
      <c r="F31" s="157"/>
      <c r="G31" s="157"/>
      <c r="H31" s="159"/>
      <c r="I31" s="157"/>
      <c r="J31" s="159"/>
      <c r="K31" s="157"/>
      <c r="L31" s="161"/>
    </row>
    <row r="32" spans="1:12" x14ac:dyDescent="0.2">
      <c r="A32" s="157"/>
      <c r="B32" s="157"/>
      <c r="C32" s="159"/>
      <c r="D32" s="159"/>
      <c r="E32" s="159"/>
      <c r="F32" s="157"/>
      <c r="G32" s="157"/>
      <c r="H32" s="159"/>
      <c r="I32" s="157"/>
      <c r="J32" s="159"/>
      <c r="K32" s="157"/>
      <c r="L32" s="161"/>
    </row>
    <row r="33" spans="1:12" ht="14.25" x14ac:dyDescent="0.2">
      <c r="A33" s="66">
        <v>1</v>
      </c>
      <c r="B33" s="140">
        <v>2</v>
      </c>
      <c r="C33" s="141"/>
      <c r="D33" s="141"/>
      <c r="E33" s="141"/>
      <c r="F33" s="66">
        <v>3</v>
      </c>
      <c r="G33" s="140">
        <v>4</v>
      </c>
      <c r="H33" s="141"/>
      <c r="I33" s="140">
        <v>5</v>
      </c>
      <c r="J33" s="141"/>
      <c r="K33" s="140">
        <v>6</v>
      </c>
      <c r="L33" s="142"/>
    </row>
    <row r="34" spans="1:12" ht="14.25" x14ac:dyDescent="0.2">
      <c r="A34" s="74"/>
      <c r="B34" s="143" t="s">
        <v>651</v>
      </c>
      <c r="C34" s="144"/>
      <c r="D34" s="144"/>
      <c r="E34" s="144"/>
      <c r="F34" s="75"/>
      <c r="G34" s="145"/>
      <c r="H34" s="146"/>
      <c r="I34" s="145"/>
      <c r="J34" s="146"/>
      <c r="K34" s="145"/>
      <c r="L34" s="147"/>
    </row>
    <row r="35" spans="1:12" ht="14.25" x14ac:dyDescent="0.2">
      <c r="A35" s="76"/>
      <c r="B35" s="148" t="s">
        <v>652</v>
      </c>
      <c r="C35" s="149"/>
      <c r="D35" s="149"/>
      <c r="E35" s="149"/>
      <c r="F35" s="149"/>
      <c r="G35" s="149"/>
      <c r="H35" s="149"/>
      <c r="I35" s="149"/>
      <c r="J35" s="149"/>
      <c r="K35" s="144"/>
      <c r="L35" s="150"/>
    </row>
    <row r="36" spans="1:12" ht="14.25" x14ac:dyDescent="0.2">
      <c r="A36" s="151" t="s">
        <v>89</v>
      </c>
      <c r="B36" s="151"/>
      <c r="C36" s="151"/>
      <c r="D36" s="151"/>
      <c r="E36" s="151"/>
      <c r="F36" s="151"/>
      <c r="G36" s="151"/>
      <c r="H36" s="151"/>
      <c r="I36" s="151"/>
      <c r="J36" s="152"/>
      <c r="K36" s="153"/>
      <c r="L36" s="152"/>
    </row>
    <row r="37" spans="1:12" ht="14.25" x14ac:dyDescent="0.2">
      <c r="A37" s="137" t="s">
        <v>653</v>
      </c>
      <c r="B37" s="137"/>
      <c r="C37" s="137"/>
      <c r="D37" s="137"/>
      <c r="E37" s="137"/>
      <c r="F37" s="137"/>
      <c r="G37" s="137"/>
      <c r="H37" s="137"/>
      <c r="I37" s="137"/>
      <c r="J37" s="137"/>
      <c r="K37" s="154"/>
      <c r="L37" s="155"/>
    </row>
    <row r="38" spans="1:12" ht="14.25" x14ac:dyDescent="0.2">
      <c r="A38" s="137" t="s">
        <v>654</v>
      </c>
      <c r="B38" s="137"/>
      <c r="C38" s="137"/>
      <c r="D38" s="137"/>
      <c r="E38" s="137"/>
      <c r="F38" s="137"/>
      <c r="G38" s="137"/>
      <c r="H38" s="137"/>
      <c r="I38" s="137"/>
      <c r="J38" s="137"/>
      <c r="K38" s="138"/>
      <c r="L38" s="139"/>
    </row>
    <row r="39" spans="1:12" ht="14.2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</row>
    <row r="42" spans="1:12" ht="14.25" x14ac:dyDescent="0.2">
      <c r="A42" s="134" t="s">
        <v>638</v>
      </c>
      <c r="B42" s="134"/>
      <c r="C42" s="135"/>
      <c r="D42" s="135"/>
      <c r="E42" s="135"/>
      <c r="F42" s="11"/>
      <c r="G42" s="135"/>
      <c r="H42" s="135"/>
      <c r="I42" s="11"/>
      <c r="J42" s="135"/>
      <c r="K42" s="135"/>
      <c r="L42" s="135"/>
    </row>
    <row r="43" spans="1:12" ht="14.25" x14ac:dyDescent="0.2">
      <c r="A43" s="11"/>
      <c r="B43" s="11"/>
      <c r="C43" s="136" t="s">
        <v>655</v>
      </c>
      <c r="D43" s="136"/>
      <c r="E43" s="136"/>
      <c r="F43" s="11"/>
      <c r="G43" s="136" t="s">
        <v>656</v>
      </c>
      <c r="H43" s="136"/>
      <c r="I43" s="11"/>
      <c r="J43" s="136" t="s">
        <v>657</v>
      </c>
      <c r="K43" s="136"/>
      <c r="L43" s="136"/>
    </row>
    <row r="44" spans="1:12" ht="14.2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</row>
    <row r="45" spans="1:12" ht="14.25" x14ac:dyDescent="0.2">
      <c r="A45" s="10" t="s">
        <v>658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</row>
    <row r="46" spans="1:12" ht="14.2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</row>
    <row r="47" spans="1:12" ht="14.2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</row>
    <row r="48" spans="1:12" ht="14.2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</row>
    <row r="49" spans="1:12" ht="14.25" x14ac:dyDescent="0.2">
      <c r="A49" s="134" t="s">
        <v>639</v>
      </c>
      <c r="B49" s="134"/>
      <c r="C49" s="135"/>
      <c r="D49" s="135"/>
      <c r="E49" s="135"/>
      <c r="F49" s="11"/>
      <c r="G49" s="135"/>
      <c r="H49" s="135"/>
      <c r="I49" s="11"/>
      <c r="J49" s="135"/>
      <c r="K49" s="135"/>
      <c r="L49" s="135"/>
    </row>
    <row r="50" spans="1:12" ht="14.25" x14ac:dyDescent="0.2">
      <c r="A50" s="11"/>
      <c r="B50" s="11"/>
      <c r="C50" s="136" t="s">
        <v>655</v>
      </c>
      <c r="D50" s="136"/>
      <c r="E50" s="136"/>
      <c r="F50" s="11"/>
      <c r="G50" s="136" t="s">
        <v>656</v>
      </c>
      <c r="H50" s="136"/>
      <c r="I50" s="11"/>
      <c r="J50" s="136" t="s">
        <v>657</v>
      </c>
      <c r="K50" s="136"/>
      <c r="L50" s="136"/>
    </row>
    <row r="51" spans="1:12" ht="14.2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</row>
    <row r="52" spans="1:12" ht="14.25" x14ac:dyDescent="0.2">
      <c r="A52" s="10" t="s">
        <v>658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</row>
  </sheetData>
  <mergeCells count="79">
    <mergeCell ref="I5:J5"/>
    <mergeCell ref="K5:L5"/>
    <mergeCell ref="A1:D1"/>
    <mergeCell ref="H1:L1"/>
    <mergeCell ref="H2:L2"/>
    <mergeCell ref="H3:L3"/>
    <mergeCell ref="K4:L4"/>
    <mergeCell ref="A12:B12"/>
    <mergeCell ref="C12:I12"/>
    <mergeCell ref="K12:L12"/>
    <mergeCell ref="A6:B6"/>
    <mergeCell ref="C6:I6"/>
    <mergeCell ref="K6:L6"/>
    <mergeCell ref="C7:I7"/>
    <mergeCell ref="A8:B8"/>
    <mergeCell ref="C8:H8"/>
    <mergeCell ref="K8:L8"/>
    <mergeCell ref="C9:I9"/>
    <mergeCell ref="A10:B10"/>
    <mergeCell ref="C10:I10"/>
    <mergeCell ref="K10:L10"/>
    <mergeCell ref="C11:I11"/>
    <mergeCell ref="C13:G13"/>
    <mergeCell ref="H13:J13"/>
    <mergeCell ref="K13:L13"/>
    <mergeCell ref="E14:H14"/>
    <mergeCell ref="I14:J14"/>
    <mergeCell ref="K14:L14"/>
    <mergeCell ref="A25:L25"/>
    <mergeCell ref="I15:J15"/>
    <mergeCell ref="K15:L15"/>
    <mergeCell ref="I16:J16"/>
    <mergeCell ref="K16:L16"/>
    <mergeCell ref="C19:D20"/>
    <mergeCell ref="E19:F20"/>
    <mergeCell ref="I19:L19"/>
    <mergeCell ref="I20:J20"/>
    <mergeCell ref="K20:L20"/>
    <mergeCell ref="C21:D21"/>
    <mergeCell ref="E21:F21"/>
    <mergeCell ref="I21:J21"/>
    <mergeCell ref="K21:L21"/>
    <mergeCell ref="A24:L24"/>
    <mergeCell ref="A28:A32"/>
    <mergeCell ref="B28:E32"/>
    <mergeCell ref="F28:F32"/>
    <mergeCell ref="G28:L28"/>
    <mergeCell ref="G29:H32"/>
    <mergeCell ref="I29:J32"/>
    <mergeCell ref="K29:L32"/>
    <mergeCell ref="A38:J38"/>
    <mergeCell ref="K38:L38"/>
    <mergeCell ref="B33:E33"/>
    <mergeCell ref="G33:H33"/>
    <mergeCell ref="I33:J33"/>
    <mergeCell ref="K33:L33"/>
    <mergeCell ref="B34:E34"/>
    <mergeCell ref="G34:H34"/>
    <mergeCell ref="I34:J34"/>
    <mergeCell ref="K34:L34"/>
    <mergeCell ref="B35:L35"/>
    <mergeCell ref="A36:J36"/>
    <mergeCell ref="K36:L36"/>
    <mergeCell ref="A37:J37"/>
    <mergeCell ref="K37:L37"/>
    <mergeCell ref="A42:B42"/>
    <mergeCell ref="C42:E42"/>
    <mergeCell ref="G42:H42"/>
    <mergeCell ref="J42:L42"/>
    <mergeCell ref="C43:E43"/>
    <mergeCell ref="G43:H43"/>
    <mergeCell ref="J43:L43"/>
    <mergeCell ref="A49:B49"/>
    <mergeCell ref="C49:E49"/>
    <mergeCell ref="G49:H49"/>
    <mergeCell ref="J49:L49"/>
    <mergeCell ref="C50:E50"/>
    <mergeCell ref="G50:H50"/>
    <mergeCell ref="J50:L50"/>
  </mergeCells>
  <pageMargins left="0.4" right="0.2" top="0.2" bottom="0.4" header="0.2" footer="0.2"/>
  <pageSetup paperSize="9" scale="80" fitToHeight="0" orientation="portrait" verticalDpi="0" r:id="rId1"/>
  <headerFooter>
    <oddHeader>&amp;L&amp;8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61906-457D-4541-B3DA-4BE12ABDFD90}">
  <dimension ref="A1:IK321"/>
  <sheetViews>
    <sheetView workbookViewId="0">
      <selection activeCell="G13" sqref="G1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67550</v>
      </c>
      <c r="M1">
        <v>77177407</v>
      </c>
      <c r="N1">
        <v>11</v>
      </c>
      <c r="O1">
        <v>9</v>
      </c>
      <c r="P1">
        <v>0</v>
      </c>
      <c r="Q1">
        <v>0</v>
      </c>
    </row>
    <row r="12" spans="1:133" x14ac:dyDescent="0.2">
      <c r="A12" s="1">
        <v>1</v>
      </c>
      <c r="B12" s="1">
        <v>316</v>
      </c>
      <c r="C12" s="1">
        <v>0</v>
      </c>
      <c r="D12" s="1">
        <f>ROW(A249)</f>
        <v>249</v>
      </c>
      <c r="E12" s="1">
        <v>0</v>
      </c>
      <c r="F12" s="1" t="s">
        <v>4</v>
      </c>
      <c r="G12" s="1" t="s">
        <v>659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131075</v>
      </c>
      <c r="N12" s="1"/>
      <c r="O12" s="1">
        <v>0</v>
      </c>
      <c r="P12" s="1">
        <v>0</v>
      </c>
      <c r="Q12" s="1">
        <v>2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2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8</v>
      </c>
      <c r="CB12" s="1" t="s">
        <v>8</v>
      </c>
      <c r="CC12" s="1" t="s">
        <v>8</v>
      </c>
      <c r="CD12" s="1" t="s">
        <v>8</v>
      </c>
      <c r="CE12" s="1" t="s">
        <v>10</v>
      </c>
      <c r="CF12" s="1">
        <v>0</v>
      </c>
      <c r="CG12" s="1">
        <v>0</v>
      </c>
      <c r="CH12" s="1">
        <v>18882568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 t="s">
        <v>11</v>
      </c>
      <c r="CR12" s="1" t="s">
        <v>4</v>
      </c>
      <c r="CS12" s="1">
        <v>42130</v>
      </c>
      <c r="CT12" s="1">
        <v>246</v>
      </c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B249</f>
        <v>316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ТЕР</v>
      </c>
      <c r="G18" s="2" t="str">
        <f t="shared" si="0"/>
        <v>Установка реклоузеров на ВЛ-6 кВ на линии №15 в п. Сосновка, Заволжье</v>
      </c>
      <c r="H18" s="2"/>
      <c r="I18" s="2"/>
      <c r="J18" s="2"/>
      <c r="K18" s="2"/>
      <c r="L18" s="2"/>
      <c r="M18" s="2"/>
      <c r="N18" s="2"/>
      <c r="O18" s="2">
        <f t="shared" ref="O18:AT18" si="1">O249</f>
        <v>127841.54</v>
      </c>
      <c r="P18" s="2">
        <f t="shared" si="1"/>
        <v>80626.679999999993</v>
      </c>
      <c r="Q18" s="2">
        <f t="shared" si="1"/>
        <v>24011.119999999999</v>
      </c>
      <c r="R18" s="2">
        <f t="shared" si="1"/>
        <v>5778.09</v>
      </c>
      <c r="S18" s="2">
        <f t="shared" si="1"/>
        <v>23203.74</v>
      </c>
      <c r="T18" s="2">
        <f t="shared" si="1"/>
        <v>0</v>
      </c>
      <c r="U18" s="2">
        <f t="shared" si="1"/>
        <v>72.235212000000004</v>
      </c>
      <c r="V18" s="2">
        <f t="shared" si="1"/>
        <v>16.518820399999999</v>
      </c>
      <c r="W18" s="2">
        <f t="shared" si="1"/>
        <v>0</v>
      </c>
      <c r="X18" s="2">
        <f t="shared" si="1"/>
        <v>28034.66</v>
      </c>
      <c r="Y18" s="2">
        <f t="shared" si="1"/>
        <v>15709.33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171585.53</v>
      </c>
      <c r="AS18" s="2">
        <f t="shared" si="1"/>
        <v>147976.94</v>
      </c>
      <c r="AT18" s="2">
        <f t="shared" si="1"/>
        <v>12524.33</v>
      </c>
      <c r="AU18" s="2">
        <f t="shared" ref="AU18:BZ18" si="2">AU249</f>
        <v>11084.26</v>
      </c>
      <c r="AV18" s="2">
        <f t="shared" si="2"/>
        <v>80626.679999999993</v>
      </c>
      <c r="AW18" s="2">
        <f t="shared" si="2"/>
        <v>80626.679999999993</v>
      </c>
      <c r="AX18" s="2">
        <f t="shared" si="2"/>
        <v>0</v>
      </c>
      <c r="AY18" s="2">
        <f t="shared" si="2"/>
        <v>80626.679999999993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CA249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DG249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EM249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FS249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ROW(A210)</f>
        <v>210</v>
      </c>
      <c r="E20" s="1"/>
      <c r="F20" s="1" t="s">
        <v>3</v>
      </c>
      <c r="G20" s="1" t="s">
        <v>3</v>
      </c>
      <c r="H20" s="1" t="s">
        <v>3</v>
      </c>
      <c r="I20" s="1">
        <v>0</v>
      </c>
      <c r="J20" s="1" t="s">
        <v>3</v>
      </c>
      <c r="K20" s="1">
        <v>-1</v>
      </c>
      <c r="L20" s="1" t="s">
        <v>3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B210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/>
      </c>
      <c r="H22" s="2"/>
      <c r="I22" s="2"/>
      <c r="J22" s="2"/>
      <c r="K22" s="2"/>
      <c r="L22" s="2"/>
      <c r="M22" s="2"/>
      <c r="N22" s="2"/>
      <c r="O22" s="2">
        <f t="shared" ref="O22:AT22" si="8">O210</f>
        <v>127841.54</v>
      </c>
      <c r="P22" s="2">
        <f t="shared" si="8"/>
        <v>80626.679999999993</v>
      </c>
      <c r="Q22" s="2">
        <f t="shared" si="8"/>
        <v>24011.119999999999</v>
      </c>
      <c r="R22" s="2">
        <f t="shared" si="8"/>
        <v>5778.09</v>
      </c>
      <c r="S22" s="2">
        <f t="shared" si="8"/>
        <v>23203.74</v>
      </c>
      <c r="T22" s="2">
        <f t="shared" si="8"/>
        <v>0</v>
      </c>
      <c r="U22" s="2">
        <f t="shared" si="8"/>
        <v>72.235212000000004</v>
      </c>
      <c r="V22" s="2">
        <f t="shared" si="8"/>
        <v>16.518820399999999</v>
      </c>
      <c r="W22" s="2">
        <f t="shared" si="8"/>
        <v>0</v>
      </c>
      <c r="X22" s="2">
        <f t="shared" si="8"/>
        <v>28034.66</v>
      </c>
      <c r="Y22" s="2">
        <f t="shared" si="8"/>
        <v>15709.33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171585.53</v>
      </c>
      <c r="AS22" s="2">
        <f t="shared" si="8"/>
        <v>147976.94</v>
      </c>
      <c r="AT22" s="2">
        <f t="shared" si="8"/>
        <v>12524.33</v>
      </c>
      <c r="AU22" s="2">
        <f t="shared" ref="AU22:BZ22" si="9">AU210</f>
        <v>11084.26</v>
      </c>
      <c r="AV22" s="2">
        <f t="shared" si="9"/>
        <v>80626.679999999993</v>
      </c>
      <c r="AW22" s="2">
        <f t="shared" si="9"/>
        <v>80626.679999999993</v>
      </c>
      <c r="AX22" s="2">
        <f t="shared" si="9"/>
        <v>0</v>
      </c>
      <c r="AY22" s="2">
        <f t="shared" si="9"/>
        <v>80626.679999999993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CA210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DG210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EM210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FS210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ROW(A30)</f>
        <v>30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B30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Демонтажные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O30</f>
        <v>1105.5</v>
      </c>
      <c r="P26" s="2">
        <f t="shared" si="15"/>
        <v>0</v>
      </c>
      <c r="Q26" s="2">
        <f t="shared" si="15"/>
        <v>534.83000000000004</v>
      </c>
      <c r="R26" s="2">
        <f t="shared" si="15"/>
        <v>142.84</v>
      </c>
      <c r="S26" s="2">
        <f t="shared" si="15"/>
        <v>570.66999999999996</v>
      </c>
      <c r="T26" s="2">
        <f t="shared" si="15"/>
        <v>0</v>
      </c>
      <c r="U26" s="2">
        <f t="shared" si="15"/>
        <v>2.0299999999999998</v>
      </c>
      <c r="V26" s="2">
        <f t="shared" si="15"/>
        <v>0.45</v>
      </c>
      <c r="W26" s="2">
        <f t="shared" si="15"/>
        <v>0</v>
      </c>
      <c r="X26" s="2">
        <f t="shared" si="15"/>
        <v>734.92</v>
      </c>
      <c r="Y26" s="2">
        <f t="shared" si="15"/>
        <v>428.11</v>
      </c>
      <c r="Z26" s="2">
        <f t="shared" si="15"/>
        <v>0</v>
      </c>
      <c r="AA26" s="2">
        <f t="shared" si="15"/>
        <v>0</v>
      </c>
      <c r="AB26" s="2">
        <f t="shared" si="15"/>
        <v>1105.5</v>
      </c>
      <c r="AC26" s="2">
        <f t="shared" si="15"/>
        <v>0</v>
      </c>
      <c r="AD26" s="2">
        <f t="shared" si="15"/>
        <v>534.83000000000004</v>
      </c>
      <c r="AE26" s="2">
        <f t="shared" si="15"/>
        <v>142.84</v>
      </c>
      <c r="AF26" s="2">
        <f t="shared" si="15"/>
        <v>570.66999999999996</v>
      </c>
      <c r="AG26" s="2">
        <f t="shared" si="15"/>
        <v>0</v>
      </c>
      <c r="AH26" s="2">
        <f t="shared" si="15"/>
        <v>2.0299999999999998</v>
      </c>
      <c r="AI26" s="2">
        <f t="shared" si="15"/>
        <v>0.45</v>
      </c>
      <c r="AJ26" s="2">
        <f t="shared" si="15"/>
        <v>0</v>
      </c>
      <c r="AK26" s="2">
        <f t="shared" si="15"/>
        <v>734.92</v>
      </c>
      <c r="AL26" s="2">
        <f t="shared" si="15"/>
        <v>428.11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2268.5300000000002</v>
      </c>
      <c r="AS26" s="2">
        <f t="shared" si="15"/>
        <v>2268.5300000000002</v>
      </c>
      <c r="AT26" s="2">
        <f t="shared" si="15"/>
        <v>0</v>
      </c>
      <c r="AU26" s="2">
        <f t="shared" ref="AU26:BZ26" si="16">AU30</f>
        <v>0</v>
      </c>
      <c r="AV26" s="2">
        <f t="shared" si="16"/>
        <v>0</v>
      </c>
      <c r="AW26" s="2">
        <f t="shared" si="16"/>
        <v>0</v>
      </c>
      <c r="AX26" s="2">
        <f t="shared" si="16"/>
        <v>0</v>
      </c>
      <c r="AY26" s="2">
        <f t="shared" si="16"/>
        <v>0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CA30</f>
        <v>2268.5300000000002</v>
      </c>
      <c r="CB26" s="2">
        <f t="shared" si="17"/>
        <v>2268.5300000000002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DG30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EM30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FS30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ROW(SmtRes!A4)</f>
        <v>4</v>
      </c>
      <c r="D28">
        <f>ROW(EtalonRes!A4)</f>
        <v>4</v>
      </c>
      <c r="E28" t="s">
        <v>14</v>
      </c>
      <c r="F28" t="s">
        <v>15</v>
      </c>
      <c r="G28" t="s">
        <v>16</v>
      </c>
      <c r="H28" t="s">
        <v>17</v>
      </c>
      <c r="I28">
        <v>1</v>
      </c>
      <c r="J28">
        <v>0</v>
      </c>
      <c r="K28">
        <v>1</v>
      </c>
      <c r="O28">
        <f>ROUND(CP28,2)</f>
        <v>1105.5</v>
      </c>
      <c r="P28">
        <f>ROUND(CQ28*I28,2)</f>
        <v>0</v>
      </c>
      <c r="Q28">
        <f>ROUND(CR28*I28,2)</f>
        <v>534.83000000000004</v>
      </c>
      <c r="R28">
        <f>ROUND(CS28*I28,2)</f>
        <v>142.84</v>
      </c>
      <c r="S28">
        <f>ROUND(CT28*I28,2)</f>
        <v>570.66999999999996</v>
      </c>
      <c r="T28">
        <f>ROUND(CU28*I28,2)</f>
        <v>0</v>
      </c>
      <c r="U28">
        <f>CV28*I28</f>
        <v>2.0299999999999998</v>
      </c>
      <c r="V28">
        <f>CW28*I28</f>
        <v>0.45</v>
      </c>
      <c r="W28">
        <f>ROUND(CX28*I28,2)</f>
        <v>0</v>
      </c>
      <c r="X28">
        <f>ROUND(CY28,2)</f>
        <v>734.92</v>
      </c>
      <c r="Y28">
        <f>ROUND(CZ28,2)</f>
        <v>428.11</v>
      </c>
      <c r="AA28">
        <v>84186534</v>
      </c>
      <c r="AB28">
        <f>ROUND((AC28+AD28+AF28),2)</f>
        <v>63.89</v>
      </c>
      <c r="AC28">
        <f>ROUND((ES28),2)</f>
        <v>0</v>
      </c>
      <c r="AD28">
        <f>ROUND((((ET28)-(EU28))+AE28),2)</f>
        <v>47.71</v>
      </c>
      <c r="AE28">
        <f>ROUND((EU28),2)</f>
        <v>4.05</v>
      </c>
      <c r="AF28">
        <f>ROUND((EV28),2)</f>
        <v>16.18</v>
      </c>
      <c r="AG28">
        <f>ROUND((AP28),2)</f>
        <v>0</v>
      </c>
      <c r="AH28">
        <f>(EW28)</f>
        <v>2.0299999999999998</v>
      </c>
      <c r="AI28">
        <f>(EX28)</f>
        <v>0.45</v>
      </c>
      <c r="AJ28">
        <f>(AS28)</f>
        <v>0</v>
      </c>
      <c r="AK28">
        <v>63.89</v>
      </c>
      <c r="AL28">
        <v>0</v>
      </c>
      <c r="AM28">
        <v>47.71</v>
      </c>
      <c r="AN28">
        <v>4.05</v>
      </c>
      <c r="AO28">
        <v>16.18</v>
      </c>
      <c r="AP28">
        <v>0</v>
      </c>
      <c r="AQ28">
        <v>2.0299999999999998</v>
      </c>
      <c r="AR28">
        <v>0.45</v>
      </c>
      <c r="AS28">
        <v>0</v>
      </c>
      <c r="AT28">
        <v>103</v>
      </c>
      <c r="AU28">
        <v>60</v>
      </c>
      <c r="AV28">
        <v>1</v>
      </c>
      <c r="AW28">
        <v>1</v>
      </c>
      <c r="AZ28">
        <v>1</v>
      </c>
      <c r="BA28">
        <v>35.270000000000003</v>
      </c>
      <c r="BB28">
        <v>11.21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18</v>
      </c>
      <c r="BM28">
        <v>33002</v>
      </c>
      <c r="BN28">
        <v>0</v>
      </c>
      <c r="BO28" t="s">
        <v>15</v>
      </c>
      <c r="BP28">
        <v>1</v>
      </c>
      <c r="BQ28">
        <v>2</v>
      </c>
      <c r="BR28">
        <v>0</v>
      </c>
      <c r="BS28">
        <v>35.270000000000003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103</v>
      </c>
      <c r="CA28">
        <v>60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>(P28+Q28+S28)</f>
        <v>1105.5</v>
      </c>
      <c r="CQ28">
        <f>AC28*BC28</f>
        <v>0</v>
      </c>
      <c r="CR28">
        <f>(((ET28)*BB28-(EU28)*BS28)+AE28*BS28)</f>
        <v>534.82910000000004</v>
      </c>
      <c r="CS28">
        <f>AE28*BS28</f>
        <v>142.84350000000001</v>
      </c>
      <c r="CT28">
        <f>AF28*BA28</f>
        <v>570.66860000000008</v>
      </c>
      <c r="CU28">
        <f>AG28</f>
        <v>0</v>
      </c>
      <c r="CV28">
        <f>AH28</f>
        <v>2.0299999999999998</v>
      </c>
      <c r="CW28">
        <f>AI28</f>
        <v>0.45</v>
      </c>
      <c r="CX28">
        <f>AJ28</f>
        <v>0</v>
      </c>
      <c r="CY28">
        <f>(((S28+R28)*AT28)/100)</f>
        <v>734.9153</v>
      </c>
      <c r="CZ28">
        <f>(((S28+R28)*AU28)/100)</f>
        <v>428.10599999999999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17</v>
      </c>
      <c r="DW28" t="s">
        <v>17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79402285</v>
      </c>
      <c r="EF28">
        <v>2</v>
      </c>
      <c r="EG28" t="s">
        <v>19</v>
      </c>
      <c r="EH28">
        <v>27</v>
      </c>
      <c r="EI28" t="s">
        <v>20</v>
      </c>
      <c r="EJ28">
        <v>1</v>
      </c>
      <c r="EK28">
        <v>33002</v>
      </c>
      <c r="EL28" t="s">
        <v>20</v>
      </c>
      <c r="EM28" t="s">
        <v>21</v>
      </c>
      <c r="EO28" t="s">
        <v>3</v>
      </c>
      <c r="EQ28">
        <v>0</v>
      </c>
      <c r="ER28">
        <v>63.89</v>
      </c>
      <c r="ES28">
        <v>0</v>
      </c>
      <c r="ET28">
        <v>47.71</v>
      </c>
      <c r="EU28">
        <v>4.05</v>
      </c>
      <c r="EV28">
        <v>16.18</v>
      </c>
      <c r="EW28">
        <v>2.0299999999999998</v>
      </c>
      <c r="EX28">
        <v>0.45</v>
      </c>
      <c r="EY28">
        <v>0</v>
      </c>
      <c r="FQ28">
        <v>0</v>
      </c>
      <c r="FR28">
        <f>ROUND(IF(BI28=3,GM28,0),2)</f>
        <v>0</v>
      </c>
      <c r="FS28">
        <v>0</v>
      </c>
      <c r="FX28">
        <v>103</v>
      </c>
      <c r="FY28">
        <v>60</v>
      </c>
      <c r="GA28" t="s">
        <v>3</v>
      </c>
      <c r="GD28">
        <v>1</v>
      </c>
      <c r="GF28">
        <v>-843217128</v>
      </c>
      <c r="GG28">
        <v>2</v>
      </c>
      <c r="GH28">
        <v>1</v>
      </c>
      <c r="GI28">
        <v>2</v>
      </c>
      <c r="GJ28">
        <v>0</v>
      </c>
      <c r="GK28">
        <v>0</v>
      </c>
      <c r="GL28">
        <f>ROUND(IF(AND(BH28=3,BI28=3,FS28&lt;&gt;0),P28,0),2)</f>
        <v>0</v>
      </c>
      <c r="GM28">
        <f>ROUND(O28+X28+Y28,2)+GX28</f>
        <v>2268.5300000000002</v>
      </c>
      <c r="GN28">
        <f>IF(OR(BI28=0,BI28=1),GM28,0)</f>
        <v>2268.5300000000002</v>
      </c>
      <c r="GO28">
        <f>IF(BI28=2,GM28,0)</f>
        <v>0</v>
      </c>
      <c r="GP28">
        <f>IF(BI28=4,GM28+GX28,0)</f>
        <v>0</v>
      </c>
      <c r="GR28">
        <v>0</v>
      </c>
      <c r="GS28">
        <v>3</v>
      </c>
      <c r="GT28">
        <v>0</v>
      </c>
      <c r="GU28" t="s">
        <v>3</v>
      </c>
      <c r="GV28">
        <f>ROUND((GT28),2)</f>
        <v>0</v>
      </c>
      <c r="GW28">
        <v>1</v>
      </c>
      <c r="GX28">
        <f>ROUND(HC28*I28,2)</f>
        <v>0</v>
      </c>
      <c r="HA28">
        <v>0</v>
      </c>
      <c r="HB28">
        <v>0</v>
      </c>
      <c r="HC28">
        <f>GV28*GW28</f>
        <v>0</v>
      </c>
      <c r="HE28" t="s">
        <v>3</v>
      </c>
      <c r="HF28" t="s">
        <v>3</v>
      </c>
      <c r="HM28" t="s">
        <v>3</v>
      </c>
      <c r="HN28" t="s">
        <v>22</v>
      </c>
      <c r="HO28" t="s">
        <v>23</v>
      </c>
      <c r="HP28" t="s">
        <v>20</v>
      </c>
      <c r="HQ28" t="s">
        <v>20</v>
      </c>
      <c r="IK28">
        <v>0</v>
      </c>
    </row>
    <row r="30" spans="1:245" x14ac:dyDescent="0.2">
      <c r="A30" s="2">
        <v>51</v>
      </c>
      <c r="B30" s="2">
        <f>B24</f>
        <v>1</v>
      </c>
      <c r="C30" s="2">
        <f>A24</f>
        <v>4</v>
      </c>
      <c r="D30" s="2">
        <f>ROW(A24)</f>
        <v>24</v>
      </c>
      <c r="E30" s="2"/>
      <c r="F30" s="2" t="str">
        <f>IF(F24&lt;&gt;"",F24,"")</f>
        <v>Новый раздел</v>
      </c>
      <c r="G30" s="2" t="str">
        <f>IF(G24&lt;&gt;"",G24,"")</f>
        <v>Демонтажные работы</v>
      </c>
      <c r="H30" s="2">
        <v>0</v>
      </c>
      <c r="I30" s="2"/>
      <c r="J30" s="2"/>
      <c r="K30" s="2"/>
      <c r="L30" s="2"/>
      <c r="M30" s="2"/>
      <c r="N30" s="2"/>
      <c r="O30" s="2">
        <f t="shared" ref="O30:T30" si="21">ROUND(AB30,2)</f>
        <v>1105.5</v>
      </c>
      <c r="P30" s="2">
        <f t="shared" si="21"/>
        <v>0</v>
      </c>
      <c r="Q30" s="2">
        <f t="shared" si="21"/>
        <v>534.83000000000004</v>
      </c>
      <c r="R30" s="2">
        <f t="shared" si="21"/>
        <v>142.84</v>
      </c>
      <c r="S30" s="2">
        <f t="shared" si="21"/>
        <v>570.66999999999996</v>
      </c>
      <c r="T30" s="2">
        <f t="shared" si="21"/>
        <v>0</v>
      </c>
      <c r="U30" s="2">
        <f>AH30</f>
        <v>2.0299999999999998</v>
      </c>
      <c r="V30" s="2">
        <f>AI30</f>
        <v>0.45</v>
      </c>
      <c r="W30" s="2">
        <f>ROUND(AJ30,2)</f>
        <v>0</v>
      </c>
      <c r="X30" s="2">
        <f>ROUND(AK30,2)</f>
        <v>734.92</v>
      </c>
      <c r="Y30" s="2">
        <f>ROUND(AL30,2)</f>
        <v>428.11</v>
      </c>
      <c r="Z30" s="2"/>
      <c r="AA30" s="2"/>
      <c r="AB30" s="2">
        <f>ROUND(SUMIF(AA28:AA28,"=84186534",O28:O28),2)</f>
        <v>1105.5</v>
      </c>
      <c r="AC30" s="2">
        <f>ROUND(SUMIF(AA28:AA28,"=84186534",P28:P28),2)</f>
        <v>0</v>
      </c>
      <c r="AD30" s="2">
        <f>ROUND(SUMIF(AA28:AA28,"=84186534",Q28:Q28),2)</f>
        <v>534.83000000000004</v>
      </c>
      <c r="AE30" s="2">
        <f>ROUND(SUMIF(AA28:AA28,"=84186534",R28:R28),2)</f>
        <v>142.84</v>
      </c>
      <c r="AF30" s="2">
        <f>ROUND(SUMIF(AA28:AA28,"=84186534",S28:S28),2)</f>
        <v>570.66999999999996</v>
      </c>
      <c r="AG30" s="2">
        <f>ROUND(SUMIF(AA28:AA28,"=84186534",T28:T28),2)</f>
        <v>0</v>
      </c>
      <c r="AH30" s="2">
        <f>SUMIF(AA28:AA28,"=84186534",U28:U28)</f>
        <v>2.0299999999999998</v>
      </c>
      <c r="AI30" s="2">
        <f>SUMIF(AA28:AA28,"=84186534",V28:V28)</f>
        <v>0.45</v>
      </c>
      <c r="AJ30" s="2">
        <f>ROUND(SUMIF(AA28:AA28,"=84186534",W28:W28),2)</f>
        <v>0</v>
      </c>
      <c r="AK30" s="2">
        <f>ROUND(SUMIF(AA28:AA28,"=84186534",X28:X28),2)</f>
        <v>734.92</v>
      </c>
      <c r="AL30" s="2">
        <f>ROUND(SUMIF(AA28:AA28,"=84186534",Y28:Y28),2)</f>
        <v>428.11</v>
      </c>
      <c r="AM30" s="2"/>
      <c r="AN30" s="2"/>
      <c r="AO30" s="2">
        <f t="shared" ref="AO30:BD30" si="22">ROUND(BX30,2)</f>
        <v>0</v>
      </c>
      <c r="AP30" s="2">
        <f t="shared" si="22"/>
        <v>0</v>
      </c>
      <c r="AQ30" s="2">
        <f t="shared" si="22"/>
        <v>0</v>
      </c>
      <c r="AR30" s="2">
        <f t="shared" si="22"/>
        <v>2268.5300000000002</v>
      </c>
      <c r="AS30" s="2">
        <f t="shared" si="22"/>
        <v>2268.5300000000002</v>
      </c>
      <c r="AT30" s="2">
        <f t="shared" si="22"/>
        <v>0</v>
      </c>
      <c r="AU30" s="2">
        <f t="shared" si="22"/>
        <v>0</v>
      </c>
      <c r="AV30" s="2">
        <f t="shared" si="22"/>
        <v>0</v>
      </c>
      <c r="AW30" s="2">
        <f t="shared" si="22"/>
        <v>0</v>
      </c>
      <c r="AX30" s="2">
        <f t="shared" si="22"/>
        <v>0</v>
      </c>
      <c r="AY30" s="2">
        <f t="shared" si="22"/>
        <v>0</v>
      </c>
      <c r="AZ30" s="2">
        <f t="shared" si="22"/>
        <v>0</v>
      </c>
      <c r="BA30" s="2">
        <f t="shared" si="22"/>
        <v>0</v>
      </c>
      <c r="BB30" s="2">
        <f t="shared" si="22"/>
        <v>0</v>
      </c>
      <c r="BC30" s="2">
        <f t="shared" si="22"/>
        <v>0</v>
      </c>
      <c r="BD30" s="2">
        <f t="shared" si="22"/>
        <v>0</v>
      </c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>
        <f>ROUND(SUMIF(AA28:AA28,"=84186534",FQ28:FQ28),2)</f>
        <v>0</v>
      </c>
      <c r="BY30" s="2">
        <f>ROUND(SUMIF(AA28:AA28,"=84186534",FR28:FR28),2)</f>
        <v>0</v>
      </c>
      <c r="BZ30" s="2">
        <f>ROUND(SUMIF(AA28:AA28,"=84186534",GL28:GL28),2)</f>
        <v>0</v>
      </c>
      <c r="CA30" s="2">
        <f>ROUND(SUMIF(AA28:AA28,"=84186534",GM28:GM28),2)</f>
        <v>2268.5300000000002</v>
      </c>
      <c r="CB30" s="2">
        <f>ROUND(SUMIF(AA28:AA28,"=84186534",GN28:GN28),2)</f>
        <v>2268.5300000000002</v>
      </c>
      <c r="CC30" s="2">
        <f>ROUND(SUMIF(AA28:AA28,"=84186534",GO28:GO28),2)</f>
        <v>0</v>
      </c>
      <c r="CD30" s="2">
        <f>ROUND(SUMIF(AA28:AA28,"=84186534",GP28:GP28),2)</f>
        <v>0</v>
      </c>
      <c r="CE30" s="2">
        <f>AC30-BX30</f>
        <v>0</v>
      </c>
      <c r="CF30" s="2">
        <f>AC30-BY30</f>
        <v>0</v>
      </c>
      <c r="CG30" s="2">
        <f>BX30-BZ30</f>
        <v>0</v>
      </c>
      <c r="CH30" s="2">
        <f>AC30-BX30-BY30+BZ30</f>
        <v>0</v>
      </c>
      <c r="CI30" s="2">
        <f>BY30-BZ30</f>
        <v>0</v>
      </c>
      <c r="CJ30" s="2">
        <f>ROUND(SUMIF(AA28:AA28,"=84186534",GX28:GX28),2)</f>
        <v>0</v>
      </c>
      <c r="CK30" s="2">
        <f>ROUND(SUMIF(AA28:AA28,"=84186534",GY28:GY28),2)</f>
        <v>0</v>
      </c>
      <c r="CL30" s="2">
        <f>ROUND(SUMIF(AA28:AA28,"=84186534",GZ28:GZ28),2)</f>
        <v>0</v>
      </c>
      <c r="CM30" s="2">
        <f>ROUND(SUMIF(AA28:AA28,"=84186534",HD28:HD28),2)</f>
        <v>0</v>
      </c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>
        <v>0</v>
      </c>
    </row>
    <row r="32" spans="1:245" x14ac:dyDescent="0.2">
      <c r="A32" s="4">
        <v>50</v>
      </c>
      <c r="B32" s="4">
        <v>0</v>
      </c>
      <c r="C32" s="4">
        <v>0</v>
      </c>
      <c r="D32" s="4">
        <v>1</v>
      </c>
      <c r="E32" s="4">
        <v>201</v>
      </c>
      <c r="F32" s="4">
        <f>ROUND(Source!O30,O32)</f>
        <v>1105.5</v>
      </c>
      <c r="G32" s="4" t="s">
        <v>24</v>
      </c>
      <c r="H32" s="4" t="s">
        <v>25</v>
      </c>
      <c r="I32" s="4"/>
      <c r="J32" s="4"/>
      <c r="K32" s="4">
        <v>201</v>
      </c>
      <c r="L32" s="4">
        <v>1</v>
      </c>
      <c r="M32" s="4">
        <v>3</v>
      </c>
      <c r="N32" s="4" t="s">
        <v>3</v>
      </c>
      <c r="O32" s="4">
        <v>2</v>
      </c>
      <c r="P32" s="4"/>
      <c r="Q32" s="4"/>
      <c r="R32" s="4"/>
      <c r="S32" s="4"/>
      <c r="T32" s="4"/>
      <c r="U32" s="4"/>
      <c r="V32" s="4"/>
      <c r="W32" s="4">
        <v>1105.5</v>
      </c>
      <c r="X32" s="4">
        <v>1</v>
      </c>
      <c r="Y32" s="4">
        <v>1105.5</v>
      </c>
      <c r="Z32" s="4"/>
      <c r="AA32" s="4"/>
      <c r="AB32" s="4"/>
    </row>
    <row r="33" spans="1:28" x14ac:dyDescent="0.2">
      <c r="A33" s="4">
        <v>50</v>
      </c>
      <c r="B33" s="4">
        <v>0</v>
      </c>
      <c r="C33" s="4">
        <v>0</v>
      </c>
      <c r="D33" s="4">
        <v>1</v>
      </c>
      <c r="E33" s="4">
        <v>0</v>
      </c>
      <c r="F33" s="4">
        <f>ROUND(Source!P30,O33)</f>
        <v>0</v>
      </c>
      <c r="G33" s="4" t="s">
        <v>26</v>
      </c>
      <c r="H33" s="4" t="s">
        <v>27</v>
      </c>
      <c r="I33" s="4"/>
      <c r="J33" s="4"/>
      <c r="K33" s="4">
        <v>202</v>
      </c>
      <c r="L33" s="4">
        <v>2</v>
      </c>
      <c r="M33" s="4">
        <v>3</v>
      </c>
      <c r="N33" s="4" t="s">
        <v>3</v>
      </c>
      <c r="O33" s="4">
        <v>2</v>
      </c>
      <c r="P33" s="4"/>
      <c r="Q33" s="4"/>
      <c r="R33" s="4"/>
      <c r="S33" s="4"/>
      <c r="T33" s="4"/>
      <c r="U33" s="4"/>
      <c r="V33" s="4"/>
      <c r="W33" s="4">
        <v>0</v>
      </c>
      <c r="X33" s="4">
        <v>1</v>
      </c>
      <c r="Y33" s="4">
        <v>0</v>
      </c>
      <c r="Z33" s="4"/>
      <c r="AA33" s="4"/>
      <c r="AB33" s="4"/>
    </row>
    <row r="34" spans="1:28" x14ac:dyDescent="0.2">
      <c r="A34" s="4">
        <v>50</v>
      </c>
      <c r="B34" s="4">
        <v>0</v>
      </c>
      <c r="C34" s="4">
        <v>0</v>
      </c>
      <c r="D34" s="4">
        <v>1</v>
      </c>
      <c r="E34" s="4">
        <v>222</v>
      </c>
      <c r="F34" s="4">
        <f>ROUND(Source!AO30,O34)</f>
        <v>0</v>
      </c>
      <c r="G34" s="4" t="s">
        <v>28</v>
      </c>
      <c r="H34" s="4" t="s">
        <v>29</v>
      </c>
      <c r="I34" s="4"/>
      <c r="J34" s="4"/>
      <c r="K34" s="4">
        <v>222</v>
      </c>
      <c r="L34" s="4">
        <v>3</v>
      </c>
      <c r="M34" s="4">
        <v>3</v>
      </c>
      <c r="N34" s="4" t="s">
        <v>3</v>
      </c>
      <c r="O34" s="4">
        <v>2</v>
      </c>
      <c r="P34" s="4"/>
      <c r="Q34" s="4"/>
      <c r="R34" s="4"/>
      <c r="S34" s="4"/>
      <c r="T34" s="4"/>
      <c r="U34" s="4"/>
      <c r="V34" s="4"/>
      <c r="W34" s="4">
        <v>0</v>
      </c>
      <c r="X34" s="4">
        <v>1</v>
      </c>
      <c r="Y34" s="4">
        <v>0</v>
      </c>
      <c r="Z34" s="4"/>
      <c r="AA34" s="4"/>
      <c r="AB34" s="4"/>
    </row>
    <row r="35" spans="1:28" x14ac:dyDescent="0.2">
      <c r="A35" s="4">
        <v>50</v>
      </c>
      <c r="B35" s="4">
        <v>0</v>
      </c>
      <c r="C35" s="4">
        <v>0</v>
      </c>
      <c r="D35" s="4">
        <v>1</v>
      </c>
      <c r="E35" s="4">
        <v>225</v>
      </c>
      <c r="F35" s="4">
        <f>ROUND(Source!AV30,O35)</f>
        <v>0</v>
      </c>
      <c r="G35" s="4" t="s">
        <v>30</v>
      </c>
      <c r="H35" s="4" t="s">
        <v>31</v>
      </c>
      <c r="I35" s="4"/>
      <c r="J35" s="4"/>
      <c r="K35" s="4">
        <v>225</v>
      </c>
      <c r="L35" s="4">
        <v>4</v>
      </c>
      <c r="M35" s="4">
        <v>3</v>
      </c>
      <c r="N35" s="4" t="s">
        <v>3</v>
      </c>
      <c r="O35" s="4">
        <v>2</v>
      </c>
      <c r="P35" s="4"/>
      <c r="Q35" s="4"/>
      <c r="R35" s="4"/>
      <c r="S35" s="4"/>
      <c r="T35" s="4"/>
      <c r="U35" s="4"/>
      <c r="V35" s="4"/>
      <c r="W35" s="4">
        <v>0</v>
      </c>
      <c r="X35" s="4">
        <v>1</v>
      </c>
      <c r="Y35" s="4">
        <v>0</v>
      </c>
      <c r="Z35" s="4"/>
      <c r="AA35" s="4"/>
      <c r="AB35" s="4"/>
    </row>
    <row r="36" spans="1:28" x14ac:dyDescent="0.2">
      <c r="A36" s="4">
        <v>50</v>
      </c>
      <c r="B36" s="4">
        <v>0</v>
      </c>
      <c r="C36" s="4">
        <v>0</v>
      </c>
      <c r="D36" s="4">
        <v>1</v>
      </c>
      <c r="E36" s="4">
        <v>226</v>
      </c>
      <c r="F36" s="4">
        <f>ROUND(Source!AW30,O36)</f>
        <v>0</v>
      </c>
      <c r="G36" s="4" t="s">
        <v>32</v>
      </c>
      <c r="H36" s="4" t="s">
        <v>33</v>
      </c>
      <c r="I36" s="4"/>
      <c r="J36" s="4"/>
      <c r="K36" s="4">
        <v>226</v>
      </c>
      <c r="L36" s="4">
        <v>5</v>
      </c>
      <c r="M36" s="4">
        <v>3</v>
      </c>
      <c r="N36" s="4" t="s">
        <v>3</v>
      </c>
      <c r="O36" s="4">
        <v>2</v>
      </c>
      <c r="P36" s="4"/>
      <c r="Q36" s="4"/>
      <c r="R36" s="4"/>
      <c r="S36" s="4"/>
      <c r="T36" s="4"/>
      <c r="U36" s="4"/>
      <c r="V36" s="4"/>
      <c r="W36" s="4">
        <v>0</v>
      </c>
      <c r="X36" s="4">
        <v>1</v>
      </c>
      <c r="Y36" s="4">
        <v>0</v>
      </c>
      <c r="Z36" s="4"/>
      <c r="AA36" s="4"/>
      <c r="AB36" s="4"/>
    </row>
    <row r="37" spans="1:28" x14ac:dyDescent="0.2">
      <c r="A37" s="4">
        <v>50</v>
      </c>
      <c r="B37" s="4">
        <v>0</v>
      </c>
      <c r="C37" s="4">
        <v>0</v>
      </c>
      <c r="D37" s="4">
        <v>1</v>
      </c>
      <c r="E37" s="4">
        <v>227</v>
      </c>
      <c r="F37" s="4">
        <f>ROUND(Source!AX30,O37)</f>
        <v>0</v>
      </c>
      <c r="G37" s="4" t="s">
        <v>34</v>
      </c>
      <c r="H37" s="4" t="s">
        <v>35</v>
      </c>
      <c r="I37" s="4"/>
      <c r="J37" s="4"/>
      <c r="K37" s="4">
        <v>227</v>
      </c>
      <c r="L37" s="4">
        <v>6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8" x14ac:dyDescent="0.2">
      <c r="A38" s="4">
        <v>50</v>
      </c>
      <c r="B38" s="4">
        <v>0</v>
      </c>
      <c r="C38" s="4">
        <v>0</v>
      </c>
      <c r="D38" s="4">
        <v>1</v>
      </c>
      <c r="E38" s="4">
        <v>228</v>
      </c>
      <c r="F38" s="4">
        <f>ROUND(Source!AY30,O38)</f>
        <v>0</v>
      </c>
      <c r="G38" s="4" t="s">
        <v>36</v>
      </c>
      <c r="H38" s="4" t="s">
        <v>37</v>
      </c>
      <c r="I38" s="4"/>
      <c r="J38" s="4"/>
      <c r="K38" s="4">
        <v>228</v>
      </c>
      <c r="L38" s="4">
        <v>7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8" x14ac:dyDescent="0.2">
      <c r="A39" s="4">
        <v>50</v>
      </c>
      <c r="B39" s="4">
        <v>0</v>
      </c>
      <c r="C39" s="4">
        <v>0</v>
      </c>
      <c r="D39" s="4">
        <v>1</v>
      </c>
      <c r="E39" s="4">
        <v>216</v>
      </c>
      <c r="F39" s="4">
        <f>ROUND(Source!AP30,O39)</f>
        <v>0</v>
      </c>
      <c r="G39" s="4" t="s">
        <v>38</v>
      </c>
      <c r="H39" s="4" t="s">
        <v>39</v>
      </c>
      <c r="I39" s="4"/>
      <c r="J39" s="4"/>
      <c r="K39" s="4">
        <v>216</v>
      </c>
      <c r="L39" s="4">
        <v>8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8" x14ac:dyDescent="0.2">
      <c r="A40" s="4">
        <v>50</v>
      </c>
      <c r="B40" s="4">
        <v>0</v>
      </c>
      <c r="C40" s="4">
        <v>0</v>
      </c>
      <c r="D40" s="4">
        <v>1</v>
      </c>
      <c r="E40" s="4">
        <v>223</v>
      </c>
      <c r="F40" s="4">
        <f>ROUND(Source!AQ30,O40)</f>
        <v>0</v>
      </c>
      <c r="G40" s="4" t="s">
        <v>40</v>
      </c>
      <c r="H40" s="4" t="s">
        <v>41</v>
      </c>
      <c r="I40" s="4"/>
      <c r="J40" s="4"/>
      <c r="K40" s="4">
        <v>223</v>
      </c>
      <c r="L40" s="4">
        <v>9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8" x14ac:dyDescent="0.2">
      <c r="A41" s="4">
        <v>50</v>
      </c>
      <c r="B41" s="4">
        <v>0</v>
      </c>
      <c r="C41" s="4">
        <v>0</v>
      </c>
      <c r="D41" s="4">
        <v>1</v>
      </c>
      <c r="E41" s="4">
        <v>229</v>
      </c>
      <c r="F41" s="4">
        <f>ROUND(Source!AZ30,O41)</f>
        <v>0</v>
      </c>
      <c r="G41" s="4" t="s">
        <v>42</v>
      </c>
      <c r="H41" s="4" t="s">
        <v>43</v>
      </c>
      <c r="I41" s="4"/>
      <c r="J41" s="4"/>
      <c r="K41" s="4">
        <v>229</v>
      </c>
      <c r="L41" s="4">
        <v>10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8" x14ac:dyDescent="0.2">
      <c r="A42" s="4">
        <v>50</v>
      </c>
      <c r="B42" s="4">
        <v>0</v>
      </c>
      <c r="C42" s="4">
        <v>0</v>
      </c>
      <c r="D42" s="4">
        <v>1</v>
      </c>
      <c r="E42" s="4">
        <v>0</v>
      </c>
      <c r="F42" s="4">
        <f>ROUND(Source!Q30,O42)</f>
        <v>534.83000000000004</v>
      </c>
      <c r="G42" s="4" t="s">
        <v>44</v>
      </c>
      <c r="H42" s="4" t="s">
        <v>45</v>
      </c>
      <c r="I42" s="4"/>
      <c r="J42" s="4"/>
      <c r="K42" s="4">
        <v>203</v>
      </c>
      <c r="L42" s="4">
        <v>11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534.83000000000004</v>
      </c>
      <c r="X42" s="4">
        <v>1</v>
      </c>
      <c r="Y42" s="4">
        <v>534.83000000000004</v>
      </c>
      <c r="Z42" s="4"/>
      <c r="AA42" s="4"/>
      <c r="AB42" s="4"/>
    </row>
    <row r="43" spans="1:28" x14ac:dyDescent="0.2">
      <c r="A43" s="4">
        <v>50</v>
      </c>
      <c r="B43" s="4">
        <v>0</v>
      </c>
      <c r="C43" s="4">
        <v>0</v>
      </c>
      <c r="D43" s="4">
        <v>1</v>
      </c>
      <c r="E43" s="4">
        <v>231</v>
      </c>
      <c r="F43" s="4">
        <f>ROUND(Source!BB30,O43)</f>
        <v>0</v>
      </c>
      <c r="G43" s="4" t="s">
        <v>46</v>
      </c>
      <c r="H43" s="4" t="s">
        <v>47</v>
      </c>
      <c r="I43" s="4"/>
      <c r="J43" s="4"/>
      <c r="K43" s="4">
        <v>231</v>
      </c>
      <c r="L43" s="4">
        <v>12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8" x14ac:dyDescent="0.2">
      <c r="A44" s="4">
        <v>50</v>
      </c>
      <c r="B44" s="4">
        <v>0</v>
      </c>
      <c r="C44" s="4">
        <v>0</v>
      </c>
      <c r="D44" s="4">
        <v>1</v>
      </c>
      <c r="E44" s="4">
        <v>0</v>
      </c>
      <c r="F44" s="4">
        <f>ROUND(Source!R30,O44)</f>
        <v>142.84</v>
      </c>
      <c r="G44" s="4" t="s">
        <v>48</v>
      </c>
      <c r="H44" s="4" t="s">
        <v>49</v>
      </c>
      <c r="I44" s="4"/>
      <c r="J44" s="4"/>
      <c r="K44" s="4">
        <v>204</v>
      </c>
      <c r="L44" s="4">
        <v>13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142.84</v>
      </c>
      <c r="X44" s="4">
        <v>1</v>
      </c>
      <c r="Y44" s="4">
        <v>142.84</v>
      </c>
      <c r="Z44" s="4"/>
      <c r="AA44" s="4"/>
      <c r="AB44" s="4"/>
    </row>
    <row r="45" spans="1:28" x14ac:dyDescent="0.2">
      <c r="A45" s="4">
        <v>50</v>
      </c>
      <c r="B45" s="4">
        <v>0</v>
      </c>
      <c r="C45" s="4">
        <v>0</v>
      </c>
      <c r="D45" s="4">
        <v>1</v>
      </c>
      <c r="E45" s="4">
        <v>0</v>
      </c>
      <c r="F45" s="4">
        <f>ROUND(Source!S30,O45)</f>
        <v>570.66999999999996</v>
      </c>
      <c r="G45" s="4" t="s">
        <v>50</v>
      </c>
      <c r="H45" s="4" t="s">
        <v>51</v>
      </c>
      <c r="I45" s="4"/>
      <c r="J45" s="4"/>
      <c r="K45" s="4">
        <v>205</v>
      </c>
      <c r="L45" s="4">
        <v>14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570.66999999999996</v>
      </c>
      <c r="X45" s="4">
        <v>1</v>
      </c>
      <c r="Y45" s="4">
        <v>570.66999999999996</v>
      </c>
      <c r="Z45" s="4"/>
      <c r="AA45" s="4"/>
      <c r="AB45" s="4"/>
    </row>
    <row r="46" spans="1:28" x14ac:dyDescent="0.2">
      <c r="A46" s="4">
        <v>50</v>
      </c>
      <c r="B46" s="4">
        <v>0</v>
      </c>
      <c r="C46" s="4">
        <v>0</v>
      </c>
      <c r="D46" s="4">
        <v>1</v>
      </c>
      <c r="E46" s="4">
        <v>232</v>
      </c>
      <c r="F46" s="4">
        <f>ROUND(Source!BC30,O46)</f>
        <v>0</v>
      </c>
      <c r="G46" s="4" t="s">
        <v>52</v>
      </c>
      <c r="H46" s="4" t="s">
        <v>53</v>
      </c>
      <c r="I46" s="4"/>
      <c r="J46" s="4"/>
      <c r="K46" s="4">
        <v>232</v>
      </c>
      <c r="L46" s="4">
        <v>15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8" x14ac:dyDescent="0.2">
      <c r="A47" s="4">
        <v>50</v>
      </c>
      <c r="B47" s="4">
        <v>0</v>
      </c>
      <c r="C47" s="4">
        <v>0</v>
      </c>
      <c r="D47" s="4">
        <v>1</v>
      </c>
      <c r="E47" s="4">
        <v>214</v>
      </c>
      <c r="F47" s="4">
        <f>ROUND(Source!AS30,O47)</f>
        <v>2268.5300000000002</v>
      </c>
      <c r="G47" s="4" t="s">
        <v>54</v>
      </c>
      <c r="H47" s="4" t="s">
        <v>55</v>
      </c>
      <c r="I47" s="4"/>
      <c r="J47" s="4"/>
      <c r="K47" s="4">
        <v>214</v>
      </c>
      <c r="L47" s="4">
        <v>16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2268.5300000000002</v>
      </c>
      <c r="X47" s="4">
        <v>1</v>
      </c>
      <c r="Y47" s="4">
        <v>2268.5300000000002</v>
      </c>
      <c r="Z47" s="4"/>
      <c r="AA47" s="4"/>
      <c r="AB47" s="4"/>
    </row>
    <row r="48" spans="1:28" x14ac:dyDescent="0.2">
      <c r="A48" s="4">
        <v>50</v>
      </c>
      <c r="B48" s="4">
        <v>0</v>
      </c>
      <c r="C48" s="4">
        <v>0</v>
      </c>
      <c r="D48" s="4">
        <v>1</v>
      </c>
      <c r="E48" s="4">
        <v>215</v>
      </c>
      <c r="F48" s="4">
        <f>ROUND(Source!AT30,O48)</f>
        <v>0</v>
      </c>
      <c r="G48" s="4" t="s">
        <v>56</v>
      </c>
      <c r="H48" s="4" t="s">
        <v>57</v>
      </c>
      <c r="I48" s="4"/>
      <c r="J48" s="4"/>
      <c r="K48" s="4">
        <v>215</v>
      </c>
      <c r="L48" s="4">
        <v>17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217</v>
      </c>
      <c r="F49" s="4">
        <f>ROUND(Source!AU30,O49)</f>
        <v>0</v>
      </c>
      <c r="G49" s="4" t="s">
        <v>58</v>
      </c>
      <c r="H49" s="4" t="s">
        <v>59</v>
      </c>
      <c r="I49" s="4"/>
      <c r="J49" s="4"/>
      <c r="K49" s="4">
        <v>217</v>
      </c>
      <c r="L49" s="4">
        <v>18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230</v>
      </c>
      <c r="F50" s="4">
        <f>ROUND(Source!BA30,O50)</f>
        <v>0</v>
      </c>
      <c r="G50" s="4" t="s">
        <v>60</v>
      </c>
      <c r="H50" s="4" t="s">
        <v>61</v>
      </c>
      <c r="I50" s="4"/>
      <c r="J50" s="4"/>
      <c r="K50" s="4">
        <v>230</v>
      </c>
      <c r="L50" s="4">
        <v>19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206</v>
      </c>
      <c r="F51" s="4">
        <f>ROUND(Source!T30,O51)</f>
        <v>0</v>
      </c>
      <c r="G51" s="4" t="s">
        <v>62</v>
      </c>
      <c r="H51" s="4" t="s">
        <v>63</v>
      </c>
      <c r="I51" s="4"/>
      <c r="J51" s="4"/>
      <c r="K51" s="4">
        <v>206</v>
      </c>
      <c r="L51" s="4">
        <v>20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207</v>
      </c>
      <c r="F52" s="4">
        <f>Source!U30</f>
        <v>2.0299999999999998</v>
      </c>
      <c r="G52" s="4" t="s">
        <v>64</v>
      </c>
      <c r="H52" s="4" t="s">
        <v>65</v>
      </c>
      <c r="I52" s="4"/>
      <c r="J52" s="4"/>
      <c r="K52" s="4">
        <v>207</v>
      </c>
      <c r="L52" s="4">
        <v>21</v>
      </c>
      <c r="M52" s="4">
        <v>3</v>
      </c>
      <c r="N52" s="4" t="s">
        <v>3</v>
      </c>
      <c r="O52" s="4">
        <v>-1</v>
      </c>
      <c r="P52" s="4"/>
      <c r="Q52" s="4"/>
      <c r="R52" s="4"/>
      <c r="S52" s="4"/>
      <c r="T52" s="4"/>
      <c r="U52" s="4"/>
      <c r="V52" s="4"/>
      <c r="W52" s="4">
        <v>2.0299999999999998</v>
      </c>
      <c r="X52" s="4">
        <v>1</v>
      </c>
      <c r="Y52" s="4">
        <v>2.0299999999999998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208</v>
      </c>
      <c r="F53" s="4">
        <f>Source!V30</f>
        <v>0.45</v>
      </c>
      <c r="G53" s="4" t="s">
        <v>66</v>
      </c>
      <c r="H53" s="4" t="s">
        <v>67</v>
      </c>
      <c r="I53" s="4"/>
      <c r="J53" s="4"/>
      <c r="K53" s="4">
        <v>208</v>
      </c>
      <c r="L53" s="4">
        <v>22</v>
      </c>
      <c r="M53" s="4">
        <v>3</v>
      </c>
      <c r="N53" s="4" t="s">
        <v>3</v>
      </c>
      <c r="O53" s="4">
        <v>-1</v>
      </c>
      <c r="P53" s="4"/>
      <c r="Q53" s="4"/>
      <c r="R53" s="4"/>
      <c r="S53" s="4"/>
      <c r="T53" s="4"/>
      <c r="U53" s="4"/>
      <c r="V53" s="4"/>
      <c r="W53" s="4">
        <v>0.45</v>
      </c>
      <c r="X53" s="4">
        <v>1</v>
      </c>
      <c r="Y53" s="4">
        <v>0.45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209</v>
      </c>
      <c r="F54" s="4">
        <f>ROUND(Source!W30,O54)</f>
        <v>0</v>
      </c>
      <c r="G54" s="4" t="s">
        <v>68</v>
      </c>
      <c r="H54" s="4" t="s">
        <v>69</v>
      </c>
      <c r="I54" s="4"/>
      <c r="J54" s="4"/>
      <c r="K54" s="4">
        <v>209</v>
      </c>
      <c r="L54" s="4">
        <v>23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233</v>
      </c>
      <c r="F55" s="4">
        <f>ROUND(Source!BD30,O55)</f>
        <v>0</v>
      </c>
      <c r="G55" s="4" t="s">
        <v>70</v>
      </c>
      <c r="H55" s="4" t="s">
        <v>71</v>
      </c>
      <c r="I55" s="4"/>
      <c r="J55" s="4"/>
      <c r="K55" s="4">
        <v>233</v>
      </c>
      <c r="L55" s="4">
        <v>24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0</v>
      </c>
      <c r="F56" s="4">
        <f>ROUND(Source!X30,O56)</f>
        <v>734.92</v>
      </c>
      <c r="G56" s="4" t="s">
        <v>72</v>
      </c>
      <c r="H56" s="4" t="s">
        <v>73</v>
      </c>
      <c r="I56" s="4"/>
      <c r="J56" s="4"/>
      <c r="K56" s="4">
        <v>210</v>
      </c>
      <c r="L56" s="4">
        <v>25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734.92</v>
      </c>
      <c r="X56" s="4">
        <v>1</v>
      </c>
      <c r="Y56" s="4">
        <v>734.92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0</v>
      </c>
      <c r="F57" s="4">
        <f>ROUND(Source!Y30,O57)</f>
        <v>428.11</v>
      </c>
      <c r="G57" s="4" t="s">
        <v>74</v>
      </c>
      <c r="H57" s="4" t="s">
        <v>75</v>
      </c>
      <c r="I57" s="4"/>
      <c r="J57" s="4"/>
      <c r="K57" s="4">
        <v>211</v>
      </c>
      <c r="L57" s="4">
        <v>26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428.11</v>
      </c>
      <c r="X57" s="4">
        <v>1</v>
      </c>
      <c r="Y57" s="4">
        <v>428.11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224</v>
      </c>
      <c r="F58" s="4">
        <f>ROUND(Source!AR30,O58)</f>
        <v>2268.5300000000002</v>
      </c>
      <c r="G58" s="4" t="s">
        <v>76</v>
      </c>
      <c r="H58" s="4" t="s">
        <v>77</v>
      </c>
      <c r="I58" s="4"/>
      <c r="J58" s="4"/>
      <c r="K58" s="4">
        <v>224</v>
      </c>
      <c r="L58" s="4">
        <v>27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2268.5300000000002</v>
      </c>
      <c r="X58" s="4">
        <v>1</v>
      </c>
      <c r="Y58" s="4">
        <v>2268.5300000000002</v>
      </c>
      <c r="Z58" s="4"/>
      <c r="AA58" s="4"/>
      <c r="AB58" s="4"/>
    </row>
    <row r="59" spans="1:28" x14ac:dyDescent="0.2">
      <c r="A59" s="4">
        <v>50</v>
      </c>
      <c r="B59" s="4">
        <v>1</v>
      </c>
      <c r="C59" s="4">
        <v>0</v>
      </c>
      <c r="D59" s="4">
        <v>2</v>
      </c>
      <c r="E59" s="4">
        <v>205</v>
      </c>
      <c r="F59" s="4">
        <f>ROUND(F45,O59)</f>
        <v>570.66999999999996</v>
      </c>
      <c r="G59" s="4" t="s">
        <v>78</v>
      </c>
      <c r="H59" s="4" t="s">
        <v>50</v>
      </c>
      <c r="I59" s="4"/>
      <c r="J59" s="4"/>
      <c r="K59" s="4">
        <v>212</v>
      </c>
      <c r="L59" s="4">
        <v>28</v>
      </c>
      <c r="M59" s="4">
        <v>0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570.66999999999996</v>
      </c>
      <c r="X59" s="4">
        <v>1</v>
      </c>
      <c r="Y59" s="4">
        <v>570.66999999999996</v>
      </c>
      <c r="Z59" s="4"/>
      <c r="AA59" s="4"/>
      <c r="AB59" s="4"/>
    </row>
    <row r="60" spans="1:28" x14ac:dyDescent="0.2">
      <c r="A60" s="4">
        <v>50</v>
      </c>
      <c r="B60" s="4">
        <v>1</v>
      </c>
      <c r="C60" s="4">
        <v>0</v>
      </c>
      <c r="D60" s="4">
        <v>2</v>
      </c>
      <c r="E60" s="4">
        <v>203</v>
      </c>
      <c r="F60" s="4">
        <f>ROUND(F42,O60)</f>
        <v>534.83000000000004</v>
      </c>
      <c r="G60" s="4" t="s">
        <v>79</v>
      </c>
      <c r="H60" s="4" t="s">
        <v>80</v>
      </c>
      <c r="I60" s="4"/>
      <c r="J60" s="4"/>
      <c r="K60" s="4">
        <v>212</v>
      </c>
      <c r="L60" s="4">
        <v>29</v>
      </c>
      <c r="M60" s="4">
        <v>0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534.83000000000004</v>
      </c>
      <c r="X60" s="4">
        <v>1</v>
      </c>
      <c r="Y60" s="4">
        <v>534.83000000000004</v>
      </c>
      <c r="Z60" s="4"/>
      <c r="AA60" s="4"/>
      <c r="AB60" s="4"/>
    </row>
    <row r="61" spans="1:28" x14ac:dyDescent="0.2">
      <c r="A61" s="4">
        <v>50</v>
      </c>
      <c r="B61" s="4">
        <v>1</v>
      </c>
      <c r="C61" s="4">
        <v>0</v>
      </c>
      <c r="D61" s="4">
        <v>2</v>
      </c>
      <c r="E61" s="4">
        <v>204</v>
      </c>
      <c r="F61" s="4">
        <f>ROUND(F44,O61)</f>
        <v>142.84</v>
      </c>
      <c r="G61" s="4" t="s">
        <v>81</v>
      </c>
      <c r="H61" s="4" t="s">
        <v>82</v>
      </c>
      <c r="I61" s="4"/>
      <c r="J61" s="4"/>
      <c r="K61" s="4">
        <v>212</v>
      </c>
      <c r="L61" s="4">
        <v>30</v>
      </c>
      <c r="M61" s="4">
        <v>0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142.84</v>
      </c>
      <c r="X61" s="4">
        <v>1</v>
      </c>
      <c r="Y61" s="4">
        <v>142.84</v>
      </c>
      <c r="Z61" s="4"/>
      <c r="AA61" s="4"/>
      <c r="AB61" s="4"/>
    </row>
    <row r="62" spans="1:28" x14ac:dyDescent="0.2">
      <c r="A62" s="4">
        <v>50</v>
      </c>
      <c r="B62" s="4">
        <v>1</v>
      </c>
      <c r="C62" s="4">
        <v>0</v>
      </c>
      <c r="D62" s="4">
        <v>2</v>
      </c>
      <c r="E62" s="4">
        <v>202</v>
      </c>
      <c r="F62" s="4">
        <f>ROUND(F33,O62)</f>
        <v>0</v>
      </c>
      <c r="G62" s="4" t="s">
        <v>83</v>
      </c>
      <c r="H62" s="4" t="s">
        <v>84</v>
      </c>
      <c r="I62" s="4"/>
      <c r="J62" s="4"/>
      <c r="K62" s="4">
        <v>212</v>
      </c>
      <c r="L62" s="4">
        <v>31</v>
      </c>
      <c r="M62" s="4">
        <v>0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">
      <c r="A63" s="4">
        <v>50</v>
      </c>
      <c r="B63" s="4">
        <v>1</v>
      </c>
      <c r="C63" s="4">
        <v>0</v>
      </c>
      <c r="D63" s="4">
        <v>2</v>
      </c>
      <c r="E63" s="4">
        <v>210</v>
      </c>
      <c r="F63" s="4">
        <f>ROUND(F56,O63)</f>
        <v>734.92</v>
      </c>
      <c r="G63" s="4" t="s">
        <v>85</v>
      </c>
      <c r="H63" s="4" t="s">
        <v>72</v>
      </c>
      <c r="I63" s="4"/>
      <c r="J63" s="4"/>
      <c r="K63" s="4">
        <v>212</v>
      </c>
      <c r="L63" s="4">
        <v>32</v>
      </c>
      <c r="M63" s="4">
        <v>0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734.92</v>
      </c>
      <c r="X63" s="4">
        <v>1</v>
      </c>
      <c r="Y63" s="4">
        <v>734.92</v>
      </c>
      <c r="Z63" s="4"/>
      <c r="AA63" s="4"/>
      <c r="AB63" s="4"/>
    </row>
    <row r="64" spans="1:28" x14ac:dyDescent="0.2">
      <c r="A64" s="4">
        <v>50</v>
      </c>
      <c r="B64" s="4">
        <v>1</v>
      </c>
      <c r="C64" s="4">
        <v>0</v>
      </c>
      <c r="D64" s="4">
        <v>2</v>
      </c>
      <c r="E64" s="4">
        <v>211</v>
      </c>
      <c r="F64" s="4">
        <f>ROUND(F57,O64)</f>
        <v>428.11</v>
      </c>
      <c r="G64" s="4" t="s">
        <v>86</v>
      </c>
      <c r="H64" s="4" t="s">
        <v>87</v>
      </c>
      <c r="I64" s="4"/>
      <c r="J64" s="4"/>
      <c r="K64" s="4">
        <v>212</v>
      </c>
      <c r="L64" s="4">
        <v>33</v>
      </c>
      <c r="M64" s="4">
        <v>0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428.11</v>
      </c>
      <c r="X64" s="4">
        <v>1</v>
      </c>
      <c r="Y64" s="4">
        <v>428.11</v>
      </c>
      <c r="Z64" s="4"/>
      <c r="AA64" s="4"/>
      <c r="AB64" s="4"/>
    </row>
    <row r="65" spans="1:245" x14ac:dyDescent="0.2">
      <c r="A65" s="4">
        <v>50</v>
      </c>
      <c r="B65" s="4">
        <v>1</v>
      </c>
      <c r="C65" s="4">
        <v>0</v>
      </c>
      <c r="D65" s="4">
        <v>2</v>
      </c>
      <c r="E65" s="4">
        <v>213</v>
      </c>
      <c r="F65" s="4">
        <f>ROUND(F59+F60+F62+F63+F64,O65)</f>
        <v>2268.5300000000002</v>
      </c>
      <c r="G65" s="4" t="s">
        <v>88</v>
      </c>
      <c r="H65" s="4" t="s">
        <v>89</v>
      </c>
      <c r="I65" s="4"/>
      <c r="J65" s="4"/>
      <c r="K65" s="4">
        <v>212</v>
      </c>
      <c r="L65" s="4">
        <v>34</v>
      </c>
      <c r="M65" s="4">
        <v>0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2268.5300000000002</v>
      </c>
      <c r="X65" s="4">
        <v>1</v>
      </c>
      <c r="Y65" s="4">
        <v>2268.5300000000002</v>
      </c>
      <c r="Z65" s="4"/>
      <c r="AA65" s="4"/>
      <c r="AB65" s="4"/>
    </row>
    <row r="66" spans="1:245" x14ac:dyDescent="0.2">
      <c r="A66" s="4">
        <v>50</v>
      </c>
      <c r="B66" s="4">
        <v>1</v>
      </c>
      <c r="C66" s="4">
        <v>0</v>
      </c>
      <c r="D66" s="4">
        <v>2</v>
      </c>
      <c r="E66" s="4">
        <v>40729949</v>
      </c>
      <c r="F66" s="4">
        <f>ROUND(F65*0.2,O66)</f>
        <v>453.71</v>
      </c>
      <c r="G66" s="4" t="s">
        <v>90</v>
      </c>
      <c r="H66" s="4" t="s">
        <v>91</v>
      </c>
      <c r="I66" s="4"/>
      <c r="J66" s="4"/>
      <c r="K66" s="4">
        <v>212</v>
      </c>
      <c r="L66" s="4">
        <v>35</v>
      </c>
      <c r="M66" s="4">
        <v>0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453.71</v>
      </c>
      <c r="X66" s="4">
        <v>1</v>
      </c>
      <c r="Y66" s="4">
        <v>453.71</v>
      </c>
      <c r="Z66" s="4"/>
      <c r="AA66" s="4"/>
      <c r="AB66" s="4"/>
    </row>
    <row r="67" spans="1:245" x14ac:dyDescent="0.2">
      <c r="A67" s="4">
        <v>50</v>
      </c>
      <c r="B67" s="4">
        <v>1</v>
      </c>
      <c r="C67" s="4">
        <v>0</v>
      </c>
      <c r="D67" s="4">
        <v>2</v>
      </c>
      <c r="E67" s="4">
        <v>65938917</v>
      </c>
      <c r="F67" s="4">
        <f>ROUND(F65+F66,O67)</f>
        <v>2722.24</v>
      </c>
      <c r="G67" s="4" t="s">
        <v>92</v>
      </c>
      <c r="H67" s="4" t="s">
        <v>93</v>
      </c>
      <c r="I67" s="4"/>
      <c r="J67" s="4"/>
      <c r="K67" s="4">
        <v>212</v>
      </c>
      <c r="L67" s="4">
        <v>36</v>
      </c>
      <c r="M67" s="4">
        <v>0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2722.24</v>
      </c>
      <c r="X67" s="4">
        <v>1</v>
      </c>
      <c r="Y67" s="4">
        <v>2722.24</v>
      </c>
      <c r="Z67" s="4"/>
      <c r="AA67" s="4"/>
      <c r="AB67" s="4"/>
    </row>
    <row r="69" spans="1:245" x14ac:dyDescent="0.2">
      <c r="A69" s="1">
        <v>4</v>
      </c>
      <c r="B69" s="1">
        <v>1</v>
      </c>
      <c r="C69" s="1"/>
      <c r="D69" s="1">
        <f>ROW(A120)</f>
        <v>120</v>
      </c>
      <c r="E69" s="1"/>
      <c r="F69" s="1" t="s">
        <v>12</v>
      </c>
      <c r="G69" s="1" t="s">
        <v>94</v>
      </c>
      <c r="H69" s="1" t="s">
        <v>3</v>
      </c>
      <c r="I69" s="1">
        <v>0</v>
      </c>
      <c r="J69" s="1"/>
      <c r="K69" s="1">
        <v>0</v>
      </c>
      <c r="L69" s="1"/>
      <c r="M69" s="1" t="s">
        <v>3</v>
      </c>
      <c r="N69" s="1"/>
      <c r="O69" s="1"/>
      <c r="P69" s="1"/>
      <c r="Q69" s="1"/>
      <c r="R69" s="1"/>
      <c r="S69" s="1">
        <v>0</v>
      </c>
      <c r="T69" s="1"/>
      <c r="U69" s="1" t="s">
        <v>3</v>
      </c>
      <c r="V69" s="1">
        <v>0</v>
      </c>
      <c r="W69" s="1"/>
      <c r="X69" s="1"/>
      <c r="Y69" s="1"/>
      <c r="Z69" s="1"/>
      <c r="AA69" s="1"/>
      <c r="AB69" s="1" t="s">
        <v>3</v>
      </c>
      <c r="AC69" s="1" t="s">
        <v>3</v>
      </c>
      <c r="AD69" s="1" t="s">
        <v>3</v>
      </c>
      <c r="AE69" s="1" t="s">
        <v>3</v>
      </c>
      <c r="AF69" s="1" t="s">
        <v>3</v>
      </c>
      <c r="AG69" s="1" t="s">
        <v>3</v>
      </c>
      <c r="AH69" s="1"/>
      <c r="AI69" s="1"/>
      <c r="AJ69" s="1"/>
      <c r="AK69" s="1"/>
      <c r="AL69" s="1"/>
      <c r="AM69" s="1"/>
      <c r="AN69" s="1"/>
      <c r="AO69" s="1"/>
      <c r="AP69" s="1" t="s">
        <v>3</v>
      </c>
      <c r="AQ69" s="1" t="s">
        <v>3</v>
      </c>
      <c r="AR69" s="1" t="s">
        <v>3</v>
      </c>
      <c r="AS69" s="1"/>
      <c r="AT69" s="1"/>
      <c r="AU69" s="1"/>
      <c r="AV69" s="1"/>
      <c r="AW69" s="1"/>
      <c r="AX69" s="1"/>
      <c r="AY69" s="1"/>
      <c r="AZ69" s="1" t="s">
        <v>3</v>
      </c>
      <c r="BA69" s="1"/>
      <c r="BB69" s="1" t="s">
        <v>3</v>
      </c>
      <c r="BC69" s="1" t="s">
        <v>3</v>
      </c>
      <c r="BD69" s="1" t="s">
        <v>3</v>
      </c>
      <c r="BE69" s="1" t="s">
        <v>3</v>
      </c>
      <c r="BF69" s="1" t="s">
        <v>3</v>
      </c>
      <c r="BG69" s="1" t="s">
        <v>3</v>
      </c>
      <c r="BH69" s="1" t="s">
        <v>3</v>
      </c>
      <c r="BI69" s="1" t="s">
        <v>3</v>
      </c>
      <c r="BJ69" s="1" t="s">
        <v>3</v>
      </c>
      <c r="BK69" s="1" t="s">
        <v>3</v>
      </c>
      <c r="BL69" s="1" t="s">
        <v>3</v>
      </c>
      <c r="BM69" s="1" t="s">
        <v>3</v>
      </c>
      <c r="BN69" s="1" t="s">
        <v>3</v>
      </c>
      <c r="BO69" s="1" t="s">
        <v>3</v>
      </c>
      <c r="BP69" s="1" t="s">
        <v>3</v>
      </c>
      <c r="BQ69" s="1"/>
      <c r="BR69" s="1"/>
      <c r="BS69" s="1"/>
      <c r="BT69" s="1"/>
      <c r="BU69" s="1"/>
      <c r="BV69" s="1"/>
      <c r="BW69" s="1"/>
      <c r="BX69" s="1">
        <v>0</v>
      </c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>
        <v>0</v>
      </c>
    </row>
    <row r="71" spans="1:245" x14ac:dyDescent="0.2">
      <c r="A71" s="2">
        <v>52</v>
      </c>
      <c r="B71" s="2">
        <f t="shared" ref="B71:G71" si="23">B120</f>
        <v>1</v>
      </c>
      <c r="C71" s="2">
        <f t="shared" si="23"/>
        <v>4</v>
      </c>
      <c r="D71" s="2">
        <f t="shared" si="23"/>
        <v>69</v>
      </c>
      <c r="E71" s="2">
        <f t="shared" si="23"/>
        <v>0</v>
      </c>
      <c r="F71" s="2" t="str">
        <f t="shared" si="23"/>
        <v>Новый раздел</v>
      </c>
      <c r="G71" s="2" t="str">
        <f t="shared" si="23"/>
        <v>Монтаж реклоузера</v>
      </c>
      <c r="H71" s="2"/>
      <c r="I71" s="2"/>
      <c r="J71" s="2"/>
      <c r="K71" s="2"/>
      <c r="L71" s="2"/>
      <c r="M71" s="2"/>
      <c r="N71" s="2"/>
      <c r="O71" s="2">
        <f t="shared" ref="O71:AT71" si="24">O120</f>
        <v>119053.26</v>
      </c>
      <c r="P71" s="2">
        <f t="shared" si="24"/>
        <v>74534.429999999993</v>
      </c>
      <c r="Q71" s="2">
        <f t="shared" si="24"/>
        <v>22634.89</v>
      </c>
      <c r="R71" s="2">
        <f t="shared" si="24"/>
        <v>5368.75</v>
      </c>
      <c r="S71" s="2">
        <f t="shared" si="24"/>
        <v>21883.94</v>
      </c>
      <c r="T71" s="2">
        <f t="shared" si="24"/>
        <v>0</v>
      </c>
      <c r="U71" s="2">
        <f t="shared" si="24"/>
        <v>67.758212</v>
      </c>
      <c r="V71" s="2">
        <f t="shared" si="24"/>
        <v>15.3593204</v>
      </c>
      <c r="W71" s="2">
        <f t="shared" si="24"/>
        <v>0</v>
      </c>
      <c r="X71" s="2">
        <f t="shared" si="24"/>
        <v>26253.64</v>
      </c>
      <c r="Y71" s="2">
        <f t="shared" si="24"/>
        <v>14671.84</v>
      </c>
      <c r="Z71" s="2">
        <f t="shared" si="24"/>
        <v>0</v>
      </c>
      <c r="AA71" s="2">
        <f t="shared" si="24"/>
        <v>0</v>
      </c>
      <c r="AB71" s="2">
        <f t="shared" si="24"/>
        <v>119053.26</v>
      </c>
      <c r="AC71" s="2">
        <f t="shared" si="24"/>
        <v>74534.429999999993</v>
      </c>
      <c r="AD71" s="2">
        <f t="shared" si="24"/>
        <v>22634.89</v>
      </c>
      <c r="AE71" s="2">
        <f t="shared" si="24"/>
        <v>5368.75</v>
      </c>
      <c r="AF71" s="2">
        <f t="shared" si="24"/>
        <v>21883.94</v>
      </c>
      <c r="AG71" s="2">
        <f t="shared" si="24"/>
        <v>0</v>
      </c>
      <c r="AH71" s="2">
        <f t="shared" si="24"/>
        <v>67.758212</v>
      </c>
      <c r="AI71" s="2">
        <f t="shared" si="24"/>
        <v>15.3593204</v>
      </c>
      <c r="AJ71" s="2">
        <f t="shared" si="24"/>
        <v>0</v>
      </c>
      <c r="AK71" s="2">
        <f t="shared" si="24"/>
        <v>26253.64</v>
      </c>
      <c r="AL71" s="2">
        <f t="shared" si="24"/>
        <v>14671.84</v>
      </c>
      <c r="AM71" s="2">
        <f t="shared" si="24"/>
        <v>0</v>
      </c>
      <c r="AN71" s="2">
        <f t="shared" si="24"/>
        <v>0</v>
      </c>
      <c r="AO71" s="2">
        <f t="shared" si="24"/>
        <v>0</v>
      </c>
      <c r="AP71" s="2">
        <f t="shared" si="24"/>
        <v>0</v>
      </c>
      <c r="AQ71" s="2">
        <f t="shared" si="24"/>
        <v>0</v>
      </c>
      <c r="AR71" s="2">
        <f t="shared" si="24"/>
        <v>159978.74</v>
      </c>
      <c r="AS71" s="2">
        <f t="shared" si="24"/>
        <v>138489.82999999999</v>
      </c>
      <c r="AT71" s="2">
        <f t="shared" si="24"/>
        <v>10404.65</v>
      </c>
      <c r="AU71" s="2">
        <f t="shared" ref="AU71:BZ71" si="25">AU120</f>
        <v>11084.26</v>
      </c>
      <c r="AV71" s="2">
        <f t="shared" si="25"/>
        <v>74534.429999999993</v>
      </c>
      <c r="AW71" s="2">
        <f t="shared" si="25"/>
        <v>74534.429999999993</v>
      </c>
      <c r="AX71" s="2">
        <f t="shared" si="25"/>
        <v>0</v>
      </c>
      <c r="AY71" s="2">
        <f t="shared" si="25"/>
        <v>74534.429999999993</v>
      </c>
      <c r="AZ71" s="2">
        <f t="shared" si="25"/>
        <v>0</v>
      </c>
      <c r="BA71" s="2">
        <f t="shared" si="25"/>
        <v>0</v>
      </c>
      <c r="BB71" s="2">
        <f t="shared" si="25"/>
        <v>0</v>
      </c>
      <c r="BC71" s="2">
        <f t="shared" si="25"/>
        <v>0</v>
      </c>
      <c r="BD71" s="2">
        <f t="shared" si="25"/>
        <v>0</v>
      </c>
      <c r="BE71" s="2">
        <f t="shared" si="25"/>
        <v>0</v>
      </c>
      <c r="BF71" s="2">
        <f t="shared" si="25"/>
        <v>0</v>
      </c>
      <c r="BG71" s="2">
        <f t="shared" si="25"/>
        <v>0</v>
      </c>
      <c r="BH71" s="2">
        <f t="shared" si="25"/>
        <v>0</v>
      </c>
      <c r="BI71" s="2">
        <f t="shared" si="25"/>
        <v>0</v>
      </c>
      <c r="BJ71" s="2">
        <f t="shared" si="25"/>
        <v>0</v>
      </c>
      <c r="BK71" s="2">
        <f t="shared" si="25"/>
        <v>0</v>
      </c>
      <c r="BL71" s="2">
        <f t="shared" si="25"/>
        <v>0</v>
      </c>
      <c r="BM71" s="2">
        <f t="shared" si="25"/>
        <v>0</v>
      </c>
      <c r="BN71" s="2">
        <f t="shared" si="25"/>
        <v>0</v>
      </c>
      <c r="BO71" s="2">
        <f t="shared" si="25"/>
        <v>0</v>
      </c>
      <c r="BP71" s="2">
        <f t="shared" si="25"/>
        <v>0</v>
      </c>
      <c r="BQ71" s="2">
        <f t="shared" si="25"/>
        <v>0</v>
      </c>
      <c r="BR71" s="2">
        <f t="shared" si="25"/>
        <v>0</v>
      </c>
      <c r="BS71" s="2">
        <f t="shared" si="25"/>
        <v>0</v>
      </c>
      <c r="BT71" s="2">
        <f t="shared" si="25"/>
        <v>0</v>
      </c>
      <c r="BU71" s="2">
        <f t="shared" si="25"/>
        <v>0</v>
      </c>
      <c r="BV71" s="2">
        <f t="shared" si="25"/>
        <v>0</v>
      </c>
      <c r="BW71" s="2">
        <f t="shared" si="25"/>
        <v>0</v>
      </c>
      <c r="BX71" s="2">
        <f t="shared" si="25"/>
        <v>0</v>
      </c>
      <c r="BY71" s="2">
        <f t="shared" si="25"/>
        <v>0</v>
      </c>
      <c r="BZ71" s="2">
        <f t="shared" si="25"/>
        <v>0</v>
      </c>
      <c r="CA71" s="2">
        <f t="shared" ref="CA71:DF71" si="26">CA120</f>
        <v>159978.74</v>
      </c>
      <c r="CB71" s="2">
        <f t="shared" si="26"/>
        <v>138489.82999999999</v>
      </c>
      <c r="CC71" s="2">
        <f t="shared" si="26"/>
        <v>10404.65</v>
      </c>
      <c r="CD71" s="2">
        <f t="shared" si="26"/>
        <v>11084.26</v>
      </c>
      <c r="CE71" s="2">
        <f t="shared" si="26"/>
        <v>74534.429999999993</v>
      </c>
      <c r="CF71" s="2">
        <f t="shared" si="26"/>
        <v>74534.429999999993</v>
      </c>
      <c r="CG71" s="2">
        <f t="shared" si="26"/>
        <v>0</v>
      </c>
      <c r="CH71" s="2">
        <f t="shared" si="26"/>
        <v>74534.429999999993</v>
      </c>
      <c r="CI71" s="2">
        <f t="shared" si="26"/>
        <v>0</v>
      </c>
      <c r="CJ71" s="2">
        <f t="shared" si="26"/>
        <v>0</v>
      </c>
      <c r="CK71" s="2">
        <f t="shared" si="26"/>
        <v>0</v>
      </c>
      <c r="CL71" s="2">
        <f t="shared" si="26"/>
        <v>0</v>
      </c>
      <c r="CM71" s="2">
        <f t="shared" si="26"/>
        <v>0</v>
      </c>
      <c r="CN71" s="2">
        <f t="shared" si="26"/>
        <v>0</v>
      </c>
      <c r="CO71" s="2">
        <f t="shared" si="26"/>
        <v>0</v>
      </c>
      <c r="CP71" s="2">
        <f t="shared" si="26"/>
        <v>0</v>
      </c>
      <c r="CQ71" s="2">
        <f t="shared" si="26"/>
        <v>0</v>
      </c>
      <c r="CR71" s="2">
        <f t="shared" si="26"/>
        <v>0</v>
      </c>
      <c r="CS71" s="2">
        <f t="shared" si="26"/>
        <v>0</v>
      </c>
      <c r="CT71" s="2">
        <f t="shared" si="26"/>
        <v>0</v>
      </c>
      <c r="CU71" s="2">
        <f t="shared" si="26"/>
        <v>0</v>
      </c>
      <c r="CV71" s="2">
        <f t="shared" si="26"/>
        <v>0</v>
      </c>
      <c r="CW71" s="2">
        <f t="shared" si="26"/>
        <v>0</v>
      </c>
      <c r="CX71" s="2">
        <f t="shared" si="26"/>
        <v>0</v>
      </c>
      <c r="CY71" s="2">
        <f t="shared" si="26"/>
        <v>0</v>
      </c>
      <c r="CZ71" s="2">
        <f t="shared" si="26"/>
        <v>0</v>
      </c>
      <c r="DA71" s="2">
        <f t="shared" si="26"/>
        <v>0</v>
      </c>
      <c r="DB71" s="2">
        <f t="shared" si="26"/>
        <v>0</v>
      </c>
      <c r="DC71" s="2">
        <f t="shared" si="26"/>
        <v>0</v>
      </c>
      <c r="DD71" s="2">
        <f t="shared" si="26"/>
        <v>0</v>
      </c>
      <c r="DE71" s="2">
        <f t="shared" si="26"/>
        <v>0</v>
      </c>
      <c r="DF71" s="2">
        <f t="shared" si="26"/>
        <v>0</v>
      </c>
      <c r="DG71" s="3">
        <f t="shared" ref="DG71:EL71" si="27">DG120</f>
        <v>0</v>
      </c>
      <c r="DH71" s="3">
        <f t="shared" si="27"/>
        <v>0</v>
      </c>
      <c r="DI71" s="3">
        <f t="shared" si="27"/>
        <v>0</v>
      </c>
      <c r="DJ71" s="3">
        <f t="shared" si="27"/>
        <v>0</v>
      </c>
      <c r="DK71" s="3">
        <f t="shared" si="27"/>
        <v>0</v>
      </c>
      <c r="DL71" s="3">
        <f t="shared" si="27"/>
        <v>0</v>
      </c>
      <c r="DM71" s="3">
        <f t="shared" si="27"/>
        <v>0</v>
      </c>
      <c r="DN71" s="3">
        <f t="shared" si="27"/>
        <v>0</v>
      </c>
      <c r="DO71" s="3">
        <f t="shared" si="27"/>
        <v>0</v>
      </c>
      <c r="DP71" s="3">
        <f t="shared" si="27"/>
        <v>0</v>
      </c>
      <c r="DQ71" s="3">
        <f t="shared" si="27"/>
        <v>0</v>
      </c>
      <c r="DR71" s="3">
        <f t="shared" si="27"/>
        <v>0</v>
      </c>
      <c r="DS71" s="3">
        <f t="shared" si="27"/>
        <v>0</v>
      </c>
      <c r="DT71" s="3">
        <f t="shared" si="27"/>
        <v>0</v>
      </c>
      <c r="DU71" s="3">
        <f t="shared" si="27"/>
        <v>0</v>
      </c>
      <c r="DV71" s="3">
        <f t="shared" si="27"/>
        <v>0</v>
      </c>
      <c r="DW71" s="3">
        <f t="shared" si="27"/>
        <v>0</v>
      </c>
      <c r="DX71" s="3">
        <f t="shared" si="27"/>
        <v>0</v>
      </c>
      <c r="DY71" s="3">
        <f t="shared" si="27"/>
        <v>0</v>
      </c>
      <c r="DZ71" s="3">
        <f t="shared" si="27"/>
        <v>0</v>
      </c>
      <c r="EA71" s="3">
        <f t="shared" si="27"/>
        <v>0</v>
      </c>
      <c r="EB71" s="3">
        <f t="shared" si="27"/>
        <v>0</v>
      </c>
      <c r="EC71" s="3">
        <f t="shared" si="27"/>
        <v>0</v>
      </c>
      <c r="ED71" s="3">
        <f t="shared" si="27"/>
        <v>0</v>
      </c>
      <c r="EE71" s="3">
        <f t="shared" si="27"/>
        <v>0</v>
      </c>
      <c r="EF71" s="3">
        <f t="shared" si="27"/>
        <v>0</v>
      </c>
      <c r="EG71" s="3">
        <f t="shared" si="27"/>
        <v>0</v>
      </c>
      <c r="EH71" s="3">
        <f t="shared" si="27"/>
        <v>0</v>
      </c>
      <c r="EI71" s="3">
        <f t="shared" si="27"/>
        <v>0</v>
      </c>
      <c r="EJ71" s="3">
        <f t="shared" si="27"/>
        <v>0</v>
      </c>
      <c r="EK71" s="3">
        <f t="shared" si="27"/>
        <v>0</v>
      </c>
      <c r="EL71" s="3">
        <f t="shared" si="27"/>
        <v>0</v>
      </c>
      <c r="EM71" s="3">
        <f t="shared" ref="EM71:FR71" si="28">EM120</f>
        <v>0</v>
      </c>
      <c r="EN71" s="3">
        <f t="shared" si="28"/>
        <v>0</v>
      </c>
      <c r="EO71" s="3">
        <f t="shared" si="28"/>
        <v>0</v>
      </c>
      <c r="EP71" s="3">
        <f t="shared" si="28"/>
        <v>0</v>
      </c>
      <c r="EQ71" s="3">
        <f t="shared" si="28"/>
        <v>0</v>
      </c>
      <c r="ER71" s="3">
        <f t="shared" si="28"/>
        <v>0</v>
      </c>
      <c r="ES71" s="3">
        <f t="shared" si="28"/>
        <v>0</v>
      </c>
      <c r="ET71" s="3">
        <f t="shared" si="28"/>
        <v>0</v>
      </c>
      <c r="EU71" s="3">
        <f t="shared" si="28"/>
        <v>0</v>
      </c>
      <c r="EV71" s="3">
        <f t="shared" si="28"/>
        <v>0</v>
      </c>
      <c r="EW71" s="3">
        <f t="shared" si="28"/>
        <v>0</v>
      </c>
      <c r="EX71" s="3">
        <f t="shared" si="28"/>
        <v>0</v>
      </c>
      <c r="EY71" s="3">
        <f t="shared" si="28"/>
        <v>0</v>
      </c>
      <c r="EZ71" s="3">
        <f t="shared" si="28"/>
        <v>0</v>
      </c>
      <c r="FA71" s="3">
        <f t="shared" si="28"/>
        <v>0</v>
      </c>
      <c r="FB71" s="3">
        <f t="shared" si="28"/>
        <v>0</v>
      </c>
      <c r="FC71" s="3">
        <f t="shared" si="28"/>
        <v>0</v>
      </c>
      <c r="FD71" s="3">
        <f t="shared" si="28"/>
        <v>0</v>
      </c>
      <c r="FE71" s="3">
        <f t="shared" si="28"/>
        <v>0</v>
      </c>
      <c r="FF71" s="3">
        <f t="shared" si="28"/>
        <v>0</v>
      </c>
      <c r="FG71" s="3">
        <f t="shared" si="28"/>
        <v>0</v>
      </c>
      <c r="FH71" s="3">
        <f t="shared" si="28"/>
        <v>0</v>
      </c>
      <c r="FI71" s="3">
        <f t="shared" si="28"/>
        <v>0</v>
      </c>
      <c r="FJ71" s="3">
        <f t="shared" si="28"/>
        <v>0</v>
      </c>
      <c r="FK71" s="3">
        <f t="shared" si="28"/>
        <v>0</v>
      </c>
      <c r="FL71" s="3">
        <f t="shared" si="28"/>
        <v>0</v>
      </c>
      <c r="FM71" s="3">
        <f t="shared" si="28"/>
        <v>0</v>
      </c>
      <c r="FN71" s="3">
        <f t="shared" si="28"/>
        <v>0</v>
      </c>
      <c r="FO71" s="3">
        <f t="shared" si="28"/>
        <v>0</v>
      </c>
      <c r="FP71" s="3">
        <f t="shared" si="28"/>
        <v>0</v>
      </c>
      <c r="FQ71" s="3">
        <f t="shared" si="28"/>
        <v>0</v>
      </c>
      <c r="FR71" s="3">
        <f t="shared" si="28"/>
        <v>0</v>
      </c>
      <c r="FS71" s="3">
        <f t="shared" ref="FS71:GX71" si="29">FS120</f>
        <v>0</v>
      </c>
      <c r="FT71" s="3">
        <f t="shared" si="29"/>
        <v>0</v>
      </c>
      <c r="FU71" s="3">
        <f t="shared" si="29"/>
        <v>0</v>
      </c>
      <c r="FV71" s="3">
        <f t="shared" si="29"/>
        <v>0</v>
      </c>
      <c r="FW71" s="3">
        <f t="shared" si="29"/>
        <v>0</v>
      </c>
      <c r="FX71" s="3">
        <f t="shared" si="29"/>
        <v>0</v>
      </c>
      <c r="FY71" s="3">
        <f t="shared" si="29"/>
        <v>0</v>
      </c>
      <c r="FZ71" s="3">
        <f t="shared" si="29"/>
        <v>0</v>
      </c>
      <c r="GA71" s="3">
        <f t="shared" si="29"/>
        <v>0</v>
      </c>
      <c r="GB71" s="3">
        <f t="shared" si="29"/>
        <v>0</v>
      </c>
      <c r="GC71" s="3">
        <f t="shared" si="29"/>
        <v>0</v>
      </c>
      <c r="GD71" s="3">
        <f t="shared" si="29"/>
        <v>0</v>
      </c>
      <c r="GE71" s="3">
        <f t="shared" si="29"/>
        <v>0</v>
      </c>
      <c r="GF71" s="3">
        <f t="shared" si="29"/>
        <v>0</v>
      </c>
      <c r="GG71" s="3">
        <f t="shared" si="29"/>
        <v>0</v>
      </c>
      <c r="GH71" s="3">
        <f t="shared" si="29"/>
        <v>0</v>
      </c>
      <c r="GI71" s="3">
        <f t="shared" si="29"/>
        <v>0</v>
      </c>
      <c r="GJ71" s="3">
        <f t="shared" si="29"/>
        <v>0</v>
      </c>
      <c r="GK71" s="3">
        <f t="shared" si="29"/>
        <v>0</v>
      </c>
      <c r="GL71" s="3">
        <f t="shared" si="29"/>
        <v>0</v>
      </c>
      <c r="GM71" s="3">
        <f t="shared" si="29"/>
        <v>0</v>
      </c>
      <c r="GN71" s="3">
        <f t="shared" si="29"/>
        <v>0</v>
      </c>
      <c r="GO71" s="3">
        <f t="shared" si="29"/>
        <v>0</v>
      </c>
      <c r="GP71" s="3">
        <f t="shared" si="29"/>
        <v>0</v>
      </c>
      <c r="GQ71" s="3">
        <f t="shared" si="29"/>
        <v>0</v>
      </c>
      <c r="GR71" s="3">
        <f t="shared" si="29"/>
        <v>0</v>
      </c>
      <c r="GS71" s="3">
        <f t="shared" si="29"/>
        <v>0</v>
      </c>
      <c r="GT71" s="3">
        <f t="shared" si="29"/>
        <v>0</v>
      </c>
      <c r="GU71" s="3">
        <f t="shared" si="29"/>
        <v>0</v>
      </c>
      <c r="GV71" s="3">
        <f t="shared" si="29"/>
        <v>0</v>
      </c>
      <c r="GW71" s="3">
        <f t="shared" si="29"/>
        <v>0</v>
      </c>
      <c r="GX71" s="3">
        <f t="shared" si="29"/>
        <v>0</v>
      </c>
    </row>
    <row r="73" spans="1:245" x14ac:dyDescent="0.2">
      <c r="A73">
        <v>17</v>
      </c>
      <c r="B73">
        <v>1</v>
      </c>
      <c r="C73">
        <f>ROW(SmtRes!A9)</f>
        <v>9</v>
      </c>
      <c r="D73">
        <f>ROW(EtalonRes!A9)</f>
        <v>9</v>
      </c>
      <c r="E73" t="s">
        <v>95</v>
      </c>
      <c r="F73" t="s">
        <v>96</v>
      </c>
      <c r="G73" t="s">
        <v>97</v>
      </c>
      <c r="H73" t="s">
        <v>98</v>
      </c>
      <c r="I73">
        <v>2</v>
      </c>
      <c r="J73">
        <v>0</v>
      </c>
      <c r="K73">
        <v>2</v>
      </c>
      <c r="O73">
        <f t="shared" ref="O73:O108" si="30">ROUND(CP73,2)</f>
        <v>1430.91</v>
      </c>
      <c r="P73">
        <f t="shared" ref="P73:P108" si="31">ROUND(CQ73*I73,2)</f>
        <v>0</v>
      </c>
      <c r="Q73">
        <f t="shared" ref="Q73:Q108" si="32">ROUND(CR73*I73,2)</f>
        <v>1193.9000000000001</v>
      </c>
      <c r="R73">
        <f t="shared" ref="R73:R108" si="33">ROUND(CS73*I73,2)</f>
        <v>409.84</v>
      </c>
      <c r="S73">
        <f t="shared" ref="S73:S108" si="34">ROUND(CT73*I73,2)</f>
        <v>237.01</v>
      </c>
      <c r="T73">
        <f t="shared" ref="T73:T108" si="35">ROUND(CU73*I73,2)</f>
        <v>0</v>
      </c>
      <c r="U73">
        <f t="shared" ref="U73:U108" si="36">CV73*I73</f>
        <v>0.88</v>
      </c>
      <c r="V73">
        <f t="shared" ref="V73:V108" si="37">CW73*I73</f>
        <v>0.96</v>
      </c>
      <c r="W73">
        <f t="shared" ref="W73:W108" si="38">ROUND(CX73*I73,2)</f>
        <v>0</v>
      </c>
      <c r="X73">
        <f t="shared" ref="X73:X108" si="39">ROUND(CY73,2)</f>
        <v>666.26</v>
      </c>
      <c r="Y73">
        <f t="shared" ref="Y73:Y108" si="40">ROUND(CZ73,2)</f>
        <v>388.11</v>
      </c>
      <c r="AA73">
        <v>84186534</v>
      </c>
      <c r="AB73">
        <f t="shared" ref="AB73:AB108" si="41">ROUND((AC73+AD73+AF73),2)</f>
        <v>51.54</v>
      </c>
      <c r="AC73">
        <f t="shared" ref="AC73:AC108" si="42">ROUND((ES73),2)</f>
        <v>0</v>
      </c>
      <c r="AD73">
        <f t="shared" ref="AD73:AD108" si="43">ROUND((((ET73)-(EU73))+AE73),2)</f>
        <v>48.18</v>
      </c>
      <c r="AE73">
        <f t="shared" ref="AE73:AE108" si="44">ROUND((EU73),2)</f>
        <v>5.81</v>
      </c>
      <c r="AF73">
        <f t="shared" ref="AF73:AF108" si="45">ROUND((EV73),2)</f>
        <v>3.36</v>
      </c>
      <c r="AG73">
        <f t="shared" ref="AG73:AG108" si="46">ROUND((AP73),2)</f>
        <v>0</v>
      </c>
      <c r="AH73">
        <f t="shared" ref="AH73:AH108" si="47">(EW73)</f>
        <v>0.44</v>
      </c>
      <c r="AI73">
        <f t="shared" ref="AI73:AI108" si="48">(EX73)</f>
        <v>0.48</v>
      </c>
      <c r="AJ73">
        <f t="shared" ref="AJ73:AJ108" si="49">(AS73)</f>
        <v>0</v>
      </c>
      <c r="AK73">
        <v>51.54</v>
      </c>
      <c r="AL73">
        <v>0</v>
      </c>
      <c r="AM73">
        <v>48.18</v>
      </c>
      <c r="AN73">
        <v>5.81</v>
      </c>
      <c r="AO73">
        <v>3.36</v>
      </c>
      <c r="AP73">
        <v>0</v>
      </c>
      <c r="AQ73">
        <v>0.44</v>
      </c>
      <c r="AR73">
        <v>0.48</v>
      </c>
      <c r="AS73">
        <v>0</v>
      </c>
      <c r="AT73">
        <v>103</v>
      </c>
      <c r="AU73">
        <v>60</v>
      </c>
      <c r="AV73">
        <v>1</v>
      </c>
      <c r="AW73">
        <v>1</v>
      </c>
      <c r="AZ73">
        <v>1</v>
      </c>
      <c r="BA73">
        <v>35.270000000000003</v>
      </c>
      <c r="BB73">
        <v>12.39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1</v>
      </c>
      <c r="BJ73" t="s">
        <v>99</v>
      </c>
      <c r="BM73">
        <v>33001</v>
      </c>
      <c r="BN73">
        <v>0</v>
      </c>
      <c r="BO73" t="s">
        <v>96</v>
      </c>
      <c r="BP73">
        <v>1</v>
      </c>
      <c r="BQ73">
        <v>2</v>
      </c>
      <c r="BR73">
        <v>0</v>
      </c>
      <c r="BS73">
        <v>35.270000000000003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103</v>
      </c>
      <c r="CA73">
        <v>60</v>
      </c>
      <c r="CB73" t="s">
        <v>3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ref="CP73:CP108" si="50">(P73+Q73+S73)</f>
        <v>1430.91</v>
      </c>
      <c r="CQ73">
        <f t="shared" ref="CQ73:CQ108" si="51">AC73*BC73</f>
        <v>0</v>
      </c>
      <c r="CR73">
        <f t="shared" ref="CR73:CR108" si="52">(((ET73)*BB73-(EU73)*BS73)+AE73*BS73)</f>
        <v>596.9502</v>
      </c>
      <c r="CS73">
        <f t="shared" ref="CS73:CS108" si="53">AE73*BS73</f>
        <v>204.9187</v>
      </c>
      <c r="CT73">
        <f t="shared" ref="CT73:CT108" si="54">AF73*BA73</f>
        <v>118.50720000000001</v>
      </c>
      <c r="CU73">
        <f t="shared" ref="CU73:CU108" si="55">AG73</f>
        <v>0</v>
      </c>
      <c r="CV73">
        <f t="shared" ref="CV73:CV108" si="56">AH73</f>
        <v>0.44</v>
      </c>
      <c r="CW73">
        <f t="shared" ref="CW73:CW108" si="57">AI73</f>
        <v>0.48</v>
      </c>
      <c r="CX73">
        <f t="shared" ref="CX73:CX108" si="58">AJ73</f>
        <v>0</v>
      </c>
      <c r="CY73">
        <f t="shared" ref="CY73:CY84" si="59">(((S73+R73)*AT73)/100)</f>
        <v>666.25549999999987</v>
      </c>
      <c r="CZ73">
        <f t="shared" ref="CZ73:CZ84" si="60">(((S73+R73)*AU73)/100)</f>
        <v>388.1099999999999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1013</v>
      </c>
      <c r="DV73" t="s">
        <v>98</v>
      </c>
      <c r="DW73" t="s">
        <v>98</v>
      </c>
      <c r="DX73">
        <v>1</v>
      </c>
      <c r="DZ73" t="s">
        <v>3</v>
      </c>
      <c r="EA73" t="s">
        <v>3</v>
      </c>
      <c r="EB73" t="s">
        <v>3</v>
      </c>
      <c r="EC73" t="s">
        <v>3</v>
      </c>
      <c r="EE73">
        <v>79401925</v>
      </c>
      <c r="EF73">
        <v>2</v>
      </c>
      <c r="EG73" t="s">
        <v>19</v>
      </c>
      <c r="EH73">
        <v>27</v>
      </c>
      <c r="EI73" t="s">
        <v>20</v>
      </c>
      <c r="EJ73">
        <v>1</v>
      </c>
      <c r="EK73">
        <v>33001</v>
      </c>
      <c r="EL73" t="s">
        <v>20</v>
      </c>
      <c r="EM73" t="s">
        <v>21</v>
      </c>
      <c r="EO73" t="s">
        <v>3</v>
      </c>
      <c r="EQ73">
        <v>0</v>
      </c>
      <c r="ER73">
        <v>51.54</v>
      </c>
      <c r="ES73">
        <v>0</v>
      </c>
      <c r="ET73">
        <v>48.18</v>
      </c>
      <c r="EU73">
        <v>5.81</v>
      </c>
      <c r="EV73">
        <v>3.36</v>
      </c>
      <c r="EW73">
        <v>0.44</v>
      </c>
      <c r="EX73">
        <v>0.48</v>
      </c>
      <c r="EY73">
        <v>0</v>
      </c>
      <c r="FQ73">
        <v>0</v>
      </c>
      <c r="FR73">
        <f t="shared" ref="FR73:FR108" si="61">ROUND(IF(BI73=3,GM73,0),2)</f>
        <v>0</v>
      </c>
      <c r="FS73">
        <v>0</v>
      </c>
      <c r="FX73">
        <v>103</v>
      </c>
      <c r="FY73">
        <v>60</v>
      </c>
      <c r="GA73" t="s">
        <v>3</v>
      </c>
      <c r="GD73">
        <v>1</v>
      </c>
      <c r="GF73">
        <v>-2009834751</v>
      </c>
      <c r="GG73">
        <v>2</v>
      </c>
      <c r="GH73">
        <v>1</v>
      </c>
      <c r="GI73">
        <v>2</v>
      </c>
      <c r="GJ73">
        <v>0</v>
      </c>
      <c r="GK73">
        <v>0</v>
      </c>
      <c r="GL73">
        <f t="shared" ref="GL73:GL108" si="62">ROUND(IF(AND(BH73=3,BI73=3,FS73&lt;&gt;0),P73,0),2)</f>
        <v>0</v>
      </c>
      <c r="GM73">
        <f t="shared" ref="GM73:GM108" si="63">ROUND(O73+X73+Y73,2)+GX73</f>
        <v>2485.2800000000002</v>
      </c>
      <c r="GN73">
        <f t="shared" ref="GN73:GN108" si="64">IF(OR(BI73=0,BI73=1),GM73,0)</f>
        <v>2485.2800000000002</v>
      </c>
      <c r="GO73">
        <f t="shared" ref="GO73:GO108" si="65">IF(BI73=2,GM73,0)</f>
        <v>0</v>
      </c>
      <c r="GP73">
        <f t="shared" ref="GP73:GP108" si="66">IF(BI73=4,GM73+GX73,0)</f>
        <v>0</v>
      </c>
      <c r="GR73">
        <v>0</v>
      </c>
      <c r="GS73">
        <v>3</v>
      </c>
      <c r="GT73">
        <v>0</v>
      </c>
      <c r="GU73" t="s">
        <v>3</v>
      </c>
      <c r="GV73">
        <f t="shared" ref="GV73:GV108" si="67">ROUND((GT73),2)</f>
        <v>0</v>
      </c>
      <c r="GW73">
        <v>1</v>
      </c>
      <c r="GX73">
        <f t="shared" ref="GX73:GX108" si="68">ROUND(HC73*I73,2)</f>
        <v>0</v>
      </c>
      <c r="HA73">
        <v>0</v>
      </c>
      <c r="HB73">
        <v>0</v>
      </c>
      <c r="HC73">
        <f t="shared" ref="HC73:HC108" si="69">GV73*GW73</f>
        <v>0</v>
      </c>
      <c r="HE73" t="s">
        <v>3</v>
      </c>
      <c r="HF73" t="s">
        <v>3</v>
      </c>
      <c r="HM73" t="s">
        <v>3</v>
      </c>
      <c r="HN73" t="s">
        <v>22</v>
      </c>
      <c r="HO73" t="s">
        <v>23</v>
      </c>
      <c r="HP73" t="s">
        <v>20</v>
      </c>
      <c r="HQ73" t="s">
        <v>20</v>
      </c>
      <c r="IK73">
        <v>0</v>
      </c>
    </row>
    <row r="74" spans="1:245" x14ac:dyDescent="0.2">
      <c r="A74">
        <v>17</v>
      </c>
      <c r="B74">
        <v>1</v>
      </c>
      <c r="C74">
        <f>ROW(SmtRes!A21)</f>
        <v>21</v>
      </c>
      <c r="D74">
        <f>ROW(EtalonRes!A21)</f>
        <v>21</v>
      </c>
      <c r="E74" t="s">
        <v>100</v>
      </c>
      <c r="F74" t="s">
        <v>101</v>
      </c>
      <c r="G74" t="s">
        <v>102</v>
      </c>
      <c r="H74" t="s">
        <v>103</v>
      </c>
      <c r="I74">
        <f>ROUND(I86,9)</f>
        <v>2.8459999999999999E-2</v>
      </c>
      <c r="J74">
        <v>0</v>
      </c>
      <c r="K74">
        <f>ROUND(I86,9)</f>
        <v>2.8459999999999999E-2</v>
      </c>
      <c r="O74">
        <f t="shared" si="30"/>
        <v>4598.4799999999996</v>
      </c>
      <c r="P74">
        <f t="shared" si="31"/>
        <v>3877.36</v>
      </c>
      <c r="Q74">
        <f t="shared" si="32"/>
        <v>159.82</v>
      </c>
      <c r="R74">
        <f t="shared" si="33"/>
        <v>21.13</v>
      </c>
      <c r="S74">
        <f t="shared" si="34"/>
        <v>561.29999999999995</v>
      </c>
      <c r="T74">
        <f t="shared" si="35"/>
        <v>0</v>
      </c>
      <c r="U74">
        <f t="shared" si="36"/>
        <v>1.7702120000000001</v>
      </c>
      <c r="V74">
        <f t="shared" si="37"/>
        <v>4.9520399999999999E-2</v>
      </c>
      <c r="W74">
        <f t="shared" si="38"/>
        <v>0</v>
      </c>
      <c r="X74">
        <f t="shared" si="39"/>
        <v>564.96</v>
      </c>
      <c r="Y74">
        <f t="shared" si="40"/>
        <v>297.04000000000002</v>
      </c>
      <c r="AA74">
        <v>84186534</v>
      </c>
      <c r="AB74">
        <f t="shared" si="41"/>
        <v>13270.76</v>
      </c>
      <c r="AC74">
        <f t="shared" si="42"/>
        <v>12196.85</v>
      </c>
      <c r="AD74">
        <f t="shared" si="43"/>
        <v>514.73</v>
      </c>
      <c r="AE74">
        <f t="shared" si="44"/>
        <v>21.05</v>
      </c>
      <c r="AF74">
        <f t="shared" si="45"/>
        <v>559.17999999999995</v>
      </c>
      <c r="AG74">
        <f t="shared" si="46"/>
        <v>0</v>
      </c>
      <c r="AH74">
        <f t="shared" si="47"/>
        <v>62.2</v>
      </c>
      <c r="AI74">
        <f t="shared" si="48"/>
        <v>1.74</v>
      </c>
      <c r="AJ74">
        <f t="shared" si="49"/>
        <v>0</v>
      </c>
      <c r="AK74">
        <v>13270.76</v>
      </c>
      <c r="AL74">
        <v>12196.85</v>
      </c>
      <c r="AM74">
        <v>514.73</v>
      </c>
      <c r="AN74">
        <v>21.05</v>
      </c>
      <c r="AO74">
        <v>559.17999999999995</v>
      </c>
      <c r="AP74">
        <v>0</v>
      </c>
      <c r="AQ74">
        <v>62.2</v>
      </c>
      <c r="AR74">
        <v>1.74</v>
      </c>
      <c r="AS74">
        <v>0</v>
      </c>
      <c r="AT74">
        <v>97</v>
      </c>
      <c r="AU74">
        <v>51</v>
      </c>
      <c r="AV74">
        <v>1</v>
      </c>
      <c r="AW74">
        <v>1</v>
      </c>
      <c r="AZ74">
        <v>1</v>
      </c>
      <c r="BA74">
        <v>35.270000000000003</v>
      </c>
      <c r="BB74">
        <v>10.91</v>
      </c>
      <c r="BC74">
        <v>11.17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2</v>
      </c>
      <c r="BJ74" t="s">
        <v>104</v>
      </c>
      <c r="BM74">
        <v>108001</v>
      </c>
      <c r="BN74">
        <v>0</v>
      </c>
      <c r="BO74" t="s">
        <v>101</v>
      </c>
      <c r="BP74">
        <v>1</v>
      </c>
      <c r="BQ74">
        <v>3</v>
      </c>
      <c r="BR74">
        <v>0</v>
      </c>
      <c r="BS74">
        <v>35.270000000000003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97</v>
      </c>
      <c r="CA74">
        <v>51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50"/>
        <v>4598.4800000000005</v>
      </c>
      <c r="CQ74">
        <f t="shared" si="51"/>
        <v>136238.81450000001</v>
      </c>
      <c r="CR74">
        <f t="shared" si="52"/>
        <v>5615.7043000000003</v>
      </c>
      <c r="CS74">
        <f t="shared" si="53"/>
        <v>742.43350000000009</v>
      </c>
      <c r="CT74">
        <f t="shared" si="54"/>
        <v>19722.278600000001</v>
      </c>
      <c r="CU74">
        <f t="shared" si="55"/>
        <v>0</v>
      </c>
      <c r="CV74">
        <f t="shared" si="56"/>
        <v>62.2</v>
      </c>
      <c r="CW74">
        <f t="shared" si="57"/>
        <v>1.74</v>
      </c>
      <c r="CX74">
        <f t="shared" si="58"/>
        <v>0</v>
      </c>
      <c r="CY74">
        <f t="shared" si="59"/>
        <v>564.95709999999997</v>
      </c>
      <c r="CZ74">
        <f t="shared" si="60"/>
        <v>297.03929999999997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1013</v>
      </c>
      <c r="DV74" t="s">
        <v>103</v>
      </c>
      <c r="DW74" t="s">
        <v>103</v>
      </c>
      <c r="DX74">
        <v>1</v>
      </c>
      <c r="DZ74" t="s">
        <v>3</v>
      </c>
      <c r="EA74" t="s">
        <v>3</v>
      </c>
      <c r="EB74" t="s">
        <v>3</v>
      </c>
      <c r="EC74" t="s">
        <v>3</v>
      </c>
      <c r="EE74">
        <v>79401673</v>
      </c>
      <c r="EF74">
        <v>3</v>
      </c>
      <c r="EG74" t="s">
        <v>105</v>
      </c>
      <c r="EH74">
        <v>0</v>
      </c>
      <c r="EI74" t="s">
        <v>3</v>
      </c>
      <c r="EJ74">
        <v>2</v>
      </c>
      <c r="EK74">
        <v>108001</v>
      </c>
      <c r="EL74" t="s">
        <v>106</v>
      </c>
      <c r="EM74" t="s">
        <v>107</v>
      </c>
      <c r="EO74" t="s">
        <v>3</v>
      </c>
      <c r="EQ74">
        <v>0</v>
      </c>
      <c r="ER74">
        <v>13270.76</v>
      </c>
      <c r="ES74">
        <v>12196.85</v>
      </c>
      <c r="ET74">
        <v>514.73</v>
      </c>
      <c r="EU74">
        <v>21.05</v>
      </c>
      <c r="EV74">
        <v>559.17999999999995</v>
      </c>
      <c r="EW74">
        <v>62.2</v>
      </c>
      <c r="EX74">
        <v>1.74</v>
      </c>
      <c r="EY74">
        <v>0</v>
      </c>
      <c r="FQ74">
        <v>0</v>
      </c>
      <c r="FR74">
        <f t="shared" si="61"/>
        <v>0</v>
      </c>
      <c r="FS74">
        <v>0</v>
      </c>
      <c r="FX74">
        <v>97</v>
      </c>
      <c r="FY74">
        <v>51</v>
      </c>
      <c r="GA74" t="s">
        <v>3</v>
      </c>
      <c r="GD74">
        <v>1</v>
      </c>
      <c r="GF74">
        <v>894850987</v>
      </c>
      <c r="GG74">
        <v>2</v>
      </c>
      <c r="GH74">
        <v>1</v>
      </c>
      <c r="GI74">
        <v>2</v>
      </c>
      <c r="GJ74">
        <v>0</v>
      </c>
      <c r="GK74">
        <v>0</v>
      </c>
      <c r="GL74">
        <f t="shared" si="62"/>
        <v>0</v>
      </c>
      <c r="GM74">
        <f t="shared" si="63"/>
        <v>5460.48</v>
      </c>
      <c r="GN74">
        <f t="shared" si="64"/>
        <v>0</v>
      </c>
      <c r="GO74">
        <f t="shared" si="65"/>
        <v>5460.48</v>
      </c>
      <c r="GP74">
        <f t="shared" si="66"/>
        <v>0</v>
      </c>
      <c r="GR74">
        <v>0</v>
      </c>
      <c r="GS74">
        <v>3</v>
      </c>
      <c r="GT74">
        <v>0</v>
      </c>
      <c r="GU74" t="s">
        <v>3</v>
      </c>
      <c r="GV74">
        <f t="shared" si="67"/>
        <v>0</v>
      </c>
      <c r="GW74">
        <v>1</v>
      </c>
      <c r="GX74">
        <f t="shared" si="68"/>
        <v>0</v>
      </c>
      <c r="HA74">
        <v>0</v>
      </c>
      <c r="HB74">
        <v>0</v>
      </c>
      <c r="HC74">
        <f t="shared" si="69"/>
        <v>0</v>
      </c>
      <c r="HE74" t="s">
        <v>3</v>
      </c>
      <c r="HF74" t="s">
        <v>3</v>
      </c>
      <c r="HM74" t="s">
        <v>3</v>
      </c>
      <c r="HN74" t="s">
        <v>108</v>
      </c>
      <c r="HO74" t="s">
        <v>109</v>
      </c>
      <c r="HP74" t="s">
        <v>106</v>
      </c>
      <c r="HQ74" t="s">
        <v>106</v>
      </c>
      <c r="IK74">
        <v>0</v>
      </c>
    </row>
    <row r="75" spans="1:245" x14ac:dyDescent="0.2">
      <c r="A75">
        <v>17</v>
      </c>
      <c r="B75">
        <v>1</v>
      </c>
      <c r="C75">
        <f>ROW(SmtRes!A40)</f>
        <v>40</v>
      </c>
      <c r="D75">
        <f>ROW(EtalonRes!A40)</f>
        <v>40</v>
      </c>
      <c r="E75" t="s">
        <v>110</v>
      </c>
      <c r="F75" t="s">
        <v>111</v>
      </c>
      <c r="G75" t="s">
        <v>112</v>
      </c>
      <c r="H75" t="s">
        <v>98</v>
      </c>
      <c r="I75">
        <v>1</v>
      </c>
      <c r="J75">
        <v>0</v>
      </c>
      <c r="K75">
        <v>1</v>
      </c>
      <c r="O75">
        <f t="shared" si="30"/>
        <v>6988.16</v>
      </c>
      <c r="P75">
        <f t="shared" si="31"/>
        <v>162.16</v>
      </c>
      <c r="Q75">
        <f t="shared" si="32"/>
        <v>4518.99</v>
      </c>
      <c r="R75">
        <f t="shared" si="33"/>
        <v>678.95</v>
      </c>
      <c r="S75">
        <f t="shared" si="34"/>
        <v>2307.0100000000002</v>
      </c>
      <c r="T75">
        <f t="shared" si="35"/>
        <v>0</v>
      </c>
      <c r="U75">
        <f t="shared" si="36"/>
        <v>7.9</v>
      </c>
      <c r="V75">
        <f t="shared" si="37"/>
        <v>1.86</v>
      </c>
      <c r="W75">
        <f t="shared" si="38"/>
        <v>0</v>
      </c>
      <c r="X75">
        <f t="shared" si="39"/>
        <v>3075.54</v>
      </c>
      <c r="Y75">
        <f t="shared" si="40"/>
        <v>1791.58</v>
      </c>
      <c r="AA75">
        <v>84186534</v>
      </c>
      <c r="AB75">
        <f t="shared" si="41"/>
        <v>378.82</v>
      </c>
      <c r="AC75">
        <f t="shared" si="42"/>
        <v>46.33</v>
      </c>
      <c r="AD75">
        <f t="shared" si="43"/>
        <v>267.08</v>
      </c>
      <c r="AE75">
        <f t="shared" si="44"/>
        <v>19.25</v>
      </c>
      <c r="AF75">
        <f t="shared" si="45"/>
        <v>65.41</v>
      </c>
      <c r="AG75">
        <f t="shared" si="46"/>
        <v>0</v>
      </c>
      <c r="AH75">
        <f t="shared" si="47"/>
        <v>7.9</v>
      </c>
      <c r="AI75">
        <f t="shared" si="48"/>
        <v>1.86</v>
      </c>
      <c r="AJ75">
        <f t="shared" si="49"/>
        <v>0</v>
      </c>
      <c r="AK75">
        <v>378.82</v>
      </c>
      <c r="AL75">
        <v>46.33</v>
      </c>
      <c r="AM75">
        <v>267.08</v>
      </c>
      <c r="AN75">
        <v>19.25</v>
      </c>
      <c r="AO75">
        <v>65.41</v>
      </c>
      <c r="AP75">
        <v>0</v>
      </c>
      <c r="AQ75">
        <v>7.9</v>
      </c>
      <c r="AR75">
        <v>1.86</v>
      </c>
      <c r="AS75">
        <v>0</v>
      </c>
      <c r="AT75">
        <v>103</v>
      </c>
      <c r="AU75">
        <v>60</v>
      </c>
      <c r="AV75">
        <v>1</v>
      </c>
      <c r="AW75">
        <v>1</v>
      </c>
      <c r="AZ75">
        <v>1</v>
      </c>
      <c r="BA75">
        <v>35.270000000000003</v>
      </c>
      <c r="BB75">
        <v>16.920000000000002</v>
      </c>
      <c r="BC75">
        <v>3.5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1</v>
      </c>
      <c r="BJ75" t="s">
        <v>113</v>
      </c>
      <c r="BM75">
        <v>33001</v>
      </c>
      <c r="BN75">
        <v>0</v>
      </c>
      <c r="BO75" t="s">
        <v>111</v>
      </c>
      <c r="BP75">
        <v>1</v>
      </c>
      <c r="BQ75">
        <v>2</v>
      </c>
      <c r="BR75">
        <v>0</v>
      </c>
      <c r="BS75">
        <v>35.270000000000003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103</v>
      </c>
      <c r="CA75">
        <v>60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50"/>
        <v>6988.16</v>
      </c>
      <c r="CQ75">
        <f t="shared" si="51"/>
        <v>162.155</v>
      </c>
      <c r="CR75">
        <f t="shared" si="52"/>
        <v>4518.9935999999998</v>
      </c>
      <c r="CS75">
        <f t="shared" si="53"/>
        <v>678.9475000000001</v>
      </c>
      <c r="CT75">
        <f t="shared" si="54"/>
        <v>2307.0107000000003</v>
      </c>
      <c r="CU75">
        <f t="shared" si="55"/>
        <v>0</v>
      </c>
      <c r="CV75">
        <f t="shared" si="56"/>
        <v>7.9</v>
      </c>
      <c r="CW75">
        <f t="shared" si="57"/>
        <v>1.86</v>
      </c>
      <c r="CX75">
        <f t="shared" si="58"/>
        <v>0</v>
      </c>
      <c r="CY75">
        <f t="shared" si="59"/>
        <v>3075.5388000000003</v>
      </c>
      <c r="CZ75">
        <f t="shared" si="60"/>
        <v>1791.576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1013</v>
      </c>
      <c r="DV75" t="s">
        <v>98</v>
      </c>
      <c r="DW75" t="s">
        <v>98</v>
      </c>
      <c r="DX75">
        <v>1</v>
      </c>
      <c r="DZ75" t="s">
        <v>3</v>
      </c>
      <c r="EA75" t="s">
        <v>3</v>
      </c>
      <c r="EB75" t="s">
        <v>3</v>
      </c>
      <c r="EC75" t="s">
        <v>3</v>
      </c>
      <c r="EE75">
        <v>79401925</v>
      </c>
      <c r="EF75">
        <v>2</v>
      </c>
      <c r="EG75" t="s">
        <v>19</v>
      </c>
      <c r="EH75">
        <v>27</v>
      </c>
      <c r="EI75" t="s">
        <v>20</v>
      </c>
      <c r="EJ75">
        <v>1</v>
      </c>
      <c r="EK75">
        <v>33001</v>
      </c>
      <c r="EL75" t="s">
        <v>20</v>
      </c>
      <c r="EM75" t="s">
        <v>21</v>
      </c>
      <c r="EO75" t="s">
        <v>3</v>
      </c>
      <c r="EQ75">
        <v>0</v>
      </c>
      <c r="ER75">
        <v>378.82</v>
      </c>
      <c r="ES75">
        <v>46.33</v>
      </c>
      <c r="ET75">
        <v>267.08</v>
      </c>
      <c r="EU75">
        <v>19.25</v>
      </c>
      <c r="EV75">
        <v>65.41</v>
      </c>
      <c r="EW75">
        <v>7.9</v>
      </c>
      <c r="EX75">
        <v>1.86</v>
      </c>
      <c r="EY75">
        <v>0</v>
      </c>
      <c r="FQ75">
        <v>0</v>
      </c>
      <c r="FR75">
        <f t="shared" si="61"/>
        <v>0</v>
      </c>
      <c r="FS75">
        <v>0</v>
      </c>
      <c r="FX75">
        <v>103</v>
      </c>
      <c r="FY75">
        <v>60</v>
      </c>
      <c r="GA75" t="s">
        <v>3</v>
      </c>
      <c r="GD75">
        <v>1</v>
      </c>
      <c r="GF75">
        <v>1328930238</v>
      </c>
      <c r="GG75">
        <v>2</v>
      </c>
      <c r="GH75">
        <v>1</v>
      </c>
      <c r="GI75">
        <v>2</v>
      </c>
      <c r="GJ75">
        <v>0</v>
      </c>
      <c r="GK75">
        <v>0</v>
      </c>
      <c r="GL75">
        <f t="shared" si="62"/>
        <v>0</v>
      </c>
      <c r="GM75">
        <f t="shared" si="63"/>
        <v>11855.28</v>
      </c>
      <c r="GN75">
        <f t="shared" si="64"/>
        <v>11855.28</v>
      </c>
      <c r="GO75">
        <f t="shared" si="65"/>
        <v>0</v>
      </c>
      <c r="GP75">
        <f t="shared" si="66"/>
        <v>0</v>
      </c>
      <c r="GR75">
        <v>0</v>
      </c>
      <c r="GS75">
        <v>3</v>
      </c>
      <c r="GT75">
        <v>0</v>
      </c>
      <c r="GU75" t="s">
        <v>3</v>
      </c>
      <c r="GV75">
        <f t="shared" si="67"/>
        <v>0</v>
      </c>
      <c r="GW75">
        <v>1</v>
      </c>
      <c r="GX75">
        <f t="shared" si="68"/>
        <v>0</v>
      </c>
      <c r="HA75">
        <v>0</v>
      </c>
      <c r="HB75">
        <v>0</v>
      </c>
      <c r="HC75">
        <f t="shared" si="69"/>
        <v>0</v>
      </c>
      <c r="HE75" t="s">
        <v>3</v>
      </c>
      <c r="HF75" t="s">
        <v>3</v>
      </c>
      <c r="HM75" t="s">
        <v>3</v>
      </c>
      <c r="HN75" t="s">
        <v>22</v>
      </c>
      <c r="HO75" t="s">
        <v>23</v>
      </c>
      <c r="HP75" t="s">
        <v>20</v>
      </c>
      <c r="HQ75" t="s">
        <v>20</v>
      </c>
      <c r="IK75">
        <v>0</v>
      </c>
    </row>
    <row r="76" spans="1:245" x14ac:dyDescent="0.2">
      <c r="A76">
        <v>18</v>
      </c>
      <c r="B76">
        <v>1</v>
      </c>
      <c r="C76">
        <v>28</v>
      </c>
      <c r="E76" t="s">
        <v>114</v>
      </c>
      <c r="F76" t="s">
        <v>115</v>
      </c>
      <c r="G76" t="s">
        <v>116</v>
      </c>
      <c r="H76" t="s">
        <v>117</v>
      </c>
      <c r="I76">
        <f>I75*J76</f>
        <v>0</v>
      </c>
      <c r="J76">
        <v>0</v>
      </c>
      <c r="K76">
        <v>0</v>
      </c>
      <c r="O76">
        <f t="shared" si="30"/>
        <v>0</v>
      </c>
      <c r="P76">
        <f t="shared" si="31"/>
        <v>0</v>
      </c>
      <c r="Q76">
        <f t="shared" si="32"/>
        <v>0</v>
      </c>
      <c r="R76">
        <f t="shared" si="33"/>
        <v>0</v>
      </c>
      <c r="S76">
        <f t="shared" si="34"/>
        <v>0</v>
      </c>
      <c r="T76">
        <f t="shared" si="35"/>
        <v>0</v>
      </c>
      <c r="U76">
        <f t="shared" si="36"/>
        <v>0</v>
      </c>
      <c r="V76">
        <f t="shared" si="37"/>
        <v>0</v>
      </c>
      <c r="W76">
        <f t="shared" si="38"/>
        <v>0</v>
      </c>
      <c r="X76">
        <f t="shared" si="39"/>
        <v>0</v>
      </c>
      <c r="Y76">
        <f t="shared" si="40"/>
        <v>0</v>
      </c>
      <c r="AA76">
        <v>84186534</v>
      </c>
      <c r="AB76">
        <f t="shared" si="41"/>
        <v>9040.01</v>
      </c>
      <c r="AC76">
        <f t="shared" si="42"/>
        <v>9040.01</v>
      </c>
      <c r="AD76">
        <f t="shared" si="43"/>
        <v>0</v>
      </c>
      <c r="AE76">
        <f t="shared" si="44"/>
        <v>0</v>
      </c>
      <c r="AF76">
        <f t="shared" si="45"/>
        <v>0</v>
      </c>
      <c r="AG76">
        <f t="shared" si="46"/>
        <v>0</v>
      </c>
      <c r="AH76">
        <f t="shared" si="47"/>
        <v>0</v>
      </c>
      <c r="AI76">
        <f t="shared" si="48"/>
        <v>0</v>
      </c>
      <c r="AJ76">
        <f t="shared" si="49"/>
        <v>0</v>
      </c>
      <c r="AK76">
        <v>9040.01</v>
      </c>
      <c r="AL76">
        <v>9040.01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103</v>
      </c>
      <c r="AU76">
        <v>60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23.1</v>
      </c>
      <c r="BD76" t="s">
        <v>3</v>
      </c>
      <c r="BE76" t="s">
        <v>3</v>
      </c>
      <c r="BF76" t="s">
        <v>3</v>
      </c>
      <c r="BG76" t="s">
        <v>3</v>
      </c>
      <c r="BH76">
        <v>3</v>
      </c>
      <c r="BI76">
        <v>1</v>
      </c>
      <c r="BJ76" t="s">
        <v>118</v>
      </c>
      <c r="BM76">
        <v>33001</v>
      </c>
      <c r="BN76">
        <v>0</v>
      </c>
      <c r="BO76" t="s">
        <v>115</v>
      </c>
      <c r="BP76">
        <v>1</v>
      </c>
      <c r="BQ76">
        <v>2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103</v>
      </c>
      <c r="CA76">
        <v>60</v>
      </c>
      <c r="CB76" t="s">
        <v>3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50"/>
        <v>0</v>
      </c>
      <c r="CQ76">
        <f t="shared" si="51"/>
        <v>208824.23100000003</v>
      </c>
      <c r="CR76">
        <f t="shared" si="52"/>
        <v>0</v>
      </c>
      <c r="CS76">
        <f t="shared" si="53"/>
        <v>0</v>
      </c>
      <c r="CT76">
        <f t="shared" si="54"/>
        <v>0</v>
      </c>
      <c r="CU76">
        <f t="shared" si="55"/>
        <v>0</v>
      </c>
      <c r="CV76">
        <f t="shared" si="56"/>
        <v>0</v>
      </c>
      <c r="CW76">
        <f t="shared" si="57"/>
        <v>0</v>
      </c>
      <c r="CX76">
        <f t="shared" si="58"/>
        <v>0</v>
      </c>
      <c r="CY76">
        <f t="shared" si="59"/>
        <v>0</v>
      </c>
      <c r="CZ76">
        <f t="shared" si="60"/>
        <v>0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1009</v>
      </c>
      <c r="DV76" t="s">
        <v>117</v>
      </c>
      <c r="DW76" t="s">
        <v>117</v>
      </c>
      <c r="DX76">
        <v>1000</v>
      </c>
      <c r="DZ76" t="s">
        <v>3</v>
      </c>
      <c r="EA76" t="s">
        <v>3</v>
      </c>
      <c r="EB76" t="s">
        <v>3</v>
      </c>
      <c r="EC76" t="s">
        <v>3</v>
      </c>
      <c r="EE76">
        <v>79401925</v>
      </c>
      <c r="EF76">
        <v>2</v>
      </c>
      <c r="EG76" t="s">
        <v>19</v>
      </c>
      <c r="EH76">
        <v>27</v>
      </c>
      <c r="EI76" t="s">
        <v>20</v>
      </c>
      <c r="EJ76">
        <v>1</v>
      </c>
      <c r="EK76">
        <v>33001</v>
      </c>
      <c r="EL76" t="s">
        <v>20</v>
      </c>
      <c r="EM76" t="s">
        <v>21</v>
      </c>
      <c r="EO76" t="s">
        <v>3</v>
      </c>
      <c r="EQ76">
        <v>0</v>
      </c>
      <c r="ER76">
        <v>9040.01</v>
      </c>
      <c r="ES76">
        <v>9040.01</v>
      </c>
      <c r="ET76">
        <v>0</v>
      </c>
      <c r="EU76">
        <v>0</v>
      </c>
      <c r="EV76">
        <v>0</v>
      </c>
      <c r="EW76">
        <v>0</v>
      </c>
      <c r="EX76">
        <v>0</v>
      </c>
      <c r="FQ76">
        <v>0</v>
      </c>
      <c r="FR76">
        <f t="shared" si="61"/>
        <v>0</v>
      </c>
      <c r="FS76">
        <v>0</v>
      </c>
      <c r="FX76">
        <v>103</v>
      </c>
      <c r="FY76">
        <v>60</v>
      </c>
      <c r="GA76" t="s">
        <v>3</v>
      </c>
      <c r="GD76">
        <v>1</v>
      </c>
      <c r="GF76">
        <v>-384985709</v>
      </c>
      <c r="GG76">
        <v>2</v>
      </c>
      <c r="GH76">
        <v>1</v>
      </c>
      <c r="GI76">
        <v>2</v>
      </c>
      <c r="GJ76">
        <v>0</v>
      </c>
      <c r="GK76">
        <v>0</v>
      </c>
      <c r="GL76">
        <f t="shared" si="62"/>
        <v>0</v>
      </c>
      <c r="GM76">
        <f t="shared" si="63"/>
        <v>0</v>
      </c>
      <c r="GN76">
        <f t="shared" si="64"/>
        <v>0</v>
      </c>
      <c r="GO76">
        <f t="shared" si="65"/>
        <v>0</v>
      </c>
      <c r="GP76">
        <f t="shared" si="66"/>
        <v>0</v>
      </c>
      <c r="GR76">
        <v>0</v>
      </c>
      <c r="GS76">
        <v>3</v>
      </c>
      <c r="GT76">
        <v>0</v>
      </c>
      <c r="GU76" t="s">
        <v>3</v>
      </c>
      <c r="GV76">
        <f t="shared" si="67"/>
        <v>0</v>
      </c>
      <c r="GW76">
        <v>1</v>
      </c>
      <c r="GX76">
        <f t="shared" si="68"/>
        <v>0</v>
      </c>
      <c r="HA76">
        <v>0</v>
      </c>
      <c r="HB76">
        <v>0</v>
      </c>
      <c r="HC76">
        <f t="shared" si="69"/>
        <v>0</v>
      </c>
      <c r="HE76" t="s">
        <v>3</v>
      </c>
      <c r="HF76" t="s">
        <v>3</v>
      </c>
      <c r="HM76" t="s">
        <v>3</v>
      </c>
      <c r="HN76" t="s">
        <v>22</v>
      </c>
      <c r="HO76" t="s">
        <v>23</v>
      </c>
      <c r="HP76" t="s">
        <v>20</v>
      </c>
      <c r="HQ76" t="s">
        <v>20</v>
      </c>
      <c r="IK76">
        <v>0</v>
      </c>
    </row>
    <row r="77" spans="1:245" x14ac:dyDescent="0.2">
      <c r="A77">
        <v>18</v>
      </c>
      <c r="B77">
        <v>1</v>
      </c>
      <c r="C77">
        <v>31</v>
      </c>
      <c r="E77" t="s">
        <v>119</v>
      </c>
      <c r="F77" t="s">
        <v>120</v>
      </c>
      <c r="G77" t="s">
        <v>121</v>
      </c>
      <c r="H77" t="s">
        <v>117</v>
      </c>
      <c r="I77">
        <f>I75*J77</f>
        <v>0</v>
      </c>
      <c r="J77">
        <v>0</v>
      </c>
      <c r="K77">
        <v>0</v>
      </c>
      <c r="O77">
        <f t="shared" si="30"/>
        <v>0</v>
      </c>
      <c r="P77">
        <f t="shared" si="31"/>
        <v>0</v>
      </c>
      <c r="Q77">
        <f t="shared" si="32"/>
        <v>0</v>
      </c>
      <c r="R77">
        <f t="shared" si="33"/>
        <v>0</v>
      </c>
      <c r="S77">
        <f t="shared" si="34"/>
        <v>0</v>
      </c>
      <c r="T77">
        <f t="shared" si="35"/>
        <v>0</v>
      </c>
      <c r="U77">
        <f t="shared" si="36"/>
        <v>0</v>
      </c>
      <c r="V77">
        <f t="shared" si="37"/>
        <v>0</v>
      </c>
      <c r="W77">
        <f t="shared" si="38"/>
        <v>0</v>
      </c>
      <c r="X77">
        <f t="shared" si="39"/>
        <v>0</v>
      </c>
      <c r="Y77">
        <f t="shared" si="40"/>
        <v>0</v>
      </c>
      <c r="AA77">
        <v>84186534</v>
      </c>
      <c r="AB77">
        <f t="shared" si="41"/>
        <v>0</v>
      </c>
      <c r="AC77">
        <f t="shared" si="42"/>
        <v>0</v>
      </c>
      <c r="AD77">
        <f t="shared" si="43"/>
        <v>0</v>
      </c>
      <c r="AE77">
        <f t="shared" si="44"/>
        <v>0</v>
      </c>
      <c r="AF77">
        <f t="shared" si="45"/>
        <v>0</v>
      </c>
      <c r="AG77">
        <f t="shared" si="46"/>
        <v>0</v>
      </c>
      <c r="AH77">
        <f t="shared" si="47"/>
        <v>0</v>
      </c>
      <c r="AI77">
        <f t="shared" si="48"/>
        <v>0</v>
      </c>
      <c r="AJ77">
        <f t="shared" si="49"/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103</v>
      </c>
      <c r="AU77">
        <v>60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3</v>
      </c>
      <c r="BI77">
        <v>1</v>
      </c>
      <c r="BJ77" t="s">
        <v>122</v>
      </c>
      <c r="BM77">
        <v>33001</v>
      </c>
      <c r="BN77">
        <v>0</v>
      </c>
      <c r="BO77" t="s">
        <v>3</v>
      </c>
      <c r="BP77">
        <v>0</v>
      </c>
      <c r="BQ77">
        <v>2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103</v>
      </c>
      <c r="CA77">
        <v>60</v>
      </c>
      <c r="CB77" t="s">
        <v>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50"/>
        <v>0</v>
      </c>
      <c r="CQ77">
        <f t="shared" si="51"/>
        <v>0</v>
      </c>
      <c r="CR77">
        <f t="shared" si="52"/>
        <v>0</v>
      </c>
      <c r="CS77">
        <f t="shared" si="53"/>
        <v>0</v>
      </c>
      <c r="CT77">
        <f t="shared" si="54"/>
        <v>0</v>
      </c>
      <c r="CU77">
        <f t="shared" si="55"/>
        <v>0</v>
      </c>
      <c r="CV77">
        <f t="shared" si="56"/>
        <v>0</v>
      </c>
      <c r="CW77">
        <f t="shared" si="57"/>
        <v>0</v>
      </c>
      <c r="CX77">
        <f t="shared" si="58"/>
        <v>0</v>
      </c>
      <c r="CY77">
        <f t="shared" si="59"/>
        <v>0</v>
      </c>
      <c r="CZ77">
        <f t="shared" si="60"/>
        <v>0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1009</v>
      </c>
      <c r="DV77" t="s">
        <v>117</v>
      </c>
      <c r="DW77" t="s">
        <v>117</v>
      </c>
      <c r="DX77">
        <v>1000</v>
      </c>
      <c r="DZ77" t="s">
        <v>3</v>
      </c>
      <c r="EA77" t="s">
        <v>3</v>
      </c>
      <c r="EB77" t="s">
        <v>3</v>
      </c>
      <c r="EC77" t="s">
        <v>3</v>
      </c>
      <c r="EE77">
        <v>79401925</v>
      </c>
      <c r="EF77">
        <v>2</v>
      </c>
      <c r="EG77" t="s">
        <v>19</v>
      </c>
      <c r="EH77">
        <v>27</v>
      </c>
      <c r="EI77" t="s">
        <v>20</v>
      </c>
      <c r="EJ77">
        <v>1</v>
      </c>
      <c r="EK77">
        <v>33001</v>
      </c>
      <c r="EL77" t="s">
        <v>20</v>
      </c>
      <c r="EM77" t="s">
        <v>21</v>
      </c>
      <c r="EO77" t="s">
        <v>3</v>
      </c>
      <c r="EQ77">
        <v>0</v>
      </c>
      <c r="ER77">
        <v>0</v>
      </c>
      <c r="ES77">
        <v>0</v>
      </c>
      <c r="ET77">
        <v>0</v>
      </c>
      <c r="EU77">
        <v>0</v>
      </c>
      <c r="EV77">
        <v>0</v>
      </c>
      <c r="EW77">
        <v>0</v>
      </c>
      <c r="EX77">
        <v>0</v>
      </c>
      <c r="FQ77">
        <v>0</v>
      </c>
      <c r="FR77">
        <f t="shared" si="61"/>
        <v>0</v>
      </c>
      <c r="FS77">
        <v>0</v>
      </c>
      <c r="FX77">
        <v>103</v>
      </c>
      <c r="FY77">
        <v>60</v>
      </c>
      <c r="GA77" t="s">
        <v>3</v>
      </c>
      <c r="GD77">
        <v>1</v>
      </c>
      <c r="GF77">
        <v>361960925</v>
      </c>
      <c r="GG77">
        <v>2</v>
      </c>
      <c r="GH77">
        <v>1</v>
      </c>
      <c r="GI77">
        <v>-2</v>
      </c>
      <c r="GJ77">
        <v>0</v>
      </c>
      <c r="GK77">
        <v>0</v>
      </c>
      <c r="GL77">
        <f t="shared" si="62"/>
        <v>0</v>
      </c>
      <c r="GM77">
        <f t="shared" si="63"/>
        <v>0</v>
      </c>
      <c r="GN77">
        <f t="shared" si="64"/>
        <v>0</v>
      </c>
      <c r="GO77">
        <f t="shared" si="65"/>
        <v>0</v>
      </c>
      <c r="GP77">
        <f t="shared" si="66"/>
        <v>0</v>
      </c>
      <c r="GR77">
        <v>0</v>
      </c>
      <c r="GS77">
        <v>3</v>
      </c>
      <c r="GT77">
        <v>0</v>
      </c>
      <c r="GU77" t="s">
        <v>3</v>
      </c>
      <c r="GV77">
        <f t="shared" si="67"/>
        <v>0</v>
      </c>
      <c r="GW77">
        <v>1</v>
      </c>
      <c r="GX77">
        <f t="shared" si="68"/>
        <v>0</v>
      </c>
      <c r="HA77">
        <v>0</v>
      </c>
      <c r="HB77">
        <v>0</v>
      </c>
      <c r="HC77">
        <f t="shared" si="69"/>
        <v>0</v>
      </c>
      <c r="HE77" t="s">
        <v>3</v>
      </c>
      <c r="HF77" t="s">
        <v>3</v>
      </c>
      <c r="HM77" t="s">
        <v>3</v>
      </c>
      <c r="HN77" t="s">
        <v>22</v>
      </c>
      <c r="HO77" t="s">
        <v>23</v>
      </c>
      <c r="HP77" t="s">
        <v>20</v>
      </c>
      <c r="HQ77" t="s">
        <v>20</v>
      </c>
      <c r="IK77">
        <v>0</v>
      </c>
    </row>
    <row r="78" spans="1:245" x14ac:dyDescent="0.2">
      <c r="A78">
        <v>18</v>
      </c>
      <c r="B78">
        <v>1</v>
      </c>
      <c r="C78">
        <v>32</v>
      </c>
      <c r="E78" t="s">
        <v>123</v>
      </c>
      <c r="F78" t="s">
        <v>124</v>
      </c>
      <c r="G78" t="s">
        <v>125</v>
      </c>
      <c r="H78" t="s">
        <v>126</v>
      </c>
      <c r="I78">
        <f>I75*J78</f>
        <v>0</v>
      </c>
      <c r="J78">
        <v>0</v>
      </c>
      <c r="K78">
        <v>0</v>
      </c>
      <c r="O78">
        <f t="shared" si="30"/>
        <v>0</v>
      </c>
      <c r="P78">
        <f t="shared" si="31"/>
        <v>0</v>
      </c>
      <c r="Q78">
        <f t="shared" si="32"/>
        <v>0</v>
      </c>
      <c r="R78">
        <f t="shared" si="33"/>
        <v>0</v>
      </c>
      <c r="S78">
        <f t="shared" si="34"/>
        <v>0</v>
      </c>
      <c r="T78">
        <f t="shared" si="35"/>
        <v>0</v>
      </c>
      <c r="U78">
        <f t="shared" si="36"/>
        <v>0</v>
      </c>
      <c r="V78">
        <f t="shared" si="37"/>
        <v>0</v>
      </c>
      <c r="W78">
        <f t="shared" si="38"/>
        <v>0</v>
      </c>
      <c r="X78">
        <f t="shared" si="39"/>
        <v>0</v>
      </c>
      <c r="Y78">
        <f t="shared" si="40"/>
        <v>0</v>
      </c>
      <c r="AA78">
        <v>84186534</v>
      </c>
      <c r="AB78">
        <f t="shared" si="41"/>
        <v>0</v>
      </c>
      <c r="AC78">
        <f t="shared" si="42"/>
        <v>0</v>
      </c>
      <c r="AD78">
        <f t="shared" si="43"/>
        <v>0</v>
      </c>
      <c r="AE78">
        <f t="shared" si="44"/>
        <v>0</v>
      </c>
      <c r="AF78">
        <f t="shared" si="45"/>
        <v>0</v>
      </c>
      <c r="AG78">
        <f t="shared" si="46"/>
        <v>0</v>
      </c>
      <c r="AH78">
        <f t="shared" si="47"/>
        <v>0</v>
      </c>
      <c r="AI78">
        <f t="shared" si="48"/>
        <v>0</v>
      </c>
      <c r="AJ78">
        <f t="shared" si="49"/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103</v>
      </c>
      <c r="AU78">
        <v>60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3</v>
      </c>
      <c r="BI78">
        <v>1</v>
      </c>
      <c r="BJ78" t="s">
        <v>127</v>
      </c>
      <c r="BM78">
        <v>33001</v>
      </c>
      <c r="BN78">
        <v>0</v>
      </c>
      <c r="BO78" t="s">
        <v>3</v>
      </c>
      <c r="BP78">
        <v>0</v>
      </c>
      <c r="BQ78">
        <v>2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103</v>
      </c>
      <c r="CA78">
        <v>60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50"/>
        <v>0</v>
      </c>
      <c r="CQ78">
        <f t="shared" si="51"/>
        <v>0</v>
      </c>
      <c r="CR78">
        <f t="shared" si="52"/>
        <v>0</v>
      </c>
      <c r="CS78">
        <f t="shared" si="53"/>
        <v>0</v>
      </c>
      <c r="CT78">
        <f t="shared" si="54"/>
        <v>0</v>
      </c>
      <c r="CU78">
        <f t="shared" si="55"/>
        <v>0</v>
      </c>
      <c r="CV78">
        <f t="shared" si="56"/>
        <v>0</v>
      </c>
      <c r="CW78">
        <f t="shared" si="57"/>
        <v>0</v>
      </c>
      <c r="CX78">
        <f t="shared" si="58"/>
        <v>0</v>
      </c>
      <c r="CY78">
        <f t="shared" si="59"/>
        <v>0</v>
      </c>
      <c r="CZ78">
        <f t="shared" si="60"/>
        <v>0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1010</v>
      </c>
      <c r="DV78" t="s">
        <v>126</v>
      </c>
      <c r="DW78" t="s">
        <v>126</v>
      </c>
      <c r="DX78">
        <v>1</v>
      </c>
      <c r="DZ78" t="s">
        <v>3</v>
      </c>
      <c r="EA78" t="s">
        <v>3</v>
      </c>
      <c r="EB78" t="s">
        <v>3</v>
      </c>
      <c r="EC78" t="s">
        <v>3</v>
      </c>
      <c r="EE78">
        <v>79401925</v>
      </c>
      <c r="EF78">
        <v>2</v>
      </c>
      <c r="EG78" t="s">
        <v>19</v>
      </c>
      <c r="EH78">
        <v>27</v>
      </c>
      <c r="EI78" t="s">
        <v>20</v>
      </c>
      <c r="EJ78">
        <v>1</v>
      </c>
      <c r="EK78">
        <v>33001</v>
      </c>
      <c r="EL78" t="s">
        <v>20</v>
      </c>
      <c r="EM78" t="s">
        <v>21</v>
      </c>
      <c r="EO78" t="s">
        <v>3</v>
      </c>
      <c r="EQ78">
        <v>0</v>
      </c>
      <c r="ER78">
        <v>0</v>
      </c>
      <c r="ES78">
        <v>0</v>
      </c>
      <c r="ET78">
        <v>0</v>
      </c>
      <c r="EU78">
        <v>0</v>
      </c>
      <c r="EV78">
        <v>0</v>
      </c>
      <c r="EW78">
        <v>0</v>
      </c>
      <c r="EX78">
        <v>0</v>
      </c>
      <c r="FQ78">
        <v>0</v>
      </c>
      <c r="FR78">
        <f t="shared" si="61"/>
        <v>0</v>
      </c>
      <c r="FS78">
        <v>0</v>
      </c>
      <c r="FX78">
        <v>103</v>
      </c>
      <c r="FY78">
        <v>60</v>
      </c>
      <c r="GA78" t="s">
        <v>3</v>
      </c>
      <c r="GD78">
        <v>1</v>
      </c>
      <c r="GF78">
        <v>789151112</v>
      </c>
      <c r="GG78">
        <v>2</v>
      </c>
      <c r="GH78">
        <v>1</v>
      </c>
      <c r="GI78">
        <v>-2</v>
      </c>
      <c r="GJ78">
        <v>0</v>
      </c>
      <c r="GK78">
        <v>0</v>
      </c>
      <c r="GL78">
        <f t="shared" si="62"/>
        <v>0</v>
      </c>
      <c r="GM78">
        <f t="shared" si="63"/>
        <v>0</v>
      </c>
      <c r="GN78">
        <f t="shared" si="64"/>
        <v>0</v>
      </c>
      <c r="GO78">
        <f t="shared" si="65"/>
        <v>0</v>
      </c>
      <c r="GP78">
        <f t="shared" si="66"/>
        <v>0</v>
      </c>
      <c r="GR78">
        <v>0</v>
      </c>
      <c r="GS78">
        <v>3</v>
      </c>
      <c r="GT78">
        <v>0</v>
      </c>
      <c r="GU78" t="s">
        <v>3</v>
      </c>
      <c r="GV78">
        <f t="shared" si="67"/>
        <v>0</v>
      </c>
      <c r="GW78">
        <v>1</v>
      </c>
      <c r="GX78">
        <f t="shared" si="68"/>
        <v>0</v>
      </c>
      <c r="HA78">
        <v>0</v>
      </c>
      <c r="HB78">
        <v>0</v>
      </c>
      <c r="HC78">
        <f t="shared" si="69"/>
        <v>0</v>
      </c>
      <c r="HE78" t="s">
        <v>3</v>
      </c>
      <c r="HF78" t="s">
        <v>3</v>
      </c>
      <c r="HM78" t="s">
        <v>3</v>
      </c>
      <c r="HN78" t="s">
        <v>22</v>
      </c>
      <c r="HO78" t="s">
        <v>23</v>
      </c>
      <c r="HP78" t="s">
        <v>20</v>
      </c>
      <c r="HQ78" t="s">
        <v>20</v>
      </c>
      <c r="IK78">
        <v>0</v>
      </c>
    </row>
    <row r="79" spans="1:245" x14ac:dyDescent="0.2">
      <c r="A79">
        <v>18</v>
      </c>
      <c r="B79">
        <v>1</v>
      </c>
      <c r="C79">
        <v>33</v>
      </c>
      <c r="E79" t="s">
        <v>128</v>
      </c>
      <c r="F79" t="s">
        <v>129</v>
      </c>
      <c r="G79" t="s">
        <v>130</v>
      </c>
      <c r="H79" t="s">
        <v>126</v>
      </c>
      <c r="I79">
        <f>I75*J79</f>
        <v>0</v>
      </c>
      <c r="J79">
        <v>0</v>
      </c>
      <c r="K79">
        <v>0</v>
      </c>
      <c r="O79">
        <f t="shared" si="30"/>
        <v>0</v>
      </c>
      <c r="P79">
        <f t="shared" si="31"/>
        <v>0</v>
      </c>
      <c r="Q79">
        <f t="shared" si="32"/>
        <v>0</v>
      </c>
      <c r="R79">
        <f t="shared" si="33"/>
        <v>0</v>
      </c>
      <c r="S79">
        <f t="shared" si="34"/>
        <v>0</v>
      </c>
      <c r="T79">
        <f t="shared" si="35"/>
        <v>0</v>
      </c>
      <c r="U79">
        <f t="shared" si="36"/>
        <v>0</v>
      </c>
      <c r="V79">
        <f t="shared" si="37"/>
        <v>0</v>
      </c>
      <c r="W79">
        <f t="shared" si="38"/>
        <v>0</v>
      </c>
      <c r="X79">
        <f t="shared" si="39"/>
        <v>0</v>
      </c>
      <c r="Y79">
        <f t="shared" si="40"/>
        <v>0</v>
      </c>
      <c r="AA79">
        <v>84186534</v>
      </c>
      <c r="AB79">
        <f t="shared" si="41"/>
        <v>0</v>
      </c>
      <c r="AC79">
        <f t="shared" si="42"/>
        <v>0</v>
      </c>
      <c r="AD79">
        <f t="shared" si="43"/>
        <v>0</v>
      </c>
      <c r="AE79">
        <f t="shared" si="44"/>
        <v>0</v>
      </c>
      <c r="AF79">
        <f t="shared" si="45"/>
        <v>0</v>
      </c>
      <c r="AG79">
        <f t="shared" si="46"/>
        <v>0</v>
      </c>
      <c r="AH79">
        <f t="shared" si="47"/>
        <v>0</v>
      </c>
      <c r="AI79">
        <f t="shared" si="48"/>
        <v>0</v>
      </c>
      <c r="AJ79">
        <f t="shared" si="49"/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103</v>
      </c>
      <c r="AU79">
        <v>60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3</v>
      </c>
      <c r="BI79">
        <v>1</v>
      </c>
      <c r="BJ79" t="s">
        <v>131</v>
      </c>
      <c r="BM79">
        <v>33001</v>
      </c>
      <c r="BN79">
        <v>0</v>
      </c>
      <c r="BO79" t="s">
        <v>3</v>
      </c>
      <c r="BP79">
        <v>0</v>
      </c>
      <c r="BQ79">
        <v>2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103</v>
      </c>
      <c r="CA79">
        <v>60</v>
      </c>
      <c r="CB79" t="s">
        <v>3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50"/>
        <v>0</v>
      </c>
      <c r="CQ79">
        <f t="shared" si="51"/>
        <v>0</v>
      </c>
      <c r="CR79">
        <f t="shared" si="52"/>
        <v>0</v>
      </c>
      <c r="CS79">
        <f t="shared" si="53"/>
        <v>0</v>
      </c>
      <c r="CT79">
        <f t="shared" si="54"/>
        <v>0</v>
      </c>
      <c r="CU79">
        <f t="shared" si="55"/>
        <v>0</v>
      </c>
      <c r="CV79">
        <f t="shared" si="56"/>
        <v>0</v>
      </c>
      <c r="CW79">
        <f t="shared" si="57"/>
        <v>0</v>
      </c>
      <c r="CX79">
        <f t="shared" si="58"/>
        <v>0</v>
      </c>
      <c r="CY79">
        <f t="shared" si="59"/>
        <v>0</v>
      </c>
      <c r="CZ79">
        <f t="shared" si="60"/>
        <v>0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1010</v>
      </c>
      <c r="DV79" t="s">
        <v>126</v>
      </c>
      <c r="DW79" t="s">
        <v>126</v>
      </c>
      <c r="DX79">
        <v>1</v>
      </c>
      <c r="DZ79" t="s">
        <v>3</v>
      </c>
      <c r="EA79" t="s">
        <v>3</v>
      </c>
      <c r="EB79" t="s">
        <v>3</v>
      </c>
      <c r="EC79" t="s">
        <v>3</v>
      </c>
      <c r="EE79">
        <v>79401925</v>
      </c>
      <c r="EF79">
        <v>2</v>
      </c>
      <c r="EG79" t="s">
        <v>19</v>
      </c>
      <c r="EH79">
        <v>27</v>
      </c>
      <c r="EI79" t="s">
        <v>20</v>
      </c>
      <c r="EJ79">
        <v>1</v>
      </c>
      <c r="EK79">
        <v>33001</v>
      </c>
      <c r="EL79" t="s">
        <v>20</v>
      </c>
      <c r="EM79" t="s">
        <v>21</v>
      </c>
      <c r="EO79" t="s">
        <v>3</v>
      </c>
      <c r="EQ79">
        <v>0</v>
      </c>
      <c r="ER79">
        <v>0</v>
      </c>
      <c r="ES79">
        <v>0</v>
      </c>
      <c r="ET79">
        <v>0</v>
      </c>
      <c r="EU79">
        <v>0</v>
      </c>
      <c r="EV79">
        <v>0</v>
      </c>
      <c r="EW79">
        <v>0</v>
      </c>
      <c r="EX79">
        <v>0</v>
      </c>
      <c r="FQ79">
        <v>0</v>
      </c>
      <c r="FR79">
        <f t="shared" si="61"/>
        <v>0</v>
      </c>
      <c r="FS79">
        <v>0</v>
      </c>
      <c r="FX79">
        <v>103</v>
      </c>
      <c r="FY79">
        <v>60</v>
      </c>
      <c r="GA79" t="s">
        <v>3</v>
      </c>
      <c r="GD79">
        <v>1</v>
      </c>
      <c r="GF79">
        <v>-950202787</v>
      </c>
      <c r="GG79">
        <v>2</v>
      </c>
      <c r="GH79">
        <v>1</v>
      </c>
      <c r="GI79">
        <v>-2</v>
      </c>
      <c r="GJ79">
        <v>0</v>
      </c>
      <c r="GK79">
        <v>0</v>
      </c>
      <c r="GL79">
        <f t="shared" si="62"/>
        <v>0</v>
      </c>
      <c r="GM79">
        <f t="shared" si="63"/>
        <v>0</v>
      </c>
      <c r="GN79">
        <f t="shared" si="64"/>
        <v>0</v>
      </c>
      <c r="GO79">
        <f t="shared" si="65"/>
        <v>0</v>
      </c>
      <c r="GP79">
        <f t="shared" si="66"/>
        <v>0</v>
      </c>
      <c r="GR79">
        <v>0</v>
      </c>
      <c r="GS79">
        <v>3</v>
      </c>
      <c r="GT79">
        <v>0</v>
      </c>
      <c r="GU79" t="s">
        <v>3</v>
      </c>
      <c r="GV79">
        <f t="shared" si="67"/>
        <v>0</v>
      </c>
      <c r="GW79">
        <v>1</v>
      </c>
      <c r="GX79">
        <f t="shared" si="68"/>
        <v>0</v>
      </c>
      <c r="HA79">
        <v>0</v>
      </c>
      <c r="HB79">
        <v>0</v>
      </c>
      <c r="HC79">
        <f t="shared" si="69"/>
        <v>0</v>
      </c>
      <c r="HE79" t="s">
        <v>3</v>
      </c>
      <c r="HF79" t="s">
        <v>3</v>
      </c>
      <c r="HM79" t="s">
        <v>3</v>
      </c>
      <c r="HN79" t="s">
        <v>22</v>
      </c>
      <c r="HO79" t="s">
        <v>23</v>
      </c>
      <c r="HP79" t="s">
        <v>20</v>
      </c>
      <c r="HQ79" t="s">
        <v>20</v>
      </c>
      <c r="IK79">
        <v>0</v>
      </c>
    </row>
    <row r="80" spans="1:245" x14ac:dyDescent="0.2">
      <c r="A80">
        <v>18</v>
      </c>
      <c r="B80">
        <v>1</v>
      </c>
      <c r="C80">
        <v>34</v>
      </c>
      <c r="E80" t="s">
        <v>132</v>
      </c>
      <c r="F80" t="s">
        <v>133</v>
      </c>
      <c r="G80" t="s">
        <v>134</v>
      </c>
      <c r="H80" t="s">
        <v>126</v>
      </c>
      <c r="I80">
        <f>I75*J80</f>
        <v>0.1</v>
      </c>
      <c r="J80">
        <v>0.1</v>
      </c>
      <c r="K80">
        <v>0.1</v>
      </c>
      <c r="O80">
        <f t="shared" si="30"/>
        <v>0</v>
      </c>
      <c r="P80">
        <f t="shared" si="31"/>
        <v>0</v>
      </c>
      <c r="Q80">
        <f t="shared" si="32"/>
        <v>0</v>
      </c>
      <c r="R80">
        <f t="shared" si="33"/>
        <v>0</v>
      </c>
      <c r="S80">
        <f t="shared" si="34"/>
        <v>0</v>
      </c>
      <c r="T80">
        <f t="shared" si="35"/>
        <v>0</v>
      </c>
      <c r="U80">
        <f t="shared" si="36"/>
        <v>0</v>
      </c>
      <c r="V80">
        <f t="shared" si="37"/>
        <v>0</v>
      </c>
      <c r="W80">
        <f t="shared" si="38"/>
        <v>0</v>
      </c>
      <c r="X80">
        <f t="shared" si="39"/>
        <v>0</v>
      </c>
      <c r="Y80">
        <f t="shared" si="40"/>
        <v>0</v>
      </c>
      <c r="AA80">
        <v>84186534</v>
      </c>
      <c r="AB80">
        <f t="shared" si="41"/>
        <v>0</v>
      </c>
      <c r="AC80">
        <f t="shared" si="42"/>
        <v>0</v>
      </c>
      <c r="AD80">
        <f t="shared" si="43"/>
        <v>0</v>
      </c>
      <c r="AE80">
        <f t="shared" si="44"/>
        <v>0</v>
      </c>
      <c r="AF80">
        <f t="shared" si="45"/>
        <v>0</v>
      </c>
      <c r="AG80">
        <f t="shared" si="46"/>
        <v>0</v>
      </c>
      <c r="AH80">
        <f t="shared" si="47"/>
        <v>0</v>
      </c>
      <c r="AI80">
        <f t="shared" si="48"/>
        <v>0</v>
      </c>
      <c r="AJ80">
        <f t="shared" si="49"/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103</v>
      </c>
      <c r="AU80">
        <v>60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3</v>
      </c>
      <c r="BI80">
        <v>1</v>
      </c>
      <c r="BJ80" t="s">
        <v>135</v>
      </c>
      <c r="BM80">
        <v>33001</v>
      </c>
      <c r="BN80">
        <v>0</v>
      </c>
      <c r="BO80" t="s">
        <v>3</v>
      </c>
      <c r="BP80">
        <v>0</v>
      </c>
      <c r="BQ80">
        <v>2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103</v>
      </c>
      <c r="CA80">
        <v>60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50"/>
        <v>0</v>
      </c>
      <c r="CQ80">
        <f t="shared" si="51"/>
        <v>0</v>
      </c>
      <c r="CR80">
        <f t="shared" si="52"/>
        <v>0</v>
      </c>
      <c r="CS80">
        <f t="shared" si="53"/>
        <v>0</v>
      </c>
      <c r="CT80">
        <f t="shared" si="54"/>
        <v>0</v>
      </c>
      <c r="CU80">
        <f t="shared" si="55"/>
        <v>0</v>
      </c>
      <c r="CV80">
        <f t="shared" si="56"/>
        <v>0</v>
      </c>
      <c r="CW80">
        <f t="shared" si="57"/>
        <v>0</v>
      </c>
      <c r="CX80">
        <f t="shared" si="58"/>
        <v>0</v>
      </c>
      <c r="CY80">
        <f t="shared" si="59"/>
        <v>0</v>
      </c>
      <c r="CZ80">
        <f t="shared" si="60"/>
        <v>0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1010</v>
      </c>
      <c r="DV80" t="s">
        <v>126</v>
      </c>
      <c r="DW80" t="s">
        <v>126</v>
      </c>
      <c r="DX80">
        <v>1</v>
      </c>
      <c r="DZ80" t="s">
        <v>3</v>
      </c>
      <c r="EA80" t="s">
        <v>3</v>
      </c>
      <c r="EB80" t="s">
        <v>3</v>
      </c>
      <c r="EC80" t="s">
        <v>3</v>
      </c>
      <c r="EE80">
        <v>79401925</v>
      </c>
      <c r="EF80">
        <v>2</v>
      </c>
      <c r="EG80" t="s">
        <v>19</v>
      </c>
      <c r="EH80">
        <v>27</v>
      </c>
      <c r="EI80" t="s">
        <v>20</v>
      </c>
      <c r="EJ80">
        <v>1</v>
      </c>
      <c r="EK80">
        <v>33001</v>
      </c>
      <c r="EL80" t="s">
        <v>20</v>
      </c>
      <c r="EM80" t="s">
        <v>21</v>
      </c>
      <c r="EO80" t="s">
        <v>3</v>
      </c>
      <c r="EQ80">
        <v>0</v>
      </c>
      <c r="ER80">
        <v>0</v>
      </c>
      <c r="ES80">
        <v>0</v>
      </c>
      <c r="ET80">
        <v>0</v>
      </c>
      <c r="EU80">
        <v>0</v>
      </c>
      <c r="EV80">
        <v>0</v>
      </c>
      <c r="EW80">
        <v>0</v>
      </c>
      <c r="EX80">
        <v>0</v>
      </c>
      <c r="FQ80">
        <v>0</v>
      </c>
      <c r="FR80">
        <f t="shared" si="61"/>
        <v>0</v>
      </c>
      <c r="FS80">
        <v>0</v>
      </c>
      <c r="FX80">
        <v>103</v>
      </c>
      <c r="FY80">
        <v>60</v>
      </c>
      <c r="GA80" t="s">
        <v>3</v>
      </c>
      <c r="GD80">
        <v>1</v>
      </c>
      <c r="GF80">
        <v>1139075706</v>
      </c>
      <c r="GG80">
        <v>2</v>
      </c>
      <c r="GH80">
        <v>1</v>
      </c>
      <c r="GI80">
        <v>-2</v>
      </c>
      <c r="GJ80">
        <v>0</v>
      </c>
      <c r="GK80">
        <v>0</v>
      </c>
      <c r="GL80">
        <f t="shared" si="62"/>
        <v>0</v>
      </c>
      <c r="GM80">
        <f t="shared" si="63"/>
        <v>0</v>
      </c>
      <c r="GN80">
        <f t="shared" si="64"/>
        <v>0</v>
      </c>
      <c r="GO80">
        <f t="shared" si="65"/>
        <v>0</v>
      </c>
      <c r="GP80">
        <f t="shared" si="66"/>
        <v>0</v>
      </c>
      <c r="GR80">
        <v>0</v>
      </c>
      <c r="GS80">
        <v>3</v>
      </c>
      <c r="GT80">
        <v>0</v>
      </c>
      <c r="GU80" t="s">
        <v>3</v>
      </c>
      <c r="GV80">
        <f t="shared" si="67"/>
        <v>0</v>
      </c>
      <c r="GW80">
        <v>1</v>
      </c>
      <c r="GX80">
        <f t="shared" si="68"/>
        <v>0</v>
      </c>
      <c r="HA80">
        <v>0</v>
      </c>
      <c r="HB80">
        <v>0</v>
      </c>
      <c r="HC80">
        <f t="shared" si="69"/>
        <v>0</v>
      </c>
      <c r="HE80" t="s">
        <v>3</v>
      </c>
      <c r="HF80" t="s">
        <v>3</v>
      </c>
      <c r="HM80" t="s">
        <v>3</v>
      </c>
      <c r="HN80" t="s">
        <v>22</v>
      </c>
      <c r="HO80" t="s">
        <v>23</v>
      </c>
      <c r="HP80" t="s">
        <v>20</v>
      </c>
      <c r="HQ80" t="s">
        <v>20</v>
      </c>
      <c r="IK80">
        <v>0</v>
      </c>
    </row>
    <row r="81" spans="1:245" x14ac:dyDescent="0.2">
      <c r="A81">
        <v>18</v>
      </c>
      <c r="B81">
        <v>1</v>
      </c>
      <c r="C81">
        <v>36</v>
      </c>
      <c r="E81" t="s">
        <v>136</v>
      </c>
      <c r="F81" t="s">
        <v>137</v>
      </c>
      <c r="G81" t="s">
        <v>138</v>
      </c>
      <c r="H81" t="s">
        <v>139</v>
      </c>
      <c r="I81">
        <f>I75*J81</f>
        <v>0</v>
      </c>
      <c r="J81">
        <v>0</v>
      </c>
      <c r="K81">
        <v>0</v>
      </c>
      <c r="O81">
        <f t="shared" si="30"/>
        <v>0</v>
      </c>
      <c r="P81">
        <f t="shared" si="31"/>
        <v>0</v>
      </c>
      <c r="Q81">
        <f t="shared" si="32"/>
        <v>0</v>
      </c>
      <c r="R81">
        <f t="shared" si="33"/>
        <v>0</v>
      </c>
      <c r="S81">
        <f t="shared" si="34"/>
        <v>0</v>
      </c>
      <c r="T81">
        <f t="shared" si="35"/>
        <v>0</v>
      </c>
      <c r="U81">
        <f t="shared" si="36"/>
        <v>0</v>
      </c>
      <c r="V81">
        <f t="shared" si="37"/>
        <v>0</v>
      </c>
      <c r="W81">
        <f t="shared" si="38"/>
        <v>0</v>
      </c>
      <c r="X81">
        <f t="shared" si="39"/>
        <v>0</v>
      </c>
      <c r="Y81">
        <f t="shared" si="40"/>
        <v>0</v>
      </c>
      <c r="AA81">
        <v>84186534</v>
      </c>
      <c r="AB81">
        <f t="shared" si="41"/>
        <v>0</v>
      </c>
      <c r="AC81">
        <f t="shared" si="42"/>
        <v>0</v>
      </c>
      <c r="AD81">
        <f t="shared" si="43"/>
        <v>0</v>
      </c>
      <c r="AE81">
        <f t="shared" si="44"/>
        <v>0</v>
      </c>
      <c r="AF81">
        <f t="shared" si="45"/>
        <v>0</v>
      </c>
      <c r="AG81">
        <f t="shared" si="46"/>
        <v>0</v>
      </c>
      <c r="AH81">
        <f t="shared" si="47"/>
        <v>0</v>
      </c>
      <c r="AI81">
        <f t="shared" si="48"/>
        <v>0</v>
      </c>
      <c r="AJ81">
        <f t="shared" si="49"/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103</v>
      </c>
      <c r="AU81">
        <v>60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3</v>
      </c>
      <c r="BI81">
        <v>1</v>
      </c>
      <c r="BJ81" t="s">
        <v>140</v>
      </c>
      <c r="BM81">
        <v>33001</v>
      </c>
      <c r="BN81">
        <v>0</v>
      </c>
      <c r="BO81" t="s">
        <v>3</v>
      </c>
      <c r="BP81">
        <v>0</v>
      </c>
      <c r="BQ81">
        <v>2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103</v>
      </c>
      <c r="CA81">
        <v>60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50"/>
        <v>0</v>
      </c>
      <c r="CQ81">
        <f t="shared" si="51"/>
        <v>0</v>
      </c>
      <c r="CR81">
        <f t="shared" si="52"/>
        <v>0</v>
      </c>
      <c r="CS81">
        <f t="shared" si="53"/>
        <v>0</v>
      </c>
      <c r="CT81">
        <f t="shared" si="54"/>
        <v>0</v>
      </c>
      <c r="CU81">
        <f t="shared" si="55"/>
        <v>0</v>
      </c>
      <c r="CV81">
        <f t="shared" si="56"/>
        <v>0</v>
      </c>
      <c r="CW81">
        <f t="shared" si="57"/>
        <v>0</v>
      </c>
      <c r="CX81">
        <f t="shared" si="58"/>
        <v>0</v>
      </c>
      <c r="CY81">
        <f t="shared" si="59"/>
        <v>0</v>
      </c>
      <c r="CZ81">
        <f t="shared" si="60"/>
        <v>0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1009</v>
      </c>
      <c r="DV81" t="s">
        <v>139</v>
      </c>
      <c r="DW81" t="s">
        <v>139</v>
      </c>
      <c r="DX81">
        <v>1</v>
      </c>
      <c r="DZ81" t="s">
        <v>3</v>
      </c>
      <c r="EA81" t="s">
        <v>3</v>
      </c>
      <c r="EB81" t="s">
        <v>3</v>
      </c>
      <c r="EC81" t="s">
        <v>3</v>
      </c>
      <c r="EE81">
        <v>79401925</v>
      </c>
      <c r="EF81">
        <v>2</v>
      </c>
      <c r="EG81" t="s">
        <v>19</v>
      </c>
      <c r="EH81">
        <v>27</v>
      </c>
      <c r="EI81" t="s">
        <v>20</v>
      </c>
      <c r="EJ81">
        <v>1</v>
      </c>
      <c r="EK81">
        <v>33001</v>
      </c>
      <c r="EL81" t="s">
        <v>20</v>
      </c>
      <c r="EM81" t="s">
        <v>21</v>
      </c>
      <c r="EO81" t="s">
        <v>3</v>
      </c>
      <c r="EQ81">
        <v>0</v>
      </c>
      <c r="ER81">
        <v>0</v>
      </c>
      <c r="ES81">
        <v>0</v>
      </c>
      <c r="ET81">
        <v>0</v>
      </c>
      <c r="EU81">
        <v>0</v>
      </c>
      <c r="EV81">
        <v>0</v>
      </c>
      <c r="EW81">
        <v>0</v>
      </c>
      <c r="EX81">
        <v>0</v>
      </c>
      <c r="FQ81">
        <v>0</v>
      </c>
      <c r="FR81">
        <f t="shared" si="61"/>
        <v>0</v>
      </c>
      <c r="FS81">
        <v>0</v>
      </c>
      <c r="FX81">
        <v>103</v>
      </c>
      <c r="FY81">
        <v>60</v>
      </c>
      <c r="GA81" t="s">
        <v>3</v>
      </c>
      <c r="GD81">
        <v>1</v>
      </c>
      <c r="GF81">
        <v>-1695541033</v>
      </c>
      <c r="GG81">
        <v>2</v>
      </c>
      <c r="GH81">
        <v>1</v>
      </c>
      <c r="GI81">
        <v>-2</v>
      </c>
      <c r="GJ81">
        <v>0</v>
      </c>
      <c r="GK81">
        <v>0</v>
      </c>
      <c r="GL81">
        <f t="shared" si="62"/>
        <v>0</v>
      </c>
      <c r="GM81">
        <f t="shared" si="63"/>
        <v>0</v>
      </c>
      <c r="GN81">
        <f t="shared" si="64"/>
        <v>0</v>
      </c>
      <c r="GO81">
        <f t="shared" si="65"/>
        <v>0</v>
      </c>
      <c r="GP81">
        <f t="shared" si="66"/>
        <v>0</v>
      </c>
      <c r="GR81">
        <v>0</v>
      </c>
      <c r="GS81">
        <v>3</v>
      </c>
      <c r="GT81">
        <v>0</v>
      </c>
      <c r="GU81" t="s">
        <v>3</v>
      </c>
      <c r="GV81">
        <f t="shared" si="67"/>
        <v>0</v>
      </c>
      <c r="GW81">
        <v>1</v>
      </c>
      <c r="GX81">
        <f t="shared" si="68"/>
        <v>0</v>
      </c>
      <c r="HA81">
        <v>0</v>
      </c>
      <c r="HB81">
        <v>0</v>
      </c>
      <c r="HC81">
        <f t="shared" si="69"/>
        <v>0</v>
      </c>
      <c r="HE81" t="s">
        <v>3</v>
      </c>
      <c r="HF81" t="s">
        <v>3</v>
      </c>
      <c r="HM81" t="s">
        <v>3</v>
      </c>
      <c r="HN81" t="s">
        <v>22</v>
      </c>
      <c r="HO81" t="s">
        <v>23</v>
      </c>
      <c r="HP81" t="s">
        <v>20</v>
      </c>
      <c r="HQ81" t="s">
        <v>20</v>
      </c>
      <c r="IK81">
        <v>0</v>
      </c>
    </row>
    <row r="82" spans="1:245" x14ac:dyDescent="0.2">
      <c r="A82">
        <v>18</v>
      </c>
      <c r="B82">
        <v>1</v>
      </c>
      <c r="C82">
        <v>37</v>
      </c>
      <c r="E82" t="s">
        <v>141</v>
      </c>
      <c r="F82" t="s">
        <v>142</v>
      </c>
      <c r="G82" t="s">
        <v>143</v>
      </c>
      <c r="H82" t="s">
        <v>139</v>
      </c>
      <c r="I82">
        <f>I75*J82</f>
        <v>0</v>
      </c>
      <c r="J82">
        <v>0</v>
      </c>
      <c r="K82">
        <v>0</v>
      </c>
      <c r="O82">
        <f t="shared" si="30"/>
        <v>0</v>
      </c>
      <c r="P82">
        <f t="shared" si="31"/>
        <v>0</v>
      </c>
      <c r="Q82">
        <f t="shared" si="32"/>
        <v>0</v>
      </c>
      <c r="R82">
        <f t="shared" si="33"/>
        <v>0</v>
      </c>
      <c r="S82">
        <f t="shared" si="34"/>
        <v>0</v>
      </c>
      <c r="T82">
        <f t="shared" si="35"/>
        <v>0</v>
      </c>
      <c r="U82">
        <f t="shared" si="36"/>
        <v>0</v>
      </c>
      <c r="V82">
        <f t="shared" si="37"/>
        <v>0</v>
      </c>
      <c r="W82">
        <f t="shared" si="38"/>
        <v>0</v>
      </c>
      <c r="X82">
        <f t="shared" si="39"/>
        <v>0</v>
      </c>
      <c r="Y82">
        <f t="shared" si="40"/>
        <v>0</v>
      </c>
      <c r="AA82">
        <v>84186534</v>
      </c>
      <c r="AB82">
        <f t="shared" si="41"/>
        <v>0</v>
      </c>
      <c r="AC82">
        <f t="shared" si="42"/>
        <v>0</v>
      </c>
      <c r="AD82">
        <f t="shared" si="43"/>
        <v>0</v>
      </c>
      <c r="AE82">
        <f t="shared" si="44"/>
        <v>0</v>
      </c>
      <c r="AF82">
        <f t="shared" si="45"/>
        <v>0</v>
      </c>
      <c r="AG82">
        <f t="shared" si="46"/>
        <v>0</v>
      </c>
      <c r="AH82">
        <f t="shared" si="47"/>
        <v>0</v>
      </c>
      <c r="AI82">
        <f t="shared" si="48"/>
        <v>0</v>
      </c>
      <c r="AJ82">
        <f t="shared" si="49"/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103</v>
      </c>
      <c r="AU82">
        <v>60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3</v>
      </c>
      <c r="BI82">
        <v>1</v>
      </c>
      <c r="BJ82" t="s">
        <v>144</v>
      </c>
      <c r="BM82">
        <v>33001</v>
      </c>
      <c r="BN82">
        <v>0</v>
      </c>
      <c r="BO82" t="s">
        <v>3</v>
      </c>
      <c r="BP82">
        <v>0</v>
      </c>
      <c r="BQ82">
        <v>2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103</v>
      </c>
      <c r="CA82">
        <v>60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50"/>
        <v>0</v>
      </c>
      <c r="CQ82">
        <f t="shared" si="51"/>
        <v>0</v>
      </c>
      <c r="CR82">
        <f t="shared" si="52"/>
        <v>0</v>
      </c>
      <c r="CS82">
        <f t="shared" si="53"/>
        <v>0</v>
      </c>
      <c r="CT82">
        <f t="shared" si="54"/>
        <v>0</v>
      </c>
      <c r="CU82">
        <f t="shared" si="55"/>
        <v>0</v>
      </c>
      <c r="CV82">
        <f t="shared" si="56"/>
        <v>0</v>
      </c>
      <c r="CW82">
        <f t="shared" si="57"/>
        <v>0</v>
      </c>
      <c r="CX82">
        <f t="shared" si="58"/>
        <v>0</v>
      </c>
      <c r="CY82">
        <f t="shared" si="59"/>
        <v>0</v>
      </c>
      <c r="CZ82">
        <f t="shared" si="60"/>
        <v>0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1009</v>
      </c>
      <c r="DV82" t="s">
        <v>139</v>
      </c>
      <c r="DW82" t="s">
        <v>139</v>
      </c>
      <c r="DX82">
        <v>1</v>
      </c>
      <c r="DZ82" t="s">
        <v>3</v>
      </c>
      <c r="EA82" t="s">
        <v>3</v>
      </c>
      <c r="EB82" t="s">
        <v>3</v>
      </c>
      <c r="EC82" t="s">
        <v>3</v>
      </c>
      <c r="EE82">
        <v>79401925</v>
      </c>
      <c r="EF82">
        <v>2</v>
      </c>
      <c r="EG82" t="s">
        <v>19</v>
      </c>
      <c r="EH82">
        <v>27</v>
      </c>
      <c r="EI82" t="s">
        <v>20</v>
      </c>
      <c r="EJ82">
        <v>1</v>
      </c>
      <c r="EK82">
        <v>33001</v>
      </c>
      <c r="EL82" t="s">
        <v>20</v>
      </c>
      <c r="EM82" t="s">
        <v>21</v>
      </c>
      <c r="EO82" t="s">
        <v>3</v>
      </c>
      <c r="EQ82">
        <v>0</v>
      </c>
      <c r="ER82">
        <v>0</v>
      </c>
      <c r="ES82">
        <v>0</v>
      </c>
      <c r="ET82">
        <v>0</v>
      </c>
      <c r="EU82">
        <v>0</v>
      </c>
      <c r="EV82">
        <v>0</v>
      </c>
      <c r="EW82">
        <v>0</v>
      </c>
      <c r="EX82">
        <v>0</v>
      </c>
      <c r="FQ82">
        <v>0</v>
      </c>
      <c r="FR82">
        <f t="shared" si="61"/>
        <v>0</v>
      </c>
      <c r="FS82">
        <v>0</v>
      </c>
      <c r="FX82">
        <v>103</v>
      </c>
      <c r="FY82">
        <v>60</v>
      </c>
      <c r="GA82" t="s">
        <v>3</v>
      </c>
      <c r="GD82">
        <v>1</v>
      </c>
      <c r="GF82">
        <v>-2040775826</v>
      </c>
      <c r="GG82">
        <v>2</v>
      </c>
      <c r="GH82">
        <v>1</v>
      </c>
      <c r="GI82">
        <v>-2</v>
      </c>
      <c r="GJ82">
        <v>0</v>
      </c>
      <c r="GK82">
        <v>0</v>
      </c>
      <c r="GL82">
        <f t="shared" si="62"/>
        <v>0</v>
      </c>
      <c r="GM82">
        <f t="shared" si="63"/>
        <v>0</v>
      </c>
      <c r="GN82">
        <f t="shared" si="64"/>
        <v>0</v>
      </c>
      <c r="GO82">
        <f t="shared" si="65"/>
        <v>0</v>
      </c>
      <c r="GP82">
        <f t="shared" si="66"/>
        <v>0</v>
      </c>
      <c r="GR82">
        <v>0</v>
      </c>
      <c r="GS82">
        <v>3</v>
      </c>
      <c r="GT82">
        <v>0</v>
      </c>
      <c r="GU82" t="s">
        <v>3</v>
      </c>
      <c r="GV82">
        <f t="shared" si="67"/>
        <v>0</v>
      </c>
      <c r="GW82">
        <v>1</v>
      </c>
      <c r="GX82">
        <f t="shared" si="68"/>
        <v>0</v>
      </c>
      <c r="HA82">
        <v>0</v>
      </c>
      <c r="HB82">
        <v>0</v>
      </c>
      <c r="HC82">
        <f t="shared" si="69"/>
        <v>0</v>
      </c>
      <c r="HE82" t="s">
        <v>3</v>
      </c>
      <c r="HF82" t="s">
        <v>3</v>
      </c>
      <c r="HM82" t="s">
        <v>3</v>
      </c>
      <c r="HN82" t="s">
        <v>22</v>
      </c>
      <c r="HO82" t="s">
        <v>23</v>
      </c>
      <c r="HP82" t="s">
        <v>20</v>
      </c>
      <c r="HQ82" t="s">
        <v>20</v>
      </c>
      <c r="IK82">
        <v>0</v>
      </c>
    </row>
    <row r="83" spans="1:245" x14ac:dyDescent="0.2">
      <c r="A83">
        <v>18</v>
      </c>
      <c r="B83">
        <v>1</v>
      </c>
      <c r="C83">
        <v>38</v>
      </c>
      <c r="E83" t="s">
        <v>145</v>
      </c>
      <c r="F83" t="s">
        <v>146</v>
      </c>
      <c r="G83" t="s">
        <v>147</v>
      </c>
      <c r="H83" t="s">
        <v>117</v>
      </c>
      <c r="I83">
        <f>I75*J83</f>
        <v>0</v>
      </c>
      <c r="J83">
        <v>0</v>
      </c>
      <c r="K83">
        <v>0</v>
      </c>
      <c r="O83">
        <f t="shared" si="30"/>
        <v>0</v>
      </c>
      <c r="P83">
        <f t="shared" si="31"/>
        <v>0</v>
      </c>
      <c r="Q83">
        <f t="shared" si="32"/>
        <v>0</v>
      </c>
      <c r="R83">
        <f t="shared" si="33"/>
        <v>0</v>
      </c>
      <c r="S83">
        <f t="shared" si="34"/>
        <v>0</v>
      </c>
      <c r="T83">
        <f t="shared" si="35"/>
        <v>0</v>
      </c>
      <c r="U83">
        <f t="shared" si="36"/>
        <v>0</v>
      </c>
      <c r="V83">
        <f t="shared" si="37"/>
        <v>0</v>
      </c>
      <c r="W83">
        <f t="shared" si="38"/>
        <v>0</v>
      </c>
      <c r="X83">
        <f t="shared" si="39"/>
        <v>0</v>
      </c>
      <c r="Y83">
        <f t="shared" si="40"/>
        <v>0</v>
      </c>
      <c r="AA83">
        <v>84186534</v>
      </c>
      <c r="AB83">
        <f t="shared" si="41"/>
        <v>0</v>
      </c>
      <c r="AC83">
        <f t="shared" si="42"/>
        <v>0</v>
      </c>
      <c r="AD83">
        <f t="shared" si="43"/>
        <v>0</v>
      </c>
      <c r="AE83">
        <f t="shared" si="44"/>
        <v>0</v>
      </c>
      <c r="AF83">
        <f t="shared" si="45"/>
        <v>0</v>
      </c>
      <c r="AG83">
        <f t="shared" si="46"/>
        <v>0</v>
      </c>
      <c r="AH83">
        <f t="shared" si="47"/>
        <v>0</v>
      </c>
      <c r="AI83">
        <f t="shared" si="48"/>
        <v>0</v>
      </c>
      <c r="AJ83">
        <f t="shared" si="49"/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103</v>
      </c>
      <c r="AU83">
        <v>60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3</v>
      </c>
      <c r="BI83">
        <v>1</v>
      </c>
      <c r="BJ83" t="s">
        <v>148</v>
      </c>
      <c r="BM83">
        <v>33001</v>
      </c>
      <c r="BN83">
        <v>0</v>
      </c>
      <c r="BO83" t="s">
        <v>3</v>
      </c>
      <c r="BP83">
        <v>0</v>
      </c>
      <c r="BQ83">
        <v>2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103</v>
      </c>
      <c r="CA83">
        <v>60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50"/>
        <v>0</v>
      </c>
      <c r="CQ83">
        <f t="shared" si="51"/>
        <v>0</v>
      </c>
      <c r="CR83">
        <f t="shared" si="52"/>
        <v>0</v>
      </c>
      <c r="CS83">
        <f t="shared" si="53"/>
        <v>0</v>
      </c>
      <c r="CT83">
        <f t="shared" si="54"/>
        <v>0</v>
      </c>
      <c r="CU83">
        <f t="shared" si="55"/>
        <v>0</v>
      </c>
      <c r="CV83">
        <f t="shared" si="56"/>
        <v>0</v>
      </c>
      <c r="CW83">
        <f t="shared" si="57"/>
        <v>0</v>
      </c>
      <c r="CX83">
        <f t="shared" si="58"/>
        <v>0</v>
      </c>
      <c r="CY83">
        <f t="shared" si="59"/>
        <v>0</v>
      </c>
      <c r="CZ83">
        <f t="shared" si="60"/>
        <v>0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1009</v>
      </c>
      <c r="DV83" t="s">
        <v>117</v>
      </c>
      <c r="DW83" t="s">
        <v>117</v>
      </c>
      <c r="DX83">
        <v>1000</v>
      </c>
      <c r="DZ83" t="s">
        <v>3</v>
      </c>
      <c r="EA83" t="s">
        <v>3</v>
      </c>
      <c r="EB83" t="s">
        <v>3</v>
      </c>
      <c r="EC83" t="s">
        <v>3</v>
      </c>
      <c r="EE83">
        <v>79401925</v>
      </c>
      <c r="EF83">
        <v>2</v>
      </c>
      <c r="EG83" t="s">
        <v>19</v>
      </c>
      <c r="EH83">
        <v>27</v>
      </c>
      <c r="EI83" t="s">
        <v>20</v>
      </c>
      <c r="EJ83">
        <v>1</v>
      </c>
      <c r="EK83">
        <v>33001</v>
      </c>
      <c r="EL83" t="s">
        <v>20</v>
      </c>
      <c r="EM83" t="s">
        <v>21</v>
      </c>
      <c r="EO83" t="s">
        <v>3</v>
      </c>
      <c r="EQ83">
        <v>0</v>
      </c>
      <c r="ER83">
        <v>0</v>
      </c>
      <c r="ES83">
        <v>0</v>
      </c>
      <c r="ET83">
        <v>0</v>
      </c>
      <c r="EU83">
        <v>0</v>
      </c>
      <c r="EV83">
        <v>0</v>
      </c>
      <c r="EW83">
        <v>0</v>
      </c>
      <c r="EX83">
        <v>0</v>
      </c>
      <c r="FQ83">
        <v>0</v>
      </c>
      <c r="FR83">
        <f t="shared" si="61"/>
        <v>0</v>
      </c>
      <c r="FS83">
        <v>0</v>
      </c>
      <c r="FX83">
        <v>103</v>
      </c>
      <c r="FY83">
        <v>60</v>
      </c>
      <c r="GA83" t="s">
        <v>3</v>
      </c>
      <c r="GD83">
        <v>1</v>
      </c>
      <c r="GF83">
        <v>-388174517</v>
      </c>
      <c r="GG83">
        <v>2</v>
      </c>
      <c r="GH83">
        <v>1</v>
      </c>
      <c r="GI83">
        <v>-2</v>
      </c>
      <c r="GJ83">
        <v>0</v>
      </c>
      <c r="GK83">
        <v>0</v>
      </c>
      <c r="GL83">
        <f t="shared" si="62"/>
        <v>0</v>
      </c>
      <c r="GM83">
        <f t="shared" si="63"/>
        <v>0</v>
      </c>
      <c r="GN83">
        <f t="shared" si="64"/>
        <v>0</v>
      </c>
      <c r="GO83">
        <f t="shared" si="65"/>
        <v>0</v>
      </c>
      <c r="GP83">
        <f t="shared" si="66"/>
        <v>0</v>
      </c>
      <c r="GR83">
        <v>0</v>
      </c>
      <c r="GS83">
        <v>3</v>
      </c>
      <c r="GT83">
        <v>0</v>
      </c>
      <c r="GU83" t="s">
        <v>3</v>
      </c>
      <c r="GV83">
        <f t="shared" si="67"/>
        <v>0</v>
      </c>
      <c r="GW83">
        <v>1</v>
      </c>
      <c r="GX83">
        <f t="shared" si="68"/>
        <v>0</v>
      </c>
      <c r="HA83">
        <v>0</v>
      </c>
      <c r="HB83">
        <v>0</v>
      </c>
      <c r="HC83">
        <f t="shared" si="69"/>
        <v>0</v>
      </c>
      <c r="HE83" t="s">
        <v>3</v>
      </c>
      <c r="HF83" t="s">
        <v>3</v>
      </c>
      <c r="HM83" t="s">
        <v>3</v>
      </c>
      <c r="HN83" t="s">
        <v>22</v>
      </c>
      <c r="HO83" t="s">
        <v>23</v>
      </c>
      <c r="HP83" t="s">
        <v>20</v>
      </c>
      <c r="HQ83" t="s">
        <v>20</v>
      </c>
      <c r="IK83">
        <v>0</v>
      </c>
    </row>
    <row r="84" spans="1:245" x14ac:dyDescent="0.2">
      <c r="A84">
        <v>18</v>
      </c>
      <c r="B84">
        <v>1</v>
      </c>
      <c r="C84">
        <v>39</v>
      </c>
      <c r="E84" t="s">
        <v>149</v>
      </c>
      <c r="F84" t="s">
        <v>150</v>
      </c>
      <c r="G84" t="s">
        <v>151</v>
      </c>
      <c r="H84" t="s">
        <v>126</v>
      </c>
      <c r="I84">
        <f>I75*J84</f>
        <v>0</v>
      </c>
      <c r="J84">
        <v>0</v>
      </c>
      <c r="K84">
        <v>0</v>
      </c>
      <c r="O84">
        <f t="shared" si="30"/>
        <v>0</v>
      </c>
      <c r="P84">
        <f t="shared" si="31"/>
        <v>0</v>
      </c>
      <c r="Q84">
        <f t="shared" si="32"/>
        <v>0</v>
      </c>
      <c r="R84">
        <f t="shared" si="33"/>
        <v>0</v>
      </c>
      <c r="S84">
        <f t="shared" si="34"/>
        <v>0</v>
      </c>
      <c r="T84">
        <f t="shared" si="35"/>
        <v>0</v>
      </c>
      <c r="U84">
        <f t="shared" si="36"/>
        <v>0</v>
      </c>
      <c r="V84">
        <f t="shared" si="37"/>
        <v>0</v>
      </c>
      <c r="W84">
        <f t="shared" si="38"/>
        <v>0</v>
      </c>
      <c r="X84">
        <f t="shared" si="39"/>
        <v>0</v>
      </c>
      <c r="Y84">
        <f t="shared" si="40"/>
        <v>0</v>
      </c>
      <c r="AA84">
        <v>84186534</v>
      </c>
      <c r="AB84">
        <f t="shared" si="41"/>
        <v>2074</v>
      </c>
      <c r="AC84">
        <f t="shared" si="42"/>
        <v>2074</v>
      </c>
      <c r="AD84">
        <f t="shared" si="43"/>
        <v>0</v>
      </c>
      <c r="AE84">
        <f t="shared" si="44"/>
        <v>0</v>
      </c>
      <c r="AF84">
        <f t="shared" si="45"/>
        <v>0</v>
      </c>
      <c r="AG84">
        <f t="shared" si="46"/>
        <v>0</v>
      </c>
      <c r="AH84">
        <f t="shared" si="47"/>
        <v>0</v>
      </c>
      <c r="AI84">
        <f t="shared" si="48"/>
        <v>0</v>
      </c>
      <c r="AJ84">
        <f t="shared" si="49"/>
        <v>0</v>
      </c>
      <c r="AK84">
        <v>2074</v>
      </c>
      <c r="AL84">
        <v>2074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103</v>
      </c>
      <c r="AU84">
        <v>60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9.43</v>
      </c>
      <c r="BD84" t="s">
        <v>3</v>
      </c>
      <c r="BE84" t="s">
        <v>3</v>
      </c>
      <c r="BF84" t="s">
        <v>3</v>
      </c>
      <c r="BG84" t="s">
        <v>3</v>
      </c>
      <c r="BH84">
        <v>3</v>
      </c>
      <c r="BI84">
        <v>1</v>
      </c>
      <c r="BJ84" t="s">
        <v>152</v>
      </c>
      <c r="BM84">
        <v>33001</v>
      </c>
      <c r="BN84">
        <v>0</v>
      </c>
      <c r="BO84" t="s">
        <v>150</v>
      </c>
      <c r="BP84">
        <v>1</v>
      </c>
      <c r="BQ84">
        <v>2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103</v>
      </c>
      <c r="CA84">
        <v>60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50"/>
        <v>0</v>
      </c>
      <c r="CQ84">
        <f t="shared" si="51"/>
        <v>19557.82</v>
      </c>
      <c r="CR84">
        <f t="shared" si="52"/>
        <v>0</v>
      </c>
      <c r="CS84">
        <f t="shared" si="53"/>
        <v>0</v>
      </c>
      <c r="CT84">
        <f t="shared" si="54"/>
        <v>0</v>
      </c>
      <c r="CU84">
        <f t="shared" si="55"/>
        <v>0</v>
      </c>
      <c r="CV84">
        <f t="shared" si="56"/>
        <v>0</v>
      </c>
      <c r="CW84">
        <f t="shared" si="57"/>
        <v>0</v>
      </c>
      <c r="CX84">
        <f t="shared" si="58"/>
        <v>0</v>
      </c>
      <c r="CY84">
        <f t="shared" si="59"/>
        <v>0</v>
      </c>
      <c r="CZ84">
        <f t="shared" si="60"/>
        <v>0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1010</v>
      </c>
      <c r="DV84" t="s">
        <v>126</v>
      </c>
      <c r="DW84" t="s">
        <v>126</v>
      </c>
      <c r="DX84">
        <v>1</v>
      </c>
      <c r="DZ84" t="s">
        <v>3</v>
      </c>
      <c r="EA84" t="s">
        <v>3</v>
      </c>
      <c r="EB84" t="s">
        <v>3</v>
      </c>
      <c r="EC84" t="s">
        <v>3</v>
      </c>
      <c r="EE84">
        <v>79401925</v>
      </c>
      <c r="EF84">
        <v>2</v>
      </c>
      <c r="EG84" t="s">
        <v>19</v>
      </c>
      <c r="EH84">
        <v>27</v>
      </c>
      <c r="EI84" t="s">
        <v>20</v>
      </c>
      <c r="EJ84">
        <v>1</v>
      </c>
      <c r="EK84">
        <v>33001</v>
      </c>
      <c r="EL84" t="s">
        <v>20</v>
      </c>
      <c r="EM84" t="s">
        <v>21</v>
      </c>
      <c r="EO84" t="s">
        <v>3</v>
      </c>
      <c r="EQ84">
        <v>0</v>
      </c>
      <c r="ER84">
        <v>2074</v>
      </c>
      <c r="ES84">
        <v>2074</v>
      </c>
      <c r="ET84">
        <v>0</v>
      </c>
      <c r="EU84">
        <v>0</v>
      </c>
      <c r="EV84">
        <v>0</v>
      </c>
      <c r="EW84">
        <v>0</v>
      </c>
      <c r="EX84">
        <v>0</v>
      </c>
      <c r="FQ84">
        <v>0</v>
      </c>
      <c r="FR84">
        <f t="shared" si="61"/>
        <v>0</v>
      </c>
      <c r="FS84">
        <v>0</v>
      </c>
      <c r="FX84">
        <v>103</v>
      </c>
      <c r="FY84">
        <v>60</v>
      </c>
      <c r="GA84" t="s">
        <v>3</v>
      </c>
      <c r="GD84">
        <v>1</v>
      </c>
      <c r="GF84">
        <v>-744192612</v>
      </c>
      <c r="GG84">
        <v>2</v>
      </c>
      <c r="GH84">
        <v>1</v>
      </c>
      <c r="GI84">
        <v>2</v>
      </c>
      <c r="GJ84">
        <v>0</v>
      </c>
      <c r="GK84">
        <v>0</v>
      </c>
      <c r="GL84">
        <f t="shared" si="62"/>
        <v>0</v>
      </c>
      <c r="GM84">
        <f t="shared" si="63"/>
        <v>0</v>
      </c>
      <c r="GN84">
        <f t="shared" si="64"/>
        <v>0</v>
      </c>
      <c r="GO84">
        <f t="shared" si="65"/>
        <v>0</v>
      </c>
      <c r="GP84">
        <f t="shared" si="66"/>
        <v>0</v>
      </c>
      <c r="GR84">
        <v>0</v>
      </c>
      <c r="GS84">
        <v>3</v>
      </c>
      <c r="GT84">
        <v>0</v>
      </c>
      <c r="GU84" t="s">
        <v>3</v>
      </c>
      <c r="GV84">
        <f t="shared" si="67"/>
        <v>0</v>
      </c>
      <c r="GW84">
        <v>1</v>
      </c>
      <c r="GX84">
        <f t="shared" si="68"/>
        <v>0</v>
      </c>
      <c r="HA84">
        <v>0</v>
      </c>
      <c r="HB84">
        <v>0</v>
      </c>
      <c r="HC84">
        <f t="shared" si="69"/>
        <v>0</v>
      </c>
      <c r="HE84" t="s">
        <v>3</v>
      </c>
      <c r="HF84" t="s">
        <v>3</v>
      </c>
      <c r="HM84" t="s">
        <v>3</v>
      </c>
      <c r="HN84" t="s">
        <v>22</v>
      </c>
      <c r="HO84" t="s">
        <v>23</v>
      </c>
      <c r="HP84" t="s">
        <v>20</v>
      </c>
      <c r="HQ84" t="s">
        <v>20</v>
      </c>
      <c r="IK84">
        <v>0</v>
      </c>
    </row>
    <row r="85" spans="1:245" x14ac:dyDescent="0.2">
      <c r="A85">
        <v>17</v>
      </c>
      <c r="B85">
        <v>1</v>
      </c>
      <c r="E85" t="s">
        <v>153</v>
      </c>
      <c r="F85" t="s">
        <v>154</v>
      </c>
      <c r="G85" t="s">
        <v>155</v>
      </c>
      <c r="H85" t="s">
        <v>126</v>
      </c>
      <c r="I85">
        <v>2</v>
      </c>
      <c r="J85">
        <v>0</v>
      </c>
      <c r="K85">
        <v>2</v>
      </c>
      <c r="O85">
        <f t="shared" si="30"/>
        <v>38623.629999999997</v>
      </c>
      <c r="P85">
        <f t="shared" si="31"/>
        <v>38623.629999999997</v>
      </c>
      <c r="Q85">
        <f t="shared" si="32"/>
        <v>0</v>
      </c>
      <c r="R85">
        <f t="shared" si="33"/>
        <v>0</v>
      </c>
      <c r="S85">
        <f t="shared" si="34"/>
        <v>0</v>
      </c>
      <c r="T85">
        <f t="shared" si="35"/>
        <v>0</v>
      </c>
      <c r="U85">
        <f t="shared" si="36"/>
        <v>0</v>
      </c>
      <c r="V85">
        <f t="shared" si="37"/>
        <v>0</v>
      </c>
      <c r="W85">
        <f t="shared" si="38"/>
        <v>0</v>
      </c>
      <c r="X85">
        <f t="shared" si="39"/>
        <v>0</v>
      </c>
      <c r="Y85">
        <f t="shared" si="40"/>
        <v>0</v>
      </c>
      <c r="AA85">
        <v>84186534</v>
      </c>
      <c r="AB85">
        <f t="shared" si="41"/>
        <v>1525.42</v>
      </c>
      <c r="AC85">
        <f t="shared" si="42"/>
        <v>1525.42</v>
      </c>
      <c r="AD85">
        <f t="shared" si="43"/>
        <v>0</v>
      </c>
      <c r="AE85">
        <f t="shared" si="44"/>
        <v>0</v>
      </c>
      <c r="AF85">
        <f t="shared" si="45"/>
        <v>0</v>
      </c>
      <c r="AG85">
        <f t="shared" si="46"/>
        <v>0</v>
      </c>
      <c r="AH85">
        <f t="shared" si="47"/>
        <v>0</v>
      </c>
      <c r="AI85">
        <f t="shared" si="48"/>
        <v>0</v>
      </c>
      <c r="AJ85">
        <f t="shared" si="49"/>
        <v>0</v>
      </c>
      <c r="AK85">
        <v>1525.42</v>
      </c>
      <c r="AL85">
        <v>1525.42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12.66</v>
      </c>
      <c r="BD85" t="s">
        <v>3</v>
      </c>
      <c r="BE85" t="s">
        <v>3</v>
      </c>
      <c r="BF85" t="s">
        <v>3</v>
      </c>
      <c r="BG85" t="s">
        <v>3</v>
      </c>
      <c r="BH85">
        <v>3</v>
      </c>
      <c r="BI85">
        <v>1</v>
      </c>
      <c r="BJ85" t="s">
        <v>156</v>
      </c>
      <c r="BM85">
        <v>500001</v>
      </c>
      <c r="BN85">
        <v>0</v>
      </c>
      <c r="BO85" t="s">
        <v>154</v>
      </c>
      <c r="BP85">
        <v>1</v>
      </c>
      <c r="BQ85">
        <v>8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0</v>
      </c>
      <c r="CA85">
        <v>0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50"/>
        <v>38623.629999999997</v>
      </c>
      <c r="CQ85">
        <f t="shared" si="51"/>
        <v>19311.817200000001</v>
      </c>
      <c r="CR85">
        <f t="shared" si="52"/>
        <v>0</v>
      </c>
      <c r="CS85">
        <f t="shared" si="53"/>
        <v>0</v>
      </c>
      <c r="CT85">
        <f t="shared" si="54"/>
        <v>0</v>
      </c>
      <c r="CU85">
        <f t="shared" si="55"/>
        <v>0</v>
      </c>
      <c r="CV85">
        <f t="shared" si="56"/>
        <v>0</v>
      </c>
      <c r="CW85">
        <f t="shared" si="57"/>
        <v>0</v>
      </c>
      <c r="CX85">
        <f t="shared" si="58"/>
        <v>0</v>
      </c>
      <c r="CY85">
        <f>0</f>
        <v>0</v>
      </c>
      <c r="CZ85">
        <f>0</f>
        <v>0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1010</v>
      </c>
      <c r="DV85" t="s">
        <v>126</v>
      </c>
      <c r="DW85" t="s">
        <v>126</v>
      </c>
      <c r="DX85">
        <v>1</v>
      </c>
      <c r="DZ85" t="s">
        <v>3</v>
      </c>
      <c r="EA85" t="s">
        <v>3</v>
      </c>
      <c r="EB85" t="s">
        <v>3</v>
      </c>
      <c r="EC85" t="s">
        <v>3</v>
      </c>
      <c r="EE85">
        <v>79401762</v>
      </c>
      <c r="EF85">
        <v>8</v>
      </c>
      <c r="EG85" t="s">
        <v>157</v>
      </c>
      <c r="EH85">
        <v>0</v>
      </c>
      <c r="EI85" t="s">
        <v>3</v>
      </c>
      <c r="EJ85">
        <v>1</v>
      </c>
      <c r="EK85">
        <v>500001</v>
      </c>
      <c r="EL85" t="s">
        <v>158</v>
      </c>
      <c r="EM85" t="s">
        <v>159</v>
      </c>
      <c r="EO85" t="s">
        <v>3</v>
      </c>
      <c r="EQ85">
        <v>0</v>
      </c>
      <c r="ER85">
        <v>1525.42</v>
      </c>
      <c r="ES85">
        <v>1525.42</v>
      </c>
      <c r="ET85">
        <v>0</v>
      </c>
      <c r="EU85">
        <v>0</v>
      </c>
      <c r="EV85">
        <v>0</v>
      </c>
      <c r="EW85">
        <v>0</v>
      </c>
      <c r="EX85">
        <v>0</v>
      </c>
      <c r="EY85">
        <v>0</v>
      </c>
      <c r="FQ85">
        <v>0</v>
      </c>
      <c r="FR85">
        <f t="shared" si="61"/>
        <v>0</v>
      </c>
      <c r="FS85">
        <v>0</v>
      </c>
      <c r="FX85">
        <v>0</v>
      </c>
      <c r="FY85">
        <v>0</v>
      </c>
      <c r="GA85" t="s">
        <v>3</v>
      </c>
      <c r="GD85">
        <v>1</v>
      </c>
      <c r="GF85">
        <v>-1757675419</v>
      </c>
      <c r="GG85">
        <v>2</v>
      </c>
      <c r="GH85">
        <v>1</v>
      </c>
      <c r="GI85">
        <v>2</v>
      </c>
      <c r="GJ85">
        <v>0</v>
      </c>
      <c r="GK85">
        <v>0</v>
      </c>
      <c r="GL85">
        <f t="shared" si="62"/>
        <v>0</v>
      </c>
      <c r="GM85">
        <f t="shared" si="63"/>
        <v>38623.629999999997</v>
      </c>
      <c r="GN85">
        <f t="shared" si="64"/>
        <v>38623.629999999997</v>
      </c>
      <c r="GO85">
        <f t="shared" si="65"/>
        <v>0</v>
      </c>
      <c r="GP85">
        <f t="shared" si="66"/>
        <v>0</v>
      </c>
      <c r="GR85">
        <v>0</v>
      </c>
      <c r="GS85">
        <v>3</v>
      </c>
      <c r="GT85">
        <v>0</v>
      </c>
      <c r="GU85" t="s">
        <v>3</v>
      </c>
      <c r="GV85">
        <f t="shared" si="67"/>
        <v>0</v>
      </c>
      <c r="GW85">
        <v>1</v>
      </c>
      <c r="GX85">
        <f t="shared" si="68"/>
        <v>0</v>
      </c>
      <c r="HA85">
        <v>0</v>
      </c>
      <c r="HB85">
        <v>0</v>
      </c>
      <c r="HC85">
        <f t="shared" si="69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IK85">
        <v>0</v>
      </c>
    </row>
    <row r="86" spans="1:245" x14ac:dyDescent="0.2">
      <c r="A86">
        <v>17</v>
      </c>
      <c r="B86">
        <v>1</v>
      </c>
      <c r="E86" t="s">
        <v>160</v>
      </c>
      <c r="F86" t="s">
        <v>161</v>
      </c>
      <c r="G86" t="s">
        <v>162</v>
      </c>
      <c r="H86" t="s">
        <v>117</v>
      </c>
      <c r="I86">
        <v>2.8459999999999999E-2</v>
      </c>
      <c r="J86">
        <v>0</v>
      </c>
      <c r="K86">
        <v>2.8459999999999999E-2</v>
      </c>
      <c r="O86">
        <f t="shared" si="30"/>
        <v>7166.09</v>
      </c>
      <c r="P86">
        <f t="shared" si="31"/>
        <v>7166.09</v>
      </c>
      <c r="Q86">
        <f t="shared" si="32"/>
        <v>0</v>
      </c>
      <c r="R86">
        <f t="shared" si="33"/>
        <v>0</v>
      </c>
      <c r="S86">
        <f t="shared" si="34"/>
        <v>0</v>
      </c>
      <c r="T86">
        <f t="shared" si="35"/>
        <v>0</v>
      </c>
      <c r="U86">
        <f t="shared" si="36"/>
        <v>0</v>
      </c>
      <c r="V86">
        <f t="shared" si="37"/>
        <v>0</v>
      </c>
      <c r="W86">
        <f t="shared" si="38"/>
        <v>0</v>
      </c>
      <c r="X86">
        <f t="shared" si="39"/>
        <v>0</v>
      </c>
      <c r="Y86">
        <f t="shared" si="40"/>
        <v>0</v>
      </c>
      <c r="AA86">
        <v>84186534</v>
      </c>
      <c r="AB86">
        <f t="shared" si="41"/>
        <v>10995.42</v>
      </c>
      <c r="AC86">
        <f t="shared" si="42"/>
        <v>10995.42</v>
      </c>
      <c r="AD86">
        <f t="shared" si="43"/>
        <v>0</v>
      </c>
      <c r="AE86">
        <f t="shared" si="44"/>
        <v>0</v>
      </c>
      <c r="AF86">
        <f t="shared" si="45"/>
        <v>0</v>
      </c>
      <c r="AG86">
        <f t="shared" si="46"/>
        <v>0</v>
      </c>
      <c r="AH86">
        <f t="shared" si="47"/>
        <v>0</v>
      </c>
      <c r="AI86">
        <f t="shared" si="48"/>
        <v>0</v>
      </c>
      <c r="AJ86">
        <f t="shared" si="49"/>
        <v>0</v>
      </c>
      <c r="AK86">
        <v>10995.42</v>
      </c>
      <c r="AL86">
        <v>10995.42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22.9</v>
      </c>
      <c r="BD86" t="s">
        <v>3</v>
      </c>
      <c r="BE86" t="s">
        <v>3</v>
      </c>
      <c r="BF86" t="s">
        <v>3</v>
      </c>
      <c r="BG86" t="s">
        <v>3</v>
      </c>
      <c r="BH86">
        <v>3</v>
      </c>
      <c r="BI86">
        <v>1</v>
      </c>
      <c r="BJ86" t="s">
        <v>163</v>
      </c>
      <c r="BM86">
        <v>500001</v>
      </c>
      <c r="BN86">
        <v>0</v>
      </c>
      <c r="BO86" t="s">
        <v>161</v>
      </c>
      <c r="BP86">
        <v>1</v>
      </c>
      <c r="BQ86">
        <v>8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0</v>
      </c>
      <c r="CA86">
        <v>0</v>
      </c>
      <c r="CB86" t="s">
        <v>3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50"/>
        <v>7166.09</v>
      </c>
      <c r="CQ86">
        <f t="shared" si="51"/>
        <v>251795.11799999999</v>
      </c>
      <c r="CR86">
        <f t="shared" si="52"/>
        <v>0</v>
      </c>
      <c r="CS86">
        <f t="shared" si="53"/>
        <v>0</v>
      </c>
      <c r="CT86">
        <f t="shared" si="54"/>
        <v>0</v>
      </c>
      <c r="CU86">
        <f t="shared" si="55"/>
        <v>0</v>
      </c>
      <c r="CV86">
        <f t="shared" si="56"/>
        <v>0</v>
      </c>
      <c r="CW86">
        <f t="shared" si="57"/>
        <v>0</v>
      </c>
      <c r="CX86">
        <f t="shared" si="58"/>
        <v>0</v>
      </c>
      <c r="CY86">
        <f>0</f>
        <v>0</v>
      </c>
      <c r="CZ86">
        <f>0</f>
        <v>0</v>
      </c>
      <c r="DC86" t="s">
        <v>3</v>
      </c>
      <c r="DD86" t="s">
        <v>3</v>
      </c>
      <c r="DE86" t="s">
        <v>3</v>
      </c>
      <c r="DF86" t="s">
        <v>3</v>
      </c>
      <c r="DG86" t="s">
        <v>3</v>
      </c>
      <c r="DH86" t="s">
        <v>3</v>
      </c>
      <c r="DI86" t="s">
        <v>3</v>
      </c>
      <c r="DJ86" t="s">
        <v>3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1009</v>
      </c>
      <c r="DV86" t="s">
        <v>117</v>
      </c>
      <c r="DW86" t="s">
        <v>117</v>
      </c>
      <c r="DX86">
        <v>1000</v>
      </c>
      <c r="DZ86" t="s">
        <v>3</v>
      </c>
      <c r="EA86" t="s">
        <v>3</v>
      </c>
      <c r="EB86" t="s">
        <v>3</v>
      </c>
      <c r="EC86" t="s">
        <v>3</v>
      </c>
      <c r="EE86">
        <v>79401762</v>
      </c>
      <c r="EF86">
        <v>8</v>
      </c>
      <c r="EG86" t="s">
        <v>157</v>
      </c>
      <c r="EH86">
        <v>0</v>
      </c>
      <c r="EI86" t="s">
        <v>3</v>
      </c>
      <c r="EJ86">
        <v>1</v>
      </c>
      <c r="EK86">
        <v>500001</v>
      </c>
      <c r="EL86" t="s">
        <v>158</v>
      </c>
      <c r="EM86" t="s">
        <v>159</v>
      </c>
      <c r="EO86" t="s">
        <v>3</v>
      </c>
      <c r="EQ86">
        <v>0</v>
      </c>
      <c r="ER86">
        <v>10995.42</v>
      </c>
      <c r="ES86">
        <v>10995.42</v>
      </c>
      <c r="ET86">
        <v>0</v>
      </c>
      <c r="EU86">
        <v>0</v>
      </c>
      <c r="EV86">
        <v>0</v>
      </c>
      <c r="EW86">
        <v>0</v>
      </c>
      <c r="EX86">
        <v>0</v>
      </c>
      <c r="EY86">
        <v>0</v>
      </c>
      <c r="FQ86">
        <v>0</v>
      </c>
      <c r="FR86">
        <f t="shared" si="61"/>
        <v>0</v>
      </c>
      <c r="FS86">
        <v>0</v>
      </c>
      <c r="FX86">
        <v>0</v>
      </c>
      <c r="FY86">
        <v>0</v>
      </c>
      <c r="GA86" t="s">
        <v>3</v>
      </c>
      <c r="GD86">
        <v>1</v>
      </c>
      <c r="GF86">
        <v>-735871856</v>
      </c>
      <c r="GG86">
        <v>2</v>
      </c>
      <c r="GH86">
        <v>1</v>
      </c>
      <c r="GI86">
        <v>2</v>
      </c>
      <c r="GJ86">
        <v>0</v>
      </c>
      <c r="GK86">
        <v>0</v>
      </c>
      <c r="GL86">
        <f t="shared" si="62"/>
        <v>0</v>
      </c>
      <c r="GM86">
        <f t="shared" si="63"/>
        <v>7166.09</v>
      </c>
      <c r="GN86">
        <f t="shared" si="64"/>
        <v>7166.09</v>
      </c>
      <c r="GO86">
        <f t="shared" si="65"/>
        <v>0</v>
      </c>
      <c r="GP86">
        <f t="shared" si="66"/>
        <v>0</v>
      </c>
      <c r="GR86">
        <v>0</v>
      </c>
      <c r="GS86">
        <v>3</v>
      </c>
      <c r="GT86">
        <v>0</v>
      </c>
      <c r="GU86" t="s">
        <v>3</v>
      </c>
      <c r="GV86">
        <f t="shared" si="67"/>
        <v>0</v>
      </c>
      <c r="GW86">
        <v>1</v>
      </c>
      <c r="GX86">
        <f t="shared" si="68"/>
        <v>0</v>
      </c>
      <c r="HA86">
        <v>0</v>
      </c>
      <c r="HB86">
        <v>0</v>
      </c>
      <c r="HC86">
        <f t="shared" si="69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IK86">
        <v>0</v>
      </c>
    </row>
    <row r="87" spans="1:245" x14ac:dyDescent="0.2">
      <c r="A87">
        <v>17</v>
      </c>
      <c r="B87">
        <v>1</v>
      </c>
      <c r="E87" t="s">
        <v>164</v>
      </c>
      <c r="F87" t="s">
        <v>165</v>
      </c>
      <c r="G87" t="s">
        <v>166</v>
      </c>
      <c r="H87" t="s">
        <v>139</v>
      </c>
      <c r="I87">
        <v>2.36</v>
      </c>
      <c r="J87">
        <v>0</v>
      </c>
      <c r="K87">
        <v>2.36</v>
      </c>
      <c r="O87">
        <f t="shared" si="30"/>
        <v>169.64</v>
      </c>
      <c r="P87">
        <f t="shared" si="31"/>
        <v>169.64</v>
      </c>
      <c r="Q87">
        <f t="shared" si="32"/>
        <v>0</v>
      </c>
      <c r="R87">
        <f t="shared" si="33"/>
        <v>0</v>
      </c>
      <c r="S87">
        <f t="shared" si="34"/>
        <v>0</v>
      </c>
      <c r="T87">
        <f t="shared" si="35"/>
        <v>0</v>
      </c>
      <c r="U87">
        <f t="shared" si="36"/>
        <v>0</v>
      </c>
      <c r="V87">
        <f t="shared" si="37"/>
        <v>0</v>
      </c>
      <c r="W87">
        <f t="shared" si="38"/>
        <v>0</v>
      </c>
      <c r="X87">
        <f t="shared" si="39"/>
        <v>0</v>
      </c>
      <c r="Y87">
        <f t="shared" si="40"/>
        <v>0</v>
      </c>
      <c r="AA87">
        <v>84186534</v>
      </c>
      <c r="AB87">
        <f t="shared" si="41"/>
        <v>9.74</v>
      </c>
      <c r="AC87">
        <f t="shared" si="42"/>
        <v>9.74</v>
      </c>
      <c r="AD87">
        <f t="shared" si="43"/>
        <v>0</v>
      </c>
      <c r="AE87">
        <f t="shared" si="44"/>
        <v>0</v>
      </c>
      <c r="AF87">
        <f t="shared" si="45"/>
        <v>0</v>
      </c>
      <c r="AG87">
        <f t="shared" si="46"/>
        <v>0</v>
      </c>
      <c r="AH87">
        <f t="shared" si="47"/>
        <v>0</v>
      </c>
      <c r="AI87">
        <f t="shared" si="48"/>
        <v>0</v>
      </c>
      <c r="AJ87">
        <f t="shared" si="49"/>
        <v>0</v>
      </c>
      <c r="AK87">
        <v>9.74</v>
      </c>
      <c r="AL87">
        <v>9.74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7.38</v>
      </c>
      <c r="BD87" t="s">
        <v>3</v>
      </c>
      <c r="BE87" t="s">
        <v>3</v>
      </c>
      <c r="BF87" t="s">
        <v>3</v>
      </c>
      <c r="BG87" t="s">
        <v>3</v>
      </c>
      <c r="BH87">
        <v>3</v>
      </c>
      <c r="BI87">
        <v>1</v>
      </c>
      <c r="BJ87" t="s">
        <v>167</v>
      </c>
      <c r="BM87">
        <v>500001</v>
      </c>
      <c r="BN87">
        <v>0</v>
      </c>
      <c r="BO87" t="s">
        <v>165</v>
      </c>
      <c r="BP87">
        <v>1</v>
      </c>
      <c r="BQ87">
        <v>8</v>
      </c>
      <c r="BR87">
        <v>0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0</v>
      </c>
      <c r="CA87">
        <v>0</v>
      </c>
      <c r="CB87" t="s">
        <v>3</v>
      </c>
      <c r="CE87">
        <v>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50"/>
        <v>169.64</v>
      </c>
      <c r="CQ87">
        <f t="shared" si="51"/>
        <v>71.881200000000007</v>
      </c>
      <c r="CR87">
        <f t="shared" si="52"/>
        <v>0</v>
      </c>
      <c r="CS87">
        <f t="shared" si="53"/>
        <v>0</v>
      </c>
      <c r="CT87">
        <f t="shared" si="54"/>
        <v>0</v>
      </c>
      <c r="CU87">
        <f t="shared" si="55"/>
        <v>0</v>
      </c>
      <c r="CV87">
        <f t="shared" si="56"/>
        <v>0</v>
      </c>
      <c r="CW87">
        <f t="shared" si="57"/>
        <v>0</v>
      </c>
      <c r="CX87">
        <f t="shared" si="58"/>
        <v>0</v>
      </c>
      <c r="CY87">
        <f>0</f>
        <v>0</v>
      </c>
      <c r="CZ87">
        <f>0</f>
        <v>0</v>
      </c>
      <c r="DC87" t="s">
        <v>3</v>
      </c>
      <c r="DD87" t="s">
        <v>3</v>
      </c>
      <c r="DE87" t="s">
        <v>3</v>
      </c>
      <c r="DF87" t="s">
        <v>3</v>
      </c>
      <c r="DG87" t="s">
        <v>3</v>
      </c>
      <c r="DH87" t="s">
        <v>3</v>
      </c>
      <c r="DI87" t="s">
        <v>3</v>
      </c>
      <c r="DJ87" t="s">
        <v>3</v>
      </c>
      <c r="DK87" t="s">
        <v>3</v>
      </c>
      <c r="DL87" t="s">
        <v>3</v>
      </c>
      <c r="DM87" t="s">
        <v>3</v>
      </c>
      <c r="DN87">
        <v>0</v>
      </c>
      <c r="DO87">
        <v>0</v>
      </c>
      <c r="DP87">
        <v>1</v>
      </c>
      <c r="DQ87">
        <v>1</v>
      </c>
      <c r="DU87">
        <v>1009</v>
      </c>
      <c r="DV87" t="s">
        <v>139</v>
      </c>
      <c r="DW87" t="s">
        <v>139</v>
      </c>
      <c r="DX87">
        <v>1</v>
      </c>
      <c r="DZ87" t="s">
        <v>3</v>
      </c>
      <c r="EA87" t="s">
        <v>3</v>
      </c>
      <c r="EB87" t="s">
        <v>3</v>
      </c>
      <c r="EC87" t="s">
        <v>3</v>
      </c>
      <c r="EE87">
        <v>79401762</v>
      </c>
      <c r="EF87">
        <v>8</v>
      </c>
      <c r="EG87" t="s">
        <v>157</v>
      </c>
      <c r="EH87">
        <v>0</v>
      </c>
      <c r="EI87" t="s">
        <v>3</v>
      </c>
      <c r="EJ87">
        <v>1</v>
      </c>
      <c r="EK87">
        <v>500001</v>
      </c>
      <c r="EL87" t="s">
        <v>158</v>
      </c>
      <c r="EM87" t="s">
        <v>159</v>
      </c>
      <c r="EO87" t="s">
        <v>3</v>
      </c>
      <c r="EQ87">
        <v>0</v>
      </c>
      <c r="ER87">
        <v>9.74</v>
      </c>
      <c r="ES87">
        <v>9.74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FQ87">
        <v>0</v>
      </c>
      <c r="FR87">
        <f t="shared" si="61"/>
        <v>0</v>
      </c>
      <c r="FS87">
        <v>0</v>
      </c>
      <c r="FX87">
        <v>0</v>
      </c>
      <c r="FY87">
        <v>0</v>
      </c>
      <c r="GA87" t="s">
        <v>3</v>
      </c>
      <c r="GD87">
        <v>1</v>
      </c>
      <c r="GF87">
        <v>-262877765</v>
      </c>
      <c r="GG87">
        <v>2</v>
      </c>
      <c r="GH87">
        <v>1</v>
      </c>
      <c r="GI87">
        <v>2</v>
      </c>
      <c r="GJ87">
        <v>0</v>
      </c>
      <c r="GK87">
        <v>0</v>
      </c>
      <c r="GL87">
        <f t="shared" si="62"/>
        <v>0</v>
      </c>
      <c r="GM87">
        <f t="shared" si="63"/>
        <v>169.64</v>
      </c>
      <c r="GN87">
        <f t="shared" si="64"/>
        <v>169.64</v>
      </c>
      <c r="GO87">
        <f t="shared" si="65"/>
        <v>0</v>
      </c>
      <c r="GP87">
        <f t="shared" si="66"/>
        <v>0</v>
      </c>
      <c r="GR87">
        <v>0</v>
      </c>
      <c r="GS87">
        <v>3</v>
      </c>
      <c r="GT87">
        <v>0</v>
      </c>
      <c r="GU87" t="s">
        <v>3</v>
      </c>
      <c r="GV87">
        <f t="shared" si="67"/>
        <v>0</v>
      </c>
      <c r="GW87">
        <v>1</v>
      </c>
      <c r="GX87">
        <f t="shared" si="68"/>
        <v>0</v>
      </c>
      <c r="HA87">
        <v>0</v>
      </c>
      <c r="HB87">
        <v>0</v>
      </c>
      <c r="HC87">
        <f t="shared" si="69"/>
        <v>0</v>
      </c>
      <c r="HE87" t="s">
        <v>3</v>
      </c>
      <c r="HF87" t="s">
        <v>3</v>
      </c>
      <c r="HM87" t="s">
        <v>3</v>
      </c>
      <c r="HN87" t="s">
        <v>3</v>
      </c>
      <c r="HO87" t="s">
        <v>3</v>
      </c>
      <c r="HP87" t="s">
        <v>3</v>
      </c>
      <c r="HQ87" t="s">
        <v>3</v>
      </c>
      <c r="IK87">
        <v>0</v>
      </c>
    </row>
    <row r="88" spans="1:245" x14ac:dyDescent="0.2">
      <c r="A88">
        <v>17</v>
      </c>
      <c r="B88">
        <v>1</v>
      </c>
      <c r="E88" t="s">
        <v>168</v>
      </c>
      <c r="F88" t="s">
        <v>169</v>
      </c>
      <c r="G88" t="s">
        <v>170</v>
      </c>
      <c r="H88" t="s">
        <v>117</v>
      </c>
      <c r="I88">
        <v>5.169E-3</v>
      </c>
      <c r="J88">
        <v>0</v>
      </c>
      <c r="K88">
        <v>5.169E-3</v>
      </c>
      <c r="O88">
        <f t="shared" si="30"/>
        <v>367.31</v>
      </c>
      <c r="P88">
        <f t="shared" si="31"/>
        <v>367.31</v>
      </c>
      <c r="Q88">
        <f t="shared" si="32"/>
        <v>0</v>
      </c>
      <c r="R88">
        <f t="shared" si="33"/>
        <v>0</v>
      </c>
      <c r="S88">
        <f t="shared" si="34"/>
        <v>0</v>
      </c>
      <c r="T88">
        <f t="shared" si="35"/>
        <v>0</v>
      </c>
      <c r="U88">
        <f t="shared" si="36"/>
        <v>0</v>
      </c>
      <c r="V88">
        <f t="shared" si="37"/>
        <v>0</v>
      </c>
      <c r="W88">
        <f t="shared" si="38"/>
        <v>0</v>
      </c>
      <c r="X88">
        <f t="shared" si="39"/>
        <v>0</v>
      </c>
      <c r="Y88">
        <f t="shared" si="40"/>
        <v>0</v>
      </c>
      <c r="AA88">
        <v>84186534</v>
      </c>
      <c r="AB88">
        <f t="shared" si="41"/>
        <v>6813</v>
      </c>
      <c r="AC88">
        <f t="shared" si="42"/>
        <v>6813</v>
      </c>
      <c r="AD88">
        <f t="shared" si="43"/>
        <v>0</v>
      </c>
      <c r="AE88">
        <f t="shared" si="44"/>
        <v>0</v>
      </c>
      <c r="AF88">
        <f t="shared" si="45"/>
        <v>0</v>
      </c>
      <c r="AG88">
        <f t="shared" si="46"/>
        <v>0</v>
      </c>
      <c r="AH88">
        <f t="shared" si="47"/>
        <v>0</v>
      </c>
      <c r="AI88">
        <f t="shared" si="48"/>
        <v>0</v>
      </c>
      <c r="AJ88">
        <f t="shared" si="49"/>
        <v>0</v>
      </c>
      <c r="AK88">
        <v>6813</v>
      </c>
      <c r="AL88">
        <v>6813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1</v>
      </c>
      <c r="AW88">
        <v>1</v>
      </c>
      <c r="AZ88">
        <v>1</v>
      </c>
      <c r="BA88">
        <v>1</v>
      </c>
      <c r="BB88">
        <v>1</v>
      </c>
      <c r="BC88">
        <v>10.43</v>
      </c>
      <c r="BD88" t="s">
        <v>3</v>
      </c>
      <c r="BE88" t="s">
        <v>3</v>
      </c>
      <c r="BF88" t="s">
        <v>3</v>
      </c>
      <c r="BG88" t="s">
        <v>3</v>
      </c>
      <c r="BH88">
        <v>3</v>
      </c>
      <c r="BI88">
        <v>1</v>
      </c>
      <c r="BJ88" t="s">
        <v>171</v>
      </c>
      <c r="BM88">
        <v>500001</v>
      </c>
      <c r="BN88">
        <v>0</v>
      </c>
      <c r="BO88" t="s">
        <v>169</v>
      </c>
      <c r="BP88">
        <v>1</v>
      </c>
      <c r="BQ88">
        <v>8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0</v>
      </c>
      <c r="CA88">
        <v>0</v>
      </c>
      <c r="CB88" t="s">
        <v>3</v>
      </c>
      <c r="CE88">
        <v>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50"/>
        <v>367.31</v>
      </c>
      <c r="CQ88">
        <f t="shared" si="51"/>
        <v>71059.59</v>
      </c>
      <c r="CR88">
        <f t="shared" si="52"/>
        <v>0</v>
      </c>
      <c r="CS88">
        <f t="shared" si="53"/>
        <v>0</v>
      </c>
      <c r="CT88">
        <f t="shared" si="54"/>
        <v>0</v>
      </c>
      <c r="CU88">
        <f t="shared" si="55"/>
        <v>0</v>
      </c>
      <c r="CV88">
        <f t="shared" si="56"/>
        <v>0</v>
      </c>
      <c r="CW88">
        <f t="shared" si="57"/>
        <v>0</v>
      </c>
      <c r="CX88">
        <f t="shared" si="58"/>
        <v>0</v>
      </c>
      <c r="CY88">
        <f>0</f>
        <v>0</v>
      </c>
      <c r="CZ88">
        <f>0</f>
        <v>0</v>
      </c>
      <c r="DC88" t="s">
        <v>3</v>
      </c>
      <c r="DD88" t="s">
        <v>3</v>
      </c>
      <c r="DE88" t="s">
        <v>3</v>
      </c>
      <c r="DF88" t="s">
        <v>3</v>
      </c>
      <c r="DG88" t="s">
        <v>3</v>
      </c>
      <c r="DH88" t="s">
        <v>3</v>
      </c>
      <c r="DI88" t="s">
        <v>3</v>
      </c>
      <c r="DJ88" t="s">
        <v>3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1009</v>
      </c>
      <c r="DV88" t="s">
        <v>117</v>
      </c>
      <c r="DW88" t="s">
        <v>117</v>
      </c>
      <c r="DX88">
        <v>1000</v>
      </c>
      <c r="DZ88" t="s">
        <v>3</v>
      </c>
      <c r="EA88" t="s">
        <v>3</v>
      </c>
      <c r="EB88" t="s">
        <v>3</v>
      </c>
      <c r="EC88" t="s">
        <v>3</v>
      </c>
      <c r="EE88">
        <v>79401762</v>
      </c>
      <c r="EF88">
        <v>8</v>
      </c>
      <c r="EG88" t="s">
        <v>157</v>
      </c>
      <c r="EH88">
        <v>0</v>
      </c>
      <c r="EI88" t="s">
        <v>3</v>
      </c>
      <c r="EJ88">
        <v>1</v>
      </c>
      <c r="EK88">
        <v>500001</v>
      </c>
      <c r="EL88" t="s">
        <v>158</v>
      </c>
      <c r="EM88" t="s">
        <v>159</v>
      </c>
      <c r="EO88" t="s">
        <v>3</v>
      </c>
      <c r="EQ88">
        <v>0</v>
      </c>
      <c r="ER88">
        <v>6813</v>
      </c>
      <c r="ES88">
        <v>6813</v>
      </c>
      <c r="ET88">
        <v>0</v>
      </c>
      <c r="EU88">
        <v>0</v>
      </c>
      <c r="EV88">
        <v>0</v>
      </c>
      <c r="EW88">
        <v>0</v>
      </c>
      <c r="EX88">
        <v>0</v>
      </c>
      <c r="EY88">
        <v>0</v>
      </c>
      <c r="FQ88">
        <v>0</v>
      </c>
      <c r="FR88">
        <f t="shared" si="61"/>
        <v>0</v>
      </c>
      <c r="FS88">
        <v>0</v>
      </c>
      <c r="FX88">
        <v>0</v>
      </c>
      <c r="FY88">
        <v>0</v>
      </c>
      <c r="GA88" t="s">
        <v>3</v>
      </c>
      <c r="GD88">
        <v>1</v>
      </c>
      <c r="GF88">
        <v>-1375793846</v>
      </c>
      <c r="GG88">
        <v>2</v>
      </c>
      <c r="GH88">
        <v>1</v>
      </c>
      <c r="GI88">
        <v>2</v>
      </c>
      <c r="GJ88">
        <v>0</v>
      </c>
      <c r="GK88">
        <v>0</v>
      </c>
      <c r="GL88">
        <f t="shared" si="62"/>
        <v>0</v>
      </c>
      <c r="GM88">
        <f t="shared" si="63"/>
        <v>367.31</v>
      </c>
      <c r="GN88">
        <f t="shared" si="64"/>
        <v>367.31</v>
      </c>
      <c r="GO88">
        <f t="shared" si="65"/>
        <v>0</v>
      </c>
      <c r="GP88">
        <f t="shared" si="66"/>
        <v>0</v>
      </c>
      <c r="GR88">
        <v>0</v>
      </c>
      <c r="GS88">
        <v>3</v>
      </c>
      <c r="GT88">
        <v>0</v>
      </c>
      <c r="GU88" t="s">
        <v>3</v>
      </c>
      <c r="GV88">
        <f t="shared" si="67"/>
        <v>0</v>
      </c>
      <c r="GW88">
        <v>1</v>
      </c>
      <c r="GX88">
        <f t="shared" si="68"/>
        <v>0</v>
      </c>
      <c r="HA88">
        <v>0</v>
      </c>
      <c r="HB88">
        <v>0</v>
      </c>
      <c r="HC88">
        <f t="shared" si="69"/>
        <v>0</v>
      </c>
      <c r="HE88" t="s">
        <v>3</v>
      </c>
      <c r="HF88" t="s">
        <v>3</v>
      </c>
      <c r="HM88" t="s">
        <v>3</v>
      </c>
      <c r="HN88" t="s">
        <v>3</v>
      </c>
      <c r="HO88" t="s">
        <v>3</v>
      </c>
      <c r="HP88" t="s">
        <v>3</v>
      </c>
      <c r="HQ88" t="s">
        <v>3</v>
      </c>
      <c r="IK88">
        <v>0</v>
      </c>
    </row>
    <row r="89" spans="1:245" x14ac:dyDescent="0.2">
      <c r="A89">
        <v>17</v>
      </c>
      <c r="B89">
        <v>1</v>
      </c>
      <c r="E89" t="s">
        <v>172</v>
      </c>
      <c r="F89" t="s">
        <v>173</v>
      </c>
      <c r="G89" t="s">
        <v>174</v>
      </c>
      <c r="H89" t="s">
        <v>126</v>
      </c>
      <c r="I89">
        <v>3</v>
      </c>
      <c r="J89">
        <v>0</v>
      </c>
      <c r="K89">
        <v>3</v>
      </c>
      <c r="O89">
        <f t="shared" si="30"/>
        <v>874.17</v>
      </c>
      <c r="P89">
        <f t="shared" si="31"/>
        <v>874.17</v>
      </c>
      <c r="Q89">
        <f t="shared" si="32"/>
        <v>0</v>
      </c>
      <c r="R89">
        <f t="shared" si="33"/>
        <v>0</v>
      </c>
      <c r="S89">
        <f t="shared" si="34"/>
        <v>0</v>
      </c>
      <c r="T89">
        <f t="shared" si="35"/>
        <v>0</v>
      </c>
      <c r="U89">
        <f t="shared" si="36"/>
        <v>0</v>
      </c>
      <c r="V89">
        <f t="shared" si="37"/>
        <v>0</v>
      </c>
      <c r="W89">
        <f t="shared" si="38"/>
        <v>0</v>
      </c>
      <c r="X89">
        <f t="shared" si="39"/>
        <v>0</v>
      </c>
      <c r="Y89">
        <f t="shared" si="40"/>
        <v>0</v>
      </c>
      <c r="AA89">
        <v>84186534</v>
      </c>
      <c r="AB89">
        <f t="shared" si="41"/>
        <v>43.95</v>
      </c>
      <c r="AC89">
        <f t="shared" si="42"/>
        <v>43.95</v>
      </c>
      <c r="AD89">
        <f t="shared" si="43"/>
        <v>0</v>
      </c>
      <c r="AE89">
        <f t="shared" si="44"/>
        <v>0</v>
      </c>
      <c r="AF89">
        <f t="shared" si="45"/>
        <v>0</v>
      </c>
      <c r="AG89">
        <f t="shared" si="46"/>
        <v>0</v>
      </c>
      <c r="AH89">
        <f t="shared" si="47"/>
        <v>0</v>
      </c>
      <c r="AI89">
        <f t="shared" si="48"/>
        <v>0</v>
      </c>
      <c r="AJ89">
        <f t="shared" si="49"/>
        <v>0</v>
      </c>
      <c r="AK89">
        <v>43.95</v>
      </c>
      <c r="AL89">
        <v>43.95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1</v>
      </c>
      <c r="AW89">
        <v>1</v>
      </c>
      <c r="AZ89">
        <v>1</v>
      </c>
      <c r="BA89">
        <v>1</v>
      </c>
      <c r="BB89">
        <v>1</v>
      </c>
      <c r="BC89">
        <v>6.63</v>
      </c>
      <c r="BD89" t="s">
        <v>3</v>
      </c>
      <c r="BE89" t="s">
        <v>3</v>
      </c>
      <c r="BF89" t="s">
        <v>3</v>
      </c>
      <c r="BG89" t="s">
        <v>3</v>
      </c>
      <c r="BH89">
        <v>3</v>
      </c>
      <c r="BI89">
        <v>1</v>
      </c>
      <c r="BJ89" t="s">
        <v>175</v>
      </c>
      <c r="BM89">
        <v>500001</v>
      </c>
      <c r="BN89">
        <v>0</v>
      </c>
      <c r="BO89" t="s">
        <v>173</v>
      </c>
      <c r="BP89">
        <v>1</v>
      </c>
      <c r="BQ89">
        <v>8</v>
      </c>
      <c r="BR89">
        <v>0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0</v>
      </c>
      <c r="CA89">
        <v>0</v>
      </c>
      <c r="CB89" t="s">
        <v>3</v>
      </c>
      <c r="CE89">
        <v>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50"/>
        <v>874.17</v>
      </c>
      <c r="CQ89">
        <f t="shared" si="51"/>
        <v>291.38850000000002</v>
      </c>
      <c r="CR89">
        <f t="shared" si="52"/>
        <v>0</v>
      </c>
      <c r="CS89">
        <f t="shared" si="53"/>
        <v>0</v>
      </c>
      <c r="CT89">
        <f t="shared" si="54"/>
        <v>0</v>
      </c>
      <c r="CU89">
        <f t="shared" si="55"/>
        <v>0</v>
      </c>
      <c r="CV89">
        <f t="shared" si="56"/>
        <v>0</v>
      </c>
      <c r="CW89">
        <f t="shared" si="57"/>
        <v>0</v>
      </c>
      <c r="CX89">
        <f t="shared" si="58"/>
        <v>0</v>
      </c>
      <c r="CY89">
        <f>0</f>
        <v>0</v>
      </c>
      <c r="CZ89">
        <f>0</f>
        <v>0</v>
      </c>
      <c r="DC89" t="s">
        <v>3</v>
      </c>
      <c r="DD89" t="s">
        <v>3</v>
      </c>
      <c r="DE89" t="s">
        <v>3</v>
      </c>
      <c r="DF89" t="s">
        <v>3</v>
      </c>
      <c r="DG89" t="s">
        <v>3</v>
      </c>
      <c r="DH89" t="s">
        <v>3</v>
      </c>
      <c r="DI89" t="s">
        <v>3</v>
      </c>
      <c r="DJ89" t="s">
        <v>3</v>
      </c>
      <c r="DK89" t="s">
        <v>3</v>
      </c>
      <c r="DL89" t="s">
        <v>3</v>
      </c>
      <c r="DM89" t="s">
        <v>3</v>
      </c>
      <c r="DN89">
        <v>0</v>
      </c>
      <c r="DO89">
        <v>0</v>
      </c>
      <c r="DP89">
        <v>1</v>
      </c>
      <c r="DQ89">
        <v>1</v>
      </c>
      <c r="DU89">
        <v>1010</v>
      </c>
      <c r="DV89" t="s">
        <v>126</v>
      </c>
      <c r="DW89" t="s">
        <v>126</v>
      </c>
      <c r="DX89">
        <v>1</v>
      </c>
      <c r="DZ89" t="s">
        <v>3</v>
      </c>
      <c r="EA89" t="s">
        <v>3</v>
      </c>
      <c r="EB89" t="s">
        <v>3</v>
      </c>
      <c r="EC89" t="s">
        <v>3</v>
      </c>
      <c r="EE89">
        <v>79401762</v>
      </c>
      <c r="EF89">
        <v>8</v>
      </c>
      <c r="EG89" t="s">
        <v>157</v>
      </c>
      <c r="EH89">
        <v>0</v>
      </c>
      <c r="EI89" t="s">
        <v>3</v>
      </c>
      <c r="EJ89">
        <v>1</v>
      </c>
      <c r="EK89">
        <v>500001</v>
      </c>
      <c r="EL89" t="s">
        <v>158</v>
      </c>
      <c r="EM89" t="s">
        <v>159</v>
      </c>
      <c r="EO89" t="s">
        <v>3</v>
      </c>
      <c r="EQ89">
        <v>0</v>
      </c>
      <c r="ER89">
        <v>43.95</v>
      </c>
      <c r="ES89">
        <v>43.95</v>
      </c>
      <c r="ET89">
        <v>0</v>
      </c>
      <c r="EU89">
        <v>0</v>
      </c>
      <c r="EV89">
        <v>0</v>
      </c>
      <c r="EW89">
        <v>0</v>
      </c>
      <c r="EX89">
        <v>0</v>
      </c>
      <c r="EY89">
        <v>0</v>
      </c>
      <c r="FQ89">
        <v>0</v>
      </c>
      <c r="FR89">
        <f t="shared" si="61"/>
        <v>0</v>
      </c>
      <c r="FS89">
        <v>0</v>
      </c>
      <c r="FX89">
        <v>0</v>
      </c>
      <c r="FY89">
        <v>0</v>
      </c>
      <c r="GA89" t="s">
        <v>3</v>
      </c>
      <c r="GD89">
        <v>1</v>
      </c>
      <c r="GF89">
        <v>-1794469599</v>
      </c>
      <c r="GG89">
        <v>2</v>
      </c>
      <c r="GH89">
        <v>1</v>
      </c>
      <c r="GI89">
        <v>2</v>
      </c>
      <c r="GJ89">
        <v>0</v>
      </c>
      <c r="GK89">
        <v>0</v>
      </c>
      <c r="GL89">
        <f t="shared" si="62"/>
        <v>0</v>
      </c>
      <c r="GM89">
        <f t="shared" si="63"/>
        <v>874.17</v>
      </c>
      <c r="GN89">
        <f t="shared" si="64"/>
        <v>874.17</v>
      </c>
      <c r="GO89">
        <f t="shared" si="65"/>
        <v>0</v>
      </c>
      <c r="GP89">
        <f t="shared" si="66"/>
        <v>0</v>
      </c>
      <c r="GR89">
        <v>0</v>
      </c>
      <c r="GS89">
        <v>3</v>
      </c>
      <c r="GT89">
        <v>0</v>
      </c>
      <c r="GU89" t="s">
        <v>3</v>
      </c>
      <c r="GV89">
        <f t="shared" si="67"/>
        <v>0</v>
      </c>
      <c r="GW89">
        <v>1</v>
      </c>
      <c r="GX89">
        <f t="shared" si="68"/>
        <v>0</v>
      </c>
      <c r="HA89">
        <v>0</v>
      </c>
      <c r="HB89">
        <v>0</v>
      </c>
      <c r="HC89">
        <f t="shared" si="69"/>
        <v>0</v>
      </c>
      <c r="HE89" t="s">
        <v>3</v>
      </c>
      <c r="HF89" t="s">
        <v>3</v>
      </c>
      <c r="HM89" t="s">
        <v>3</v>
      </c>
      <c r="HN89" t="s">
        <v>3</v>
      </c>
      <c r="HO89" t="s">
        <v>3</v>
      </c>
      <c r="HP89" t="s">
        <v>3</v>
      </c>
      <c r="HQ89" t="s">
        <v>3</v>
      </c>
      <c r="IK89">
        <v>0</v>
      </c>
    </row>
    <row r="90" spans="1:245" x14ac:dyDescent="0.2">
      <c r="A90">
        <v>17</v>
      </c>
      <c r="B90">
        <v>1</v>
      </c>
      <c r="E90" t="s">
        <v>176</v>
      </c>
      <c r="F90" t="s">
        <v>177</v>
      </c>
      <c r="G90" t="s">
        <v>178</v>
      </c>
      <c r="H90" t="s">
        <v>126</v>
      </c>
      <c r="I90">
        <v>3</v>
      </c>
      <c r="J90">
        <v>0</v>
      </c>
      <c r="K90">
        <v>3</v>
      </c>
      <c r="O90">
        <f t="shared" si="30"/>
        <v>2257.6999999999998</v>
      </c>
      <c r="P90">
        <f t="shared" si="31"/>
        <v>2257.6999999999998</v>
      </c>
      <c r="Q90">
        <f t="shared" si="32"/>
        <v>0</v>
      </c>
      <c r="R90">
        <f t="shared" si="33"/>
        <v>0</v>
      </c>
      <c r="S90">
        <f t="shared" si="34"/>
        <v>0</v>
      </c>
      <c r="T90">
        <f t="shared" si="35"/>
        <v>0</v>
      </c>
      <c r="U90">
        <f t="shared" si="36"/>
        <v>0</v>
      </c>
      <c r="V90">
        <f t="shared" si="37"/>
        <v>0</v>
      </c>
      <c r="W90">
        <f t="shared" si="38"/>
        <v>0</v>
      </c>
      <c r="X90">
        <f t="shared" si="39"/>
        <v>0</v>
      </c>
      <c r="Y90">
        <f t="shared" si="40"/>
        <v>0</v>
      </c>
      <c r="AA90">
        <v>84186534</v>
      </c>
      <c r="AB90">
        <f t="shared" si="41"/>
        <v>90.78</v>
      </c>
      <c r="AC90">
        <f t="shared" si="42"/>
        <v>90.78</v>
      </c>
      <c r="AD90">
        <f t="shared" si="43"/>
        <v>0</v>
      </c>
      <c r="AE90">
        <f t="shared" si="44"/>
        <v>0</v>
      </c>
      <c r="AF90">
        <f t="shared" si="45"/>
        <v>0</v>
      </c>
      <c r="AG90">
        <f t="shared" si="46"/>
        <v>0</v>
      </c>
      <c r="AH90">
        <f t="shared" si="47"/>
        <v>0</v>
      </c>
      <c r="AI90">
        <f t="shared" si="48"/>
        <v>0</v>
      </c>
      <c r="AJ90">
        <f t="shared" si="49"/>
        <v>0</v>
      </c>
      <c r="AK90">
        <v>90.78</v>
      </c>
      <c r="AL90">
        <v>90.78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1</v>
      </c>
      <c r="AW90">
        <v>1</v>
      </c>
      <c r="AZ90">
        <v>1</v>
      </c>
      <c r="BA90">
        <v>1</v>
      </c>
      <c r="BB90">
        <v>1</v>
      </c>
      <c r="BC90">
        <v>8.2899999999999991</v>
      </c>
      <c r="BD90" t="s">
        <v>3</v>
      </c>
      <c r="BE90" t="s">
        <v>3</v>
      </c>
      <c r="BF90" t="s">
        <v>3</v>
      </c>
      <c r="BG90" t="s">
        <v>3</v>
      </c>
      <c r="BH90">
        <v>3</v>
      </c>
      <c r="BI90">
        <v>2</v>
      </c>
      <c r="BJ90" t="s">
        <v>179</v>
      </c>
      <c r="BM90">
        <v>500002</v>
      </c>
      <c r="BN90">
        <v>0</v>
      </c>
      <c r="BO90" t="s">
        <v>177</v>
      </c>
      <c r="BP90">
        <v>1</v>
      </c>
      <c r="BQ90">
        <v>12</v>
      </c>
      <c r="BR90">
        <v>0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0</v>
      </c>
      <c r="CA90">
        <v>0</v>
      </c>
      <c r="CB90" t="s">
        <v>3</v>
      </c>
      <c r="CE90">
        <v>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50"/>
        <v>2257.6999999999998</v>
      </c>
      <c r="CQ90">
        <f t="shared" si="51"/>
        <v>752.56619999999998</v>
      </c>
      <c r="CR90">
        <f t="shared" si="52"/>
        <v>0</v>
      </c>
      <c r="CS90">
        <f t="shared" si="53"/>
        <v>0</v>
      </c>
      <c r="CT90">
        <f t="shared" si="54"/>
        <v>0</v>
      </c>
      <c r="CU90">
        <f t="shared" si="55"/>
        <v>0</v>
      </c>
      <c r="CV90">
        <f t="shared" si="56"/>
        <v>0</v>
      </c>
      <c r="CW90">
        <f t="shared" si="57"/>
        <v>0</v>
      </c>
      <c r="CX90">
        <f t="shared" si="58"/>
        <v>0</v>
      </c>
      <c r="CY90">
        <f>0</f>
        <v>0</v>
      </c>
      <c r="CZ90">
        <f>0</f>
        <v>0</v>
      </c>
      <c r="DC90" t="s">
        <v>3</v>
      </c>
      <c r="DD90" t="s">
        <v>3</v>
      </c>
      <c r="DE90" t="s">
        <v>3</v>
      </c>
      <c r="DF90" t="s">
        <v>3</v>
      </c>
      <c r="DG90" t="s">
        <v>3</v>
      </c>
      <c r="DH90" t="s">
        <v>3</v>
      </c>
      <c r="DI90" t="s">
        <v>3</v>
      </c>
      <c r="DJ90" t="s">
        <v>3</v>
      </c>
      <c r="DK90" t="s">
        <v>3</v>
      </c>
      <c r="DL90" t="s">
        <v>3</v>
      </c>
      <c r="DM90" t="s">
        <v>3</v>
      </c>
      <c r="DN90">
        <v>0</v>
      </c>
      <c r="DO90">
        <v>0</v>
      </c>
      <c r="DP90">
        <v>1</v>
      </c>
      <c r="DQ90">
        <v>1</v>
      </c>
      <c r="DU90">
        <v>1010</v>
      </c>
      <c r="DV90" t="s">
        <v>126</v>
      </c>
      <c r="DW90" t="s">
        <v>126</v>
      </c>
      <c r="DX90">
        <v>1</v>
      </c>
      <c r="DZ90" t="s">
        <v>3</v>
      </c>
      <c r="EA90" t="s">
        <v>3</v>
      </c>
      <c r="EB90" t="s">
        <v>3</v>
      </c>
      <c r="EC90" t="s">
        <v>3</v>
      </c>
      <c r="EE90">
        <v>79401763</v>
      </c>
      <c r="EF90">
        <v>12</v>
      </c>
      <c r="EG90" t="s">
        <v>180</v>
      </c>
      <c r="EH90">
        <v>0</v>
      </c>
      <c r="EI90" t="s">
        <v>3</v>
      </c>
      <c r="EJ90">
        <v>2</v>
      </c>
      <c r="EK90">
        <v>500002</v>
      </c>
      <c r="EL90" t="s">
        <v>181</v>
      </c>
      <c r="EM90" t="s">
        <v>182</v>
      </c>
      <c r="EO90" t="s">
        <v>3</v>
      </c>
      <c r="EQ90">
        <v>0</v>
      </c>
      <c r="ER90">
        <v>90.78</v>
      </c>
      <c r="ES90">
        <v>90.78</v>
      </c>
      <c r="ET90">
        <v>0</v>
      </c>
      <c r="EU90">
        <v>0</v>
      </c>
      <c r="EV90">
        <v>0</v>
      </c>
      <c r="EW90">
        <v>0</v>
      </c>
      <c r="EX90">
        <v>0</v>
      </c>
      <c r="EY90">
        <v>0</v>
      </c>
      <c r="FQ90">
        <v>0</v>
      </c>
      <c r="FR90">
        <f t="shared" si="61"/>
        <v>0</v>
      </c>
      <c r="FS90">
        <v>0</v>
      </c>
      <c r="FX90">
        <v>0</v>
      </c>
      <c r="FY90">
        <v>0</v>
      </c>
      <c r="GA90" t="s">
        <v>3</v>
      </c>
      <c r="GD90">
        <v>1</v>
      </c>
      <c r="GF90">
        <v>1038320011</v>
      </c>
      <c r="GG90">
        <v>2</v>
      </c>
      <c r="GH90">
        <v>1</v>
      </c>
      <c r="GI90">
        <v>2</v>
      </c>
      <c r="GJ90">
        <v>0</v>
      </c>
      <c r="GK90">
        <v>0</v>
      </c>
      <c r="GL90">
        <f t="shared" si="62"/>
        <v>0</v>
      </c>
      <c r="GM90">
        <f t="shared" si="63"/>
        <v>2257.6999999999998</v>
      </c>
      <c r="GN90">
        <f t="shared" si="64"/>
        <v>0</v>
      </c>
      <c r="GO90">
        <f t="shared" si="65"/>
        <v>2257.6999999999998</v>
      </c>
      <c r="GP90">
        <f t="shared" si="66"/>
        <v>0</v>
      </c>
      <c r="GR90">
        <v>0</v>
      </c>
      <c r="GS90">
        <v>3</v>
      </c>
      <c r="GT90">
        <v>0</v>
      </c>
      <c r="GU90" t="s">
        <v>3</v>
      </c>
      <c r="GV90">
        <f t="shared" si="67"/>
        <v>0</v>
      </c>
      <c r="GW90">
        <v>1</v>
      </c>
      <c r="GX90">
        <f t="shared" si="68"/>
        <v>0</v>
      </c>
      <c r="HA90">
        <v>0</v>
      </c>
      <c r="HB90">
        <v>0</v>
      </c>
      <c r="HC90">
        <f t="shared" si="69"/>
        <v>0</v>
      </c>
      <c r="HE90" t="s">
        <v>3</v>
      </c>
      <c r="HF90" t="s">
        <v>3</v>
      </c>
      <c r="HM90" t="s">
        <v>3</v>
      </c>
      <c r="HN90" t="s">
        <v>3</v>
      </c>
      <c r="HO90" t="s">
        <v>3</v>
      </c>
      <c r="HP90" t="s">
        <v>3</v>
      </c>
      <c r="HQ90" t="s">
        <v>3</v>
      </c>
      <c r="IK90">
        <v>0</v>
      </c>
    </row>
    <row r="91" spans="1:245" x14ac:dyDescent="0.2">
      <c r="A91">
        <v>17</v>
      </c>
      <c r="B91">
        <v>1</v>
      </c>
      <c r="E91" t="s">
        <v>183</v>
      </c>
      <c r="F91" t="s">
        <v>184</v>
      </c>
      <c r="G91" t="s">
        <v>185</v>
      </c>
      <c r="H91" t="s">
        <v>126</v>
      </c>
      <c r="I91">
        <v>3</v>
      </c>
      <c r="J91">
        <v>0</v>
      </c>
      <c r="K91">
        <v>3</v>
      </c>
      <c r="O91">
        <f t="shared" si="30"/>
        <v>545.82000000000005</v>
      </c>
      <c r="P91">
        <f t="shared" si="31"/>
        <v>545.82000000000005</v>
      </c>
      <c r="Q91">
        <f t="shared" si="32"/>
        <v>0</v>
      </c>
      <c r="R91">
        <f t="shared" si="33"/>
        <v>0</v>
      </c>
      <c r="S91">
        <f t="shared" si="34"/>
        <v>0</v>
      </c>
      <c r="T91">
        <f t="shared" si="35"/>
        <v>0</v>
      </c>
      <c r="U91">
        <f t="shared" si="36"/>
        <v>0</v>
      </c>
      <c r="V91">
        <f t="shared" si="37"/>
        <v>0</v>
      </c>
      <c r="W91">
        <f t="shared" si="38"/>
        <v>0</v>
      </c>
      <c r="X91">
        <f t="shared" si="39"/>
        <v>0</v>
      </c>
      <c r="Y91">
        <f t="shared" si="40"/>
        <v>0</v>
      </c>
      <c r="AA91">
        <v>84186534</v>
      </c>
      <c r="AB91">
        <f t="shared" si="41"/>
        <v>36.979999999999997</v>
      </c>
      <c r="AC91">
        <f t="shared" si="42"/>
        <v>36.979999999999997</v>
      </c>
      <c r="AD91">
        <f t="shared" si="43"/>
        <v>0</v>
      </c>
      <c r="AE91">
        <f t="shared" si="44"/>
        <v>0</v>
      </c>
      <c r="AF91">
        <f t="shared" si="45"/>
        <v>0</v>
      </c>
      <c r="AG91">
        <f t="shared" si="46"/>
        <v>0</v>
      </c>
      <c r="AH91">
        <f t="shared" si="47"/>
        <v>0</v>
      </c>
      <c r="AI91">
        <f t="shared" si="48"/>
        <v>0</v>
      </c>
      <c r="AJ91">
        <f t="shared" si="49"/>
        <v>0</v>
      </c>
      <c r="AK91">
        <v>36.979999999999997</v>
      </c>
      <c r="AL91">
        <v>36.979999999999997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1</v>
      </c>
      <c r="AW91">
        <v>1</v>
      </c>
      <c r="AZ91">
        <v>1</v>
      </c>
      <c r="BA91">
        <v>1</v>
      </c>
      <c r="BB91">
        <v>1</v>
      </c>
      <c r="BC91">
        <v>4.92</v>
      </c>
      <c r="BD91" t="s">
        <v>3</v>
      </c>
      <c r="BE91" t="s">
        <v>3</v>
      </c>
      <c r="BF91" t="s">
        <v>3</v>
      </c>
      <c r="BG91" t="s">
        <v>3</v>
      </c>
      <c r="BH91">
        <v>3</v>
      </c>
      <c r="BI91">
        <v>1</v>
      </c>
      <c r="BJ91" t="s">
        <v>186</v>
      </c>
      <c r="BM91">
        <v>500001</v>
      </c>
      <c r="BN91">
        <v>0</v>
      </c>
      <c r="BO91" t="s">
        <v>184</v>
      </c>
      <c r="BP91">
        <v>1</v>
      </c>
      <c r="BQ91">
        <v>8</v>
      </c>
      <c r="BR91">
        <v>0</v>
      </c>
      <c r="BS91">
        <v>1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3</v>
      </c>
      <c r="BZ91">
        <v>0</v>
      </c>
      <c r="CA91">
        <v>0</v>
      </c>
      <c r="CB91" t="s">
        <v>3</v>
      </c>
      <c r="CE91">
        <v>0</v>
      </c>
      <c r="CF91">
        <v>0</v>
      </c>
      <c r="CG91">
        <v>0</v>
      </c>
      <c r="CM91">
        <v>0</v>
      </c>
      <c r="CN91" t="s">
        <v>3</v>
      </c>
      <c r="CO91">
        <v>0</v>
      </c>
      <c r="CP91">
        <f t="shared" si="50"/>
        <v>545.82000000000005</v>
      </c>
      <c r="CQ91">
        <f t="shared" si="51"/>
        <v>181.94159999999999</v>
      </c>
      <c r="CR91">
        <f t="shared" si="52"/>
        <v>0</v>
      </c>
      <c r="CS91">
        <f t="shared" si="53"/>
        <v>0</v>
      </c>
      <c r="CT91">
        <f t="shared" si="54"/>
        <v>0</v>
      </c>
      <c r="CU91">
        <f t="shared" si="55"/>
        <v>0</v>
      </c>
      <c r="CV91">
        <f t="shared" si="56"/>
        <v>0</v>
      </c>
      <c r="CW91">
        <f t="shared" si="57"/>
        <v>0</v>
      </c>
      <c r="CX91">
        <f t="shared" si="58"/>
        <v>0</v>
      </c>
      <c r="CY91">
        <f>0</f>
        <v>0</v>
      </c>
      <c r="CZ91">
        <f>0</f>
        <v>0</v>
      </c>
      <c r="DC91" t="s">
        <v>3</v>
      </c>
      <c r="DD91" t="s">
        <v>3</v>
      </c>
      <c r="DE91" t="s">
        <v>3</v>
      </c>
      <c r="DF91" t="s">
        <v>3</v>
      </c>
      <c r="DG91" t="s">
        <v>3</v>
      </c>
      <c r="DH91" t="s">
        <v>3</v>
      </c>
      <c r="DI91" t="s">
        <v>3</v>
      </c>
      <c r="DJ91" t="s">
        <v>3</v>
      </c>
      <c r="DK91" t="s">
        <v>3</v>
      </c>
      <c r="DL91" t="s">
        <v>3</v>
      </c>
      <c r="DM91" t="s">
        <v>3</v>
      </c>
      <c r="DN91">
        <v>0</v>
      </c>
      <c r="DO91">
        <v>0</v>
      </c>
      <c r="DP91">
        <v>1</v>
      </c>
      <c r="DQ91">
        <v>1</v>
      </c>
      <c r="DU91">
        <v>1010</v>
      </c>
      <c r="DV91" t="s">
        <v>126</v>
      </c>
      <c r="DW91" t="s">
        <v>126</v>
      </c>
      <c r="DX91">
        <v>1</v>
      </c>
      <c r="DZ91" t="s">
        <v>3</v>
      </c>
      <c r="EA91" t="s">
        <v>3</v>
      </c>
      <c r="EB91" t="s">
        <v>3</v>
      </c>
      <c r="EC91" t="s">
        <v>3</v>
      </c>
      <c r="EE91">
        <v>79401762</v>
      </c>
      <c r="EF91">
        <v>8</v>
      </c>
      <c r="EG91" t="s">
        <v>157</v>
      </c>
      <c r="EH91">
        <v>0</v>
      </c>
      <c r="EI91" t="s">
        <v>3</v>
      </c>
      <c r="EJ91">
        <v>1</v>
      </c>
      <c r="EK91">
        <v>500001</v>
      </c>
      <c r="EL91" t="s">
        <v>158</v>
      </c>
      <c r="EM91" t="s">
        <v>159</v>
      </c>
      <c r="EO91" t="s">
        <v>3</v>
      </c>
      <c r="EQ91">
        <v>0</v>
      </c>
      <c r="ER91">
        <v>36.979999999999997</v>
      </c>
      <c r="ES91">
        <v>36.979999999999997</v>
      </c>
      <c r="ET91">
        <v>0</v>
      </c>
      <c r="EU91">
        <v>0</v>
      </c>
      <c r="EV91">
        <v>0</v>
      </c>
      <c r="EW91">
        <v>0</v>
      </c>
      <c r="EX91">
        <v>0</v>
      </c>
      <c r="EY91">
        <v>0</v>
      </c>
      <c r="FQ91">
        <v>0</v>
      </c>
      <c r="FR91">
        <f t="shared" si="61"/>
        <v>0</v>
      </c>
      <c r="FS91">
        <v>0</v>
      </c>
      <c r="FX91">
        <v>0</v>
      </c>
      <c r="FY91">
        <v>0</v>
      </c>
      <c r="GA91" t="s">
        <v>3</v>
      </c>
      <c r="GD91">
        <v>1</v>
      </c>
      <c r="GF91">
        <v>-367802843</v>
      </c>
      <c r="GG91">
        <v>2</v>
      </c>
      <c r="GH91">
        <v>1</v>
      </c>
      <c r="GI91">
        <v>2</v>
      </c>
      <c r="GJ91">
        <v>0</v>
      </c>
      <c r="GK91">
        <v>0</v>
      </c>
      <c r="GL91">
        <f t="shared" si="62"/>
        <v>0</v>
      </c>
      <c r="GM91">
        <f t="shared" si="63"/>
        <v>545.82000000000005</v>
      </c>
      <c r="GN91">
        <f t="shared" si="64"/>
        <v>545.82000000000005</v>
      </c>
      <c r="GO91">
        <f t="shared" si="65"/>
        <v>0</v>
      </c>
      <c r="GP91">
        <f t="shared" si="66"/>
        <v>0</v>
      </c>
      <c r="GR91">
        <v>0</v>
      </c>
      <c r="GS91">
        <v>3</v>
      </c>
      <c r="GT91">
        <v>0</v>
      </c>
      <c r="GU91" t="s">
        <v>3</v>
      </c>
      <c r="GV91">
        <f t="shared" si="67"/>
        <v>0</v>
      </c>
      <c r="GW91">
        <v>1</v>
      </c>
      <c r="GX91">
        <f t="shared" si="68"/>
        <v>0</v>
      </c>
      <c r="HA91">
        <v>0</v>
      </c>
      <c r="HB91">
        <v>0</v>
      </c>
      <c r="HC91">
        <f t="shared" si="69"/>
        <v>0</v>
      </c>
      <c r="HE91" t="s">
        <v>3</v>
      </c>
      <c r="HF91" t="s">
        <v>3</v>
      </c>
      <c r="HM91" t="s">
        <v>3</v>
      </c>
      <c r="HN91" t="s">
        <v>3</v>
      </c>
      <c r="HO91" t="s">
        <v>3</v>
      </c>
      <c r="HP91" t="s">
        <v>3</v>
      </c>
      <c r="HQ91" t="s">
        <v>3</v>
      </c>
      <c r="IK91">
        <v>0</v>
      </c>
    </row>
    <row r="92" spans="1:245" x14ac:dyDescent="0.2">
      <c r="A92">
        <v>17</v>
      </c>
      <c r="B92">
        <v>1</v>
      </c>
      <c r="E92" t="s">
        <v>187</v>
      </c>
      <c r="F92" t="s">
        <v>188</v>
      </c>
      <c r="G92" t="s">
        <v>189</v>
      </c>
      <c r="H92" t="s">
        <v>126</v>
      </c>
      <c r="I92">
        <v>3</v>
      </c>
      <c r="J92">
        <v>0</v>
      </c>
      <c r="K92">
        <v>3</v>
      </c>
      <c r="O92">
        <f t="shared" si="30"/>
        <v>538.79</v>
      </c>
      <c r="P92">
        <f t="shared" si="31"/>
        <v>538.79</v>
      </c>
      <c r="Q92">
        <f t="shared" si="32"/>
        <v>0</v>
      </c>
      <c r="R92">
        <f t="shared" si="33"/>
        <v>0</v>
      </c>
      <c r="S92">
        <f t="shared" si="34"/>
        <v>0</v>
      </c>
      <c r="T92">
        <f t="shared" si="35"/>
        <v>0</v>
      </c>
      <c r="U92">
        <f t="shared" si="36"/>
        <v>0</v>
      </c>
      <c r="V92">
        <f t="shared" si="37"/>
        <v>0</v>
      </c>
      <c r="W92">
        <f t="shared" si="38"/>
        <v>0</v>
      </c>
      <c r="X92">
        <f t="shared" si="39"/>
        <v>0</v>
      </c>
      <c r="Y92">
        <f t="shared" si="40"/>
        <v>0</v>
      </c>
      <c r="AA92">
        <v>84186534</v>
      </c>
      <c r="AB92">
        <f t="shared" si="41"/>
        <v>39.909999999999997</v>
      </c>
      <c r="AC92">
        <f t="shared" si="42"/>
        <v>39.909999999999997</v>
      </c>
      <c r="AD92">
        <f t="shared" si="43"/>
        <v>0</v>
      </c>
      <c r="AE92">
        <f t="shared" si="44"/>
        <v>0</v>
      </c>
      <c r="AF92">
        <f t="shared" si="45"/>
        <v>0</v>
      </c>
      <c r="AG92">
        <f t="shared" si="46"/>
        <v>0</v>
      </c>
      <c r="AH92">
        <f t="shared" si="47"/>
        <v>0</v>
      </c>
      <c r="AI92">
        <f t="shared" si="48"/>
        <v>0</v>
      </c>
      <c r="AJ92">
        <f t="shared" si="49"/>
        <v>0</v>
      </c>
      <c r="AK92">
        <v>39.909999999999997</v>
      </c>
      <c r="AL92">
        <v>39.909999999999997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1</v>
      </c>
      <c r="AW92">
        <v>1</v>
      </c>
      <c r="AZ92">
        <v>1</v>
      </c>
      <c r="BA92">
        <v>1</v>
      </c>
      <c r="BB92">
        <v>1</v>
      </c>
      <c r="BC92">
        <v>4.5</v>
      </c>
      <c r="BD92" t="s">
        <v>3</v>
      </c>
      <c r="BE92" t="s">
        <v>3</v>
      </c>
      <c r="BF92" t="s">
        <v>3</v>
      </c>
      <c r="BG92" t="s">
        <v>3</v>
      </c>
      <c r="BH92">
        <v>3</v>
      </c>
      <c r="BI92">
        <v>2</v>
      </c>
      <c r="BJ92" t="s">
        <v>190</v>
      </c>
      <c r="BM92">
        <v>500002</v>
      </c>
      <c r="BN92">
        <v>0</v>
      </c>
      <c r="BO92" t="s">
        <v>188</v>
      </c>
      <c r="BP92">
        <v>1</v>
      </c>
      <c r="BQ92">
        <v>12</v>
      </c>
      <c r="BR92">
        <v>0</v>
      </c>
      <c r="BS92">
        <v>1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3</v>
      </c>
      <c r="BZ92">
        <v>0</v>
      </c>
      <c r="CA92">
        <v>0</v>
      </c>
      <c r="CB92" t="s">
        <v>3</v>
      </c>
      <c r="CE92">
        <v>0</v>
      </c>
      <c r="CF92">
        <v>0</v>
      </c>
      <c r="CG92">
        <v>0</v>
      </c>
      <c r="CM92">
        <v>0</v>
      </c>
      <c r="CN92" t="s">
        <v>3</v>
      </c>
      <c r="CO92">
        <v>0</v>
      </c>
      <c r="CP92">
        <f t="shared" si="50"/>
        <v>538.79</v>
      </c>
      <c r="CQ92">
        <f t="shared" si="51"/>
        <v>179.59499999999997</v>
      </c>
      <c r="CR92">
        <f t="shared" si="52"/>
        <v>0</v>
      </c>
      <c r="CS92">
        <f t="shared" si="53"/>
        <v>0</v>
      </c>
      <c r="CT92">
        <f t="shared" si="54"/>
        <v>0</v>
      </c>
      <c r="CU92">
        <f t="shared" si="55"/>
        <v>0</v>
      </c>
      <c r="CV92">
        <f t="shared" si="56"/>
        <v>0</v>
      </c>
      <c r="CW92">
        <f t="shared" si="57"/>
        <v>0</v>
      </c>
      <c r="CX92">
        <f t="shared" si="58"/>
        <v>0</v>
      </c>
      <c r="CY92">
        <f>0</f>
        <v>0</v>
      </c>
      <c r="CZ92">
        <f>0</f>
        <v>0</v>
      </c>
      <c r="DC92" t="s">
        <v>3</v>
      </c>
      <c r="DD92" t="s">
        <v>3</v>
      </c>
      <c r="DE92" t="s">
        <v>3</v>
      </c>
      <c r="DF92" t="s">
        <v>3</v>
      </c>
      <c r="DG92" t="s">
        <v>3</v>
      </c>
      <c r="DH92" t="s">
        <v>3</v>
      </c>
      <c r="DI92" t="s">
        <v>3</v>
      </c>
      <c r="DJ92" t="s">
        <v>3</v>
      </c>
      <c r="DK92" t="s">
        <v>3</v>
      </c>
      <c r="DL92" t="s">
        <v>3</v>
      </c>
      <c r="DM92" t="s">
        <v>3</v>
      </c>
      <c r="DN92">
        <v>0</v>
      </c>
      <c r="DO92">
        <v>0</v>
      </c>
      <c r="DP92">
        <v>1</v>
      </c>
      <c r="DQ92">
        <v>1</v>
      </c>
      <c r="DU92">
        <v>1010</v>
      </c>
      <c r="DV92" t="s">
        <v>126</v>
      </c>
      <c r="DW92" t="s">
        <v>126</v>
      </c>
      <c r="DX92">
        <v>1</v>
      </c>
      <c r="DZ92" t="s">
        <v>3</v>
      </c>
      <c r="EA92" t="s">
        <v>3</v>
      </c>
      <c r="EB92" t="s">
        <v>3</v>
      </c>
      <c r="EC92" t="s">
        <v>3</v>
      </c>
      <c r="EE92">
        <v>79401763</v>
      </c>
      <c r="EF92">
        <v>12</v>
      </c>
      <c r="EG92" t="s">
        <v>180</v>
      </c>
      <c r="EH92">
        <v>0</v>
      </c>
      <c r="EI92" t="s">
        <v>3</v>
      </c>
      <c r="EJ92">
        <v>2</v>
      </c>
      <c r="EK92">
        <v>500002</v>
      </c>
      <c r="EL92" t="s">
        <v>181</v>
      </c>
      <c r="EM92" t="s">
        <v>182</v>
      </c>
      <c r="EO92" t="s">
        <v>3</v>
      </c>
      <c r="EQ92">
        <v>0</v>
      </c>
      <c r="ER92">
        <v>39.909999999999997</v>
      </c>
      <c r="ES92">
        <v>39.909999999999997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FQ92">
        <v>0</v>
      </c>
      <c r="FR92">
        <f t="shared" si="61"/>
        <v>0</v>
      </c>
      <c r="FS92">
        <v>0</v>
      </c>
      <c r="FX92">
        <v>0</v>
      </c>
      <c r="FY92">
        <v>0</v>
      </c>
      <c r="GA92" t="s">
        <v>3</v>
      </c>
      <c r="GD92">
        <v>1</v>
      </c>
      <c r="GF92">
        <v>-1642552679</v>
      </c>
      <c r="GG92">
        <v>2</v>
      </c>
      <c r="GH92">
        <v>1</v>
      </c>
      <c r="GI92">
        <v>2</v>
      </c>
      <c r="GJ92">
        <v>0</v>
      </c>
      <c r="GK92">
        <v>0</v>
      </c>
      <c r="GL92">
        <f t="shared" si="62"/>
        <v>0</v>
      </c>
      <c r="GM92">
        <f t="shared" si="63"/>
        <v>538.79</v>
      </c>
      <c r="GN92">
        <f t="shared" si="64"/>
        <v>0</v>
      </c>
      <c r="GO92">
        <f t="shared" si="65"/>
        <v>538.79</v>
      </c>
      <c r="GP92">
        <f t="shared" si="66"/>
        <v>0</v>
      </c>
      <c r="GR92">
        <v>0</v>
      </c>
      <c r="GS92">
        <v>3</v>
      </c>
      <c r="GT92">
        <v>0</v>
      </c>
      <c r="GU92" t="s">
        <v>3</v>
      </c>
      <c r="GV92">
        <f t="shared" si="67"/>
        <v>0</v>
      </c>
      <c r="GW92">
        <v>1</v>
      </c>
      <c r="GX92">
        <f t="shared" si="68"/>
        <v>0</v>
      </c>
      <c r="HA92">
        <v>0</v>
      </c>
      <c r="HB92">
        <v>0</v>
      </c>
      <c r="HC92">
        <f t="shared" si="69"/>
        <v>0</v>
      </c>
      <c r="HE92" t="s">
        <v>3</v>
      </c>
      <c r="HF92" t="s">
        <v>3</v>
      </c>
      <c r="HM92" t="s">
        <v>3</v>
      </c>
      <c r="HN92" t="s">
        <v>3</v>
      </c>
      <c r="HO92" t="s">
        <v>3</v>
      </c>
      <c r="HP92" t="s">
        <v>3</v>
      </c>
      <c r="HQ92" t="s">
        <v>3</v>
      </c>
      <c r="IK92">
        <v>0</v>
      </c>
    </row>
    <row r="93" spans="1:245" x14ac:dyDescent="0.2">
      <c r="A93">
        <v>17</v>
      </c>
      <c r="B93">
        <v>1</v>
      </c>
      <c r="E93" t="s">
        <v>191</v>
      </c>
      <c r="F93" t="s">
        <v>192</v>
      </c>
      <c r="G93" t="s">
        <v>193</v>
      </c>
      <c r="H93" t="s">
        <v>126</v>
      </c>
      <c r="I93">
        <v>6</v>
      </c>
      <c r="J93">
        <v>0</v>
      </c>
      <c r="K93">
        <v>6</v>
      </c>
      <c r="O93">
        <f t="shared" si="30"/>
        <v>10462.01</v>
      </c>
      <c r="P93">
        <f t="shared" si="31"/>
        <v>10462.01</v>
      </c>
      <c r="Q93">
        <f t="shared" si="32"/>
        <v>0</v>
      </c>
      <c r="R93">
        <f t="shared" si="33"/>
        <v>0</v>
      </c>
      <c r="S93">
        <f t="shared" si="34"/>
        <v>0</v>
      </c>
      <c r="T93">
        <f t="shared" si="35"/>
        <v>0</v>
      </c>
      <c r="U93">
        <f t="shared" si="36"/>
        <v>0</v>
      </c>
      <c r="V93">
        <f t="shared" si="37"/>
        <v>0</v>
      </c>
      <c r="W93">
        <f t="shared" si="38"/>
        <v>0</v>
      </c>
      <c r="X93">
        <f t="shared" si="39"/>
        <v>0</v>
      </c>
      <c r="Y93">
        <f t="shared" si="40"/>
        <v>0</v>
      </c>
      <c r="AA93">
        <v>84186534</v>
      </c>
      <c r="AB93">
        <f t="shared" si="41"/>
        <v>171.79</v>
      </c>
      <c r="AC93">
        <f t="shared" si="42"/>
        <v>171.79</v>
      </c>
      <c r="AD93">
        <f t="shared" si="43"/>
        <v>0</v>
      </c>
      <c r="AE93">
        <f t="shared" si="44"/>
        <v>0</v>
      </c>
      <c r="AF93">
        <f t="shared" si="45"/>
        <v>0</v>
      </c>
      <c r="AG93">
        <f t="shared" si="46"/>
        <v>0</v>
      </c>
      <c r="AH93">
        <f t="shared" si="47"/>
        <v>0</v>
      </c>
      <c r="AI93">
        <f t="shared" si="48"/>
        <v>0</v>
      </c>
      <c r="AJ93">
        <f t="shared" si="49"/>
        <v>0</v>
      </c>
      <c r="AK93">
        <v>171.79</v>
      </c>
      <c r="AL93">
        <v>171.79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1</v>
      </c>
      <c r="AW93">
        <v>1</v>
      </c>
      <c r="AZ93">
        <v>1</v>
      </c>
      <c r="BA93">
        <v>1</v>
      </c>
      <c r="BB93">
        <v>1</v>
      </c>
      <c r="BC93">
        <v>10.15</v>
      </c>
      <c r="BD93" t="s">
        <v>3</v>
      </c>
      <c r="BE93" t="s">
        <v>3</v>
      </c>
      <c r="BF93" t="s">
        <v>3</v>
      </c>
      <c r="BG93" t="s">
        <v>3</v>
      </c>
      <c r="BH93">
        <v>3</v>
      </c>
      <c r="BI93">
        <v>1</v>
      </c>
      <c r="BJ93" t="s">
        <v>194</v>
      </c>
      <c r="BM93">
        <v>500001</v>
      </c>
      <c r="BN93">
        <v>0</v>
      </c>
      <c r="BO93" t="s">
        <v>192</v>
      </c>
      <c r="BP93">
        <v>1</v>
      </c>
      <c r="BQ93">
        <v>8</v>
      </c>
      <c r="BR93">
        <v>0</v>
      </c>
      <c r="BS93">
        <v>1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3</v>
      </c>
      <c r="BZ93">
        <v>0</v>
      </c>
      <c r="CA93">
        <v>0</v>
      </c>
      <c r="CB93" t="s">
        <v>3</v>
      </c>
      <c r="CE93">
        <v>0</v>
      </c>
      <c r="CF93">
        <v>0</v>
      </c>
      <c r="CG93">
        <v>0</v>
      </c>
      <c r="CM93">
        <v>0</v>
      </c>
      <c r="CN93" t="s">
        <v>3</v>
      </c>
      <c r="CO93">
        <v>0</v>
      </c>
      <c r="CP93">
        <f t="shared" si="50"/>
        <v>10462.01</v>
      </c>
      <c r="CQ93">
        <f t="shared" si="51"/>
        <v>1743.6685</v>
      </c>
      <c r="CR93">
        <f t="shared" si="52"/>
        <v>0</v>
      </c>
      <c r="CS93">
        <f t="shared" si="53"/>
        <v>0</v>
      </c>
      <c r="CT93">
        <f t="shared" si="54"/>
        <v>0</v>
      </c>
      <c r="CU93">
        <f t="shared" si="55"/>
        <v>0</v>
      </c>
      <c r="CV93">
        <f t="shared" si="56"/>
        <v>0</v>
      </c>
      <c r="CW93">
        <f t="shared" si="57"/>
        <v>0</v>
      </c>
      <c r="CX93">
        <f t="shared" si="58"/>
        <v>0</v>
      </c>
      <c r="CY93">
        <f>0</f>
        <v>0</v>
      </c>
      <c r="CZ93">
        <f>0</f>
        <v>0</v>
      </c>
      <c r="DC93" t="s">
        <v>3</v>
      </c>
      <c r="DD93" t="s">
        <v>3</v>
      </c>
      <c r="DE93" t="s">
        <v>3</v>
      </c>
      <c r="DF93" t="s">
        <v>3</v>
      </c>
      <c r="DG93" t="s">
        <v>3</v>
      </c>
      <c r="DH93" t="s">
        <v>3</v>
      </c>
      <c r="DI93" t="s">
        <v>3</v>
      </c>
      <c r="DJ93" t="s">
        <v>3</v>
      </c>
      <c r="DK93" t="s">
        <v>3</v>
      </c>
      <c r="DL93" t="s">
        <v>3</v>
      </c>
      <c r="DM93" t="s">
        <v>3</v>
      </c>
      <c r="DN93">
        <v>0</v>
      </c>
      <c r="DO93">
        <v>0</v>
      </c>
      <c r="DP93">
        <v>1</v>
      </c>
      <c r="DQ93">
        <v>1</v>
      </c>
      <c r="DU93">
        <v>1010</v>
      </c>
      <c r="DV93" t="s">
        <v>126</v>
      </c>
      <c r="DW93" t="s">
        <v>126</v>
      </c>
      <c r="DX93">
        <v>1</v>
      </c>
      <c r="DZ93" t="s">
        <v>3</v>
      </c>
      <c r="EA93" t="s">
        <v>3</v>
      </c>
      <c r="EB93" t="s">
        <v>3</v>
      </c>
      <c r="EC93" t="s">
        <v>3</v>
      </c>
      <c r="EE93">
        <v>79401762</v>
      </c>
      <c r="EF93">
        <v>8</v>
      </c>
      <c r="EG93" t="s">
        <v>157</v>
      </c>
      <c r="EH93">
        <v>0</v>
      </c>
      <c r="EI93" t="s">
        <v>3</v>
      </c>
      <c r="EJ93">
        <v>1</v>
      </c>
      <c r="EK93">
        <v>500001</v>
      </c>
      <c r="EL93" t="s">
        <v>158</v>
      </c>
      <c r="EM93" t="s">
        <v>159</v>
      </c>
      <c r="EO93" t="s">
        <v>3</v>
      </c>
      <c r="EQ93">
        <v>0</v>
      </c>
      <c r="ER93">
        <v>171.79</v>
      </c>
      <c r="ES93">
        <v>171.79</v>
      </c>
      <c r="ET93">
        <v>0</v>
      </c>
      <c r="EU93">
        <v>0</v>
      </c>
      <c r="EV93">
        <v>0</v>
      </c>
      <c r="EW93">
        <v>0</v>
      </c>
      <c r="EX93">
        <v>0</v>
      </c>
      <c r="EY93">
        <v>0</v>
      </c>
      <c r="FQ93">
        <v>0</v>
      </c>
      <c r="FR93">
        <f t="shared" si="61"/>
        <v>0</v>
      </c>
      <c r="FS93">
        <v>0</v>
      </c>
      <c r="FX93">
        <v>0</v>
      </c>
      <c r="FY93">
        <v>0</v>
      </c>
      <c r="GA93" t="s">
        <v>3</v>
      </c>
      <c r="GD93">
        <v>1</v>
      </c>
      <c r="GF93">
        <v>-1870749598</v>
      </c>
      <c r="GG93">
        <v>2</v>
      </c>
      <c r="GH93">
        <v>1</v>
      </c>
      <c r="GI93">
        <v>2</v>
      </c>
      <c r="GJ93">
        <v>0</v>
      </c>
      <c r="GK93">
        <v>0</v>
      </c>
      <c r="GL93">
        <f t="shared" si="62"/>
        <v>0</v>
      </c>
      <c r="GM93">
        <f t="shared" si="63"/>
        <v>10462.01</v>
      </c>
      <c r="GN93">
        <f t="shared" si="64"/>
        <v>10462.01</v>
      </c>
      <c r="GO93">
        <f t="shared" si="65"/>
        <v>0</v>
      </c>
      <c r="GP93">
        <f t="shared" si="66"/>
        <v>0</v>
      </c>
      <c r="GR93">
        <v>0</v>
      </c>
      <c r="GS93">
        <v>3</v>
      </c>
      <c r="GT93">
        <v>0</v>
      </c>
      <c r="GU93" t="s">
        <v>3</v>
      </c>
      <c r="GV93">
        <f t="shared" si="67"/>
        <v>0</v>
      </c>
      <c r="GW93">
        <v>1</v>
      </c>
      <c r="GX93">
        <f t="shared" si="68"/>
        <v>0</v>
      </c>
      <c r="HA93">
        <v>0</v>
      </c>
      <c r="HB93">
        <v>0</v>
      </c>
      <c r="HC93">
        <f t="shared" si="69"/>
        <v>0</v>
      </c>
      <c r="HE93" t="s">
        <v>3</v>
      </c>
      <c r="HF93" t="s">
        <v>3</v>
      </c>
      <c r="HM93" t="s">
        <v>3</v>
      </c>
      <c r="HN93" t="s">
        <v>3</v>
      </c>
      <c r="HO93" t="s">
        <v>3</v>
      </c>
      <c r="HP93" t="s">
        <v>3</v>
      </c>
      <c r="HQ93" t="s">
        <v>3</v>
      </c>
      <c r="IK93">
        <v>0</v>
      </c>
    </row>
    <row r="94" spans="1:245" x14ac:dyDescent="0.2">
      <c r="A94">
        <v>17</v>
      </c>
      <c r="B94">
        <v>1</v>
      </c>
      <c r="E94" t="s">
        <v>195</v>
      </c>
      <c r="F94" t="s">
        <v>196</v>
      </c>
      <c r="G94" t="s">
        <v>197</v>
      </c>
      <c r="H94" t="s">
        <v>126</v>
      </c>
      <c r="I94">
        <v>6</v>
      </c>
      <c r="J94">
        <v>0</v>
      </c>
      <c r="K94">
        <v>6</v>
      </c>
      <c r="O94">
        <f t="shared" si="30"/>
        <v>871.98</v>
      </c>
      <c r="P94">
        <f t="shared" si="31"/>
        <v>871.98</v>
      </c>
      <c r="Q94">
        <f t="shared" si="32"/>
        <v>0</v>
      </c>
      <c r="R94">
        <f t="shared" si="33"/>
        <v>0</v>
      </c>
      <c r="S94">
        <f t="shared" si="34"/>
        <v>0</v>
      </c>
      <c r="T94">
        <f t="shared" si="35"/>
        <v>0</v>
      </c>
      <c r="U94">
        <f t="shared" si="36"/>
        <v>0</v>
      </c>
      <c r="V94">
        <f t="shared" si="37"/>
        <v>0</v>
      </c>
      <c r="W94">
        <f t="shared" si="38"/>
        <v>0</v>
      </c>
      <c r="X94">
        <f t="shared" si="39"/>
        <v>0</v>
      </c>
      <c r="Y94">
        <f t="shared" si="40"/>
        <v>0</v>
      </c>
      <c r="AA94">
        <v>84186534</v>
      </c>
      <c r="AB94">
        <f t="shared" si="41"/>
        <v>17.260000000000002</v>
      </c>
      <c r="AC94">
        <f t="shared" si="42"/>
        <v>17.260000000000002</v>
      </c>
      <c r="AD94">
        <f t="shared" si="43"/>
        <v>0</v>
      </c>
      <c r="AE94">
        <f t="shared" si="44"/>
        <v>0</v>
      </c>
      <c r="AF94">
        <f t="shared" si="45"/>
        <v>0</v>
      </c>
      <c r="AG94">
        <f t="shared" si="46"/>
        <v>0</v>
      </c>
      <c r="AH94">
        <f t="shared" si="47"/>
        <v>0</v>
      </c>
      <c r="AI94">
        <f t="shared" si="48"/>
        <v>0</v>
      </c>
      <c r="AJ94">
        <f t="shared" si="49"/>
        <v>0</v>
      </c>
      <c r="AK94">
        <v>17.260000000000002</v>
      </c>
      <c r="AL94">
        <v>17.260000000000002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1</v>
      </c>
      <c r="AW94">
        <v>1</v>
      </c>
      <c r="AZ94">
        <v>1</v>
      </c>
      <c r="BA94">
        <v>1</v>
      </c>
      <c r="BB94">
        <v>1</v>
      </c>
      <c r="BC94">
        <v>8.42</v>
      </c>
      <c r="BD94" t="s">
        <v>3</v>
      </c>
      <c r="BE94" t="s">
        <v>3</v>
      </c>
      <c r="BF94" t="s">
        <v>3</v>
      </c>
      <c r="BG94" t="s">
        <v>3</v>
      </c>
      <c r="BH94">
        <v>3</v>
      </c>
      <c r="BI94">
        <v>2</v>
      </c>
      <c r="BJ94" t="s">
        <v>198</v>
      </c>
      <c r="BM94">
        <v>500002</v>
      </c>
      <c r="BN94">
        <v>0</v>
      </c>
      <c r="BO94" t="s">
        <v>196</v>
      </c>
      <c r="BP94">
        <v>1</v>
      </c>
      <c r="BQ94">
        <v>12</v>
      </c>
      <c r="BR94">
        <v>0</v>
      </c>
      <c r="BS94">
        <v>1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3</v>
      </c>
      <c r="BZ94">
        <v>0</v>
      </c>
      <c r="CA94">
        <v>0</v>
      </c>
      <c r="CB94" t="s">
        <v>3</v>
      </c>
      <c r="CE94">
        <v>0</v>
      </c>
      <c r="CF94">
        <v>0</v>
      </c>
      <c r="CG94">
        <v>0</v>
      </c>
      <c r="CM94">
        <v>0</v>
      </c>
      <c r="CN94" t="s">
        <v>3</v>
      </c>
      <c r="CO94">
        <v>0</v>
      </c>
      <c r="CP94">
        <f t="shared" si="50"/>
        <v>871.98</v>
      </c>
      <c r="CQ94">
        <f t="shared" si="51"/>
        <v>145.32920000000001</v>
      </c>
      <c r="CR94">
        <f t="shared" si="52"/>
        <v>0</v>
      </c>
      <c r="CS94">
        <f t="shared" si="53"/>
        <v>0</v>
      </c>
      <c r="CT94">
        <f t="shared" si="54"/>
        <v>0</v>
      </c>
      <c r="CU94">
        <f t="shared" si="55"/>
        <v>0</v>
      </c>
      <c r="CV94">
        <f t="shared" si="56"/>
        <v>0</v>
      </c>
      <c r="CW94">
        <f t="shared" si="57"/>
        <v>0</v>
      </c>
      <c r="CX94">
        <f t="shared" si="58"/>
        <v>0</v>
      </c>
      <c r="CY94">
        <f>0</f>
        <v>0</v>
      </c>
      <c r="CZ94">
        <f>0</f>
        <v>0</v>
      </c>
      <c r="DC94" t="s">
        <v>3</v>
      </c>
      <c r="DD94" t="s">
        <v>3</v>
      </c>
      <c r="DE94" t="s">
        <v>3</v>
      </c>
      <c r="DF94" t="s">
        <v>3</v>
      </c>
      <c r="DG94" t="s">
        <v>3</v>
      </c>
      <c r="DH94" t="s">
        <v>3</v>
      </c>
      <c r="DI94" t="s">
        <v>3</v>
      </c>
      <c r="DJ94" t="s">
        <v>3</v>
      </c>
      <c r="DK94" t="s">
        <v>3</v>
      </c>
      <c r="DL94" t="s">
        <v>3</v>
      </c>
      <c r="DM94" t="s">
        <v>3</v>
      </c>
      <c r="DN94">
        <v>0</v>
      </c>
      <c r="DO94">
        <v>0</v>
      </c>
      <c r="DP94">
        <v>1</v>
      </c>
      <c r="DQ94">
        <v>1</v>
      </c>
      <c r="DU94">
        <v>1010</v>
      </c>
      <c r="DV94" t="s">
        <v>126</v>
      </c>
      <c r="DW94" t="s">
        <v>126</v>
      </c>
      <c r="DX94">
        <v>1</v>
      </c>
      <c r="DZ94" t="s">
        <v>3</v>
      </c>
      <c r="EA94" t="s">
        <v>3</v>
      </c>
      <c r="EB94" t="s">
        <v>3</v>
      </c>
      <c r="EC94" t="s">
        <v>3</v>
      </c>
      <c r="EE94">
        <v>79401763</v>
      </c>
      <c r="EF94">
        <v>12</v>
      </c>
      <c r="EG94" t="s">
        <v>180</v>
      </c>
      <c r="EH94">
        <v>0</v>
      </c>
      <c r="EI94" t="s">
        <v>3</v>
      </c>
      <c r="EJ94">
        <v>2</v>
      </c>
      <c r="EK94">
        <v>500002</v>
      </c>
      <c r="EL94" t="s">
        <v>181</v>
      </c>
      <c r="EM94" t="s">
        <v>182</v>
      </c>
      <c r="EO94" t="s">
        <v>3</v>
      </c>
      <c r="EQ94">
        <v>0</v>
      </c>
      <c r="ER94">
        <v>17.260000000000002</v>
      </c>
      <c r="ES94">
        <v>17.260000000000002</v>
      </c>
      <c r="ET94">
        <v>0</v>
      </c>
      <c r="EU94">
        <v>0</v>
      </c>
      <c r="EV94">
        <v>0</v>
      </c>
      <c r="EW94">
        <v>0</v>
      </c>
      <c r="EX94">
        <v>0</v>
      </c>
      <c r="EY94">
        <v>0</v>
      </c>
      <c r="FQ94">
        <v>0</v>
      </c>
      <c r="FR94">
        <f t="shared" si="61"/>
        <v>0</v>
      </c>
      <c r="FS94">
        <v>0</v>
      </c>
      <c r="FX94">
        <v>0</v>
      </c>
      <c r="FY94">
        <v>0</v>
      </c>
      <c r="GA94" t="s">
        <v>3</v>
      </c>
      <c r="GD94">
        <v>1</v>
      </c>
      <c r="GF94">
        <v>-2066277925</v>
      </c>
      <c r="GG94">
        <v>2</v>
      </c>
      <c r="GH94">
        <v>1</v>
      </c>
      <c r="GI94">
        <v>2</v>
      </c>
      <c r="GJ94">
        <v>0</v>
      </c>
      <c r="GK94">
        <v>0</v>
      </c>
      <c r="GL94">
        <f t="shared" si="62"/>
        <v>0</v>
      </c>
      <c r="GM94">
        <f t="shared" si="63"/>
        <v>871.98</v>
      </c>
      <c r="GN94">
        <f t="shared" si="64"/>
        <v>0</v>
      </c>
      <c r="GO94">
        <f t="shared" si="65"/>
        <v>871.98</v>
      </c>
      <c r="GP94">
        <f t="shared" si="66"/>
        <v>0</v>
      </c>
      <c r="GR94">
        <v>0</v>
      </c>
      <c r="GS94">
        <v>3</v>
      </c>
      <c r="GT94">
        <v>0</v>
      </c>
      <c r="GU94" t="s">
        <v>3</v>
      </c>
      <c r="GV94">
        <f t="shared" si="67"/>
        <v>0</v>
      </c>
      <c r="GW94">
        <v>1</v>
      </c>
      <c r="GX94">
        <f t="shared" si="68"/>
        <v>0</v>
      </c>
      <c r="HA94">
        <v>0</v>
      </c>
      <c r="HB94">
        <v>0</v>
      </c>
      <c r="HC94">
        <f t="shared" si="69"/>
        <v>0</v>
      </c>
      <c r="HE94" t="s">
        <v>3</v>
      </c>
      <c r="HF94" t="s">
        <v>3</v>
      </c>
      <c r="HM94" t="s">
        <v>3</v>
      </c>
      <c r="HN94" t="s">
        <v>3</v>
      </c>
      <c r="HO94" t="s">
        <v>3</v>
      </c>
      <c r="HP94" t="s">
        <v>3</v>
      </c>
      <c r="HQ94" t="s">
        <v>3</v>
      </c>
      <c r="IK94">
        <v>0</v>
      </c>
    </row>
    <row r="95" spans="1:245" x14ac:dyDescent="0.2">
      <c r="A95">
        <v>17</v>
      </c>
      <c r="B95">
        <v>1</v>
      </c>
      <c r="E95" t="s">
        <v>199</v>
      </c>
      <c r="F95" t="s">
        <v>200</v>
      </c>
      <c r="G95" t="s">
        <v>201</v>
      </c>
      <c r="H95" t="s">
        <v>126</v>
      </c>
      <c r="I95">
        <v>1</v>
      </c>
      <c r="J95">
        <v>0</v>
      </c>
      <c r="K95">
        <v>1</v>
      </c>
      <c r="O95">
        <f t="shared" si="30"/>
        <v>583.33000000000004</v>
      </c>
      <c r="P95">
        <f t="shared" si="31"/>
        <v>583.33000000000004</v>
      </c>
      <c r="Q95">
        <f t="shared" si="32"/>
        <v>0</v>
      </c>
      <c r="R95">
        <f t="shared" si="33"/>
        <v>0</v>
      </c>
      <c r="S95">
        <f t="shared" si="34"/>
        <v>0</v>
      </c>
      <c r="T95">
        <f t="shared" si="35"/>
        <v>0</v>
      </c>
      <c r="U95">
        <f t="shared" si="36"/>
        <v>0</v>
      </c>
      <c r="V95">
        <f t="shared" si="37"/>
        <v>0</v>
      </c>
      <c r="W95">
        <f t="shared" si="38"/>
        <v>0</v>
      </c>
      <c r="X95">
        <f t="shared" si="39"/>
        <v>0</v>
      </c>
      <c r="Y95">
        <f t="shared" si="40"/>
        <v>0</v>
      </c>
      <c r="AA95">
        <v>84186534</v>
      </c>
      <c r="AB95">
        <f t="shared" si="41"/>
        <v>583.33000000000004</v>
      </c>
      <c r="AC95">
        <f t="shared" si="42"/>
        <v>583.33000000000004</v>
      </c>
      <c r="AD95">
        <f t="shared" si="43"/>
        <v>0</v>
      </c>
      <c r="AE95">
        <f t="shared" si="44"/>
        <v>0</v>
      </c>
      <c r="AF95">
        <f t="shared" si="45"/>
        <v>0</v>
      </c>
      <c r="AG95">
        <f t="shared" si="46"/>
        <v>0</v>
      </c>
      <c r="AH95">
        <f t="shared" si="47"/>
        <v>0</v>
      </c>
      <c r="AI95">
        <f t="shared" si="48"/>
        <v>0</v>
      </c>
      <c r="AJ95">
        <f t="shared" si="49"/>
        <v>0</v>
      </c>
      <c r="AK95">
        <v>583.33000000000004</v>
      </c>
      <c r="AL95">
        <v>583.33000000000004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1</v>
      </c>
      <c r="AW95">
        <v>1</v>
      </c>
      <c r="AZ95">
        <v>1</v>
      </c>
      <c r="BA95">
        <v>1</v>
      </c>
      <c r="BB95">
        <v>1</v>
      </c>
      <c r="BC95">
        <v>1</v>
      </c>
      <c r="BD95" t="s">
        <v>3</v>
      </c>
      <c r="BE95" t="s">
        <v>3</v>
      </c>
      <c r="BF95" t="s">
        <v>3</v>
      </c>
      <c r="BG95" t="s">
        <v>3</v>
      </c>
      <c r="BH95">
        <v>3</v>
      </c>
      <c r="BI95">
        <v>1</v>
      </c>
      <c r="BJ95" t="s">
        <v>3</v>
      </c>
      <c r="BM95">
        <v>1100</v>
      </c>
      <c r="BN95">
        <v>0</v>
      </c>
      <c r="BO95" t="s">
        <v>3</v>
      </c>
      <c r="BP95">
        <v>0</v>
      </c>
      <c r="BQ95">
        <v>8</v>
      </c>
      <c r="BR95">
        <v>0</v>
      </c>
      <c r="BS95">
        <v>1</v>
      </c>
      <c r="BT95">
        <v>1</v>
      </c>
      <c r="BU95">
        <v>1</v>
      </c>
      <c r="BV95">
        <v>1</v>
      </c>
      <c r="BW95">
        <v>1</v>
      </c>
      <c r="BX95">
        <v>1</v>
      </c>
      <c r="BY95" t="s">
        <v>3</v>
      </c>
      <c r="BZ95">
        <v>0</v>
      </c>
      <c r="CA95">
        <v>0</v>
      </c>
      <c r="CB95" t="s">
        <v>3</v>
      </c>
      <c r="CE95">
        <v>0</v>
      </c>
      <c r="CF95">
        <v>0</v>
      </c>
      <c r="CG95">
        <v>0</v>
      </c>
      <c r="CM95">
        <v>0</v>
      </c>
      <c r="CN95" t="s">
        <v>3</v>
      </c>
      <c r="CO95">
        <v>0</v>
      </c>
      <c r="CP95">
        <f t="shared" si="50"/>
        <v>583.33000000000004</v>
      </c>
      <c r="CQ95">
        <f t="shared" si="51"/>
        <v>583.33000000000004</v>
      </c>
      <c r="CR95">
        <f t="shared" si="52"/>
        <v>0</v>
      </c>
      <c r="CS95">
        <f t="shared" si="53"/>
        <v>0</v>
      </c>
      <c r="CT95">
        <f t="shared" si="54"/>
        <v>0</v>
      </c>
      <c r="CU95">
        <f t="shared" si="55"/>
        <v>0</v>
      </c>
      <c r="CV95">
        <f t="shared" si="56"/>
        <v>0</v>
      </c>
      <c r="CW95">
        <f t="shared" si="57"/>
        <v>0</v>
      </c>
      <c r="CX95">
        <f t="shared" si="58"/>
        <v>0</v>
      </c>
      <c r="CY95">
        <f t="shared" ref="CY95:CY101" si="70">(((S95+R95)*AT95)/100)</f>
        <v>0</v>
      </c>
      <c r="CZ95">
        <f t="shared" ref="CZ95:CZ101" si="71">(((S95+R95)*AU95)/100)</f>
        <v>0</v>
      </c>
      <c r="DC95" t="s">
        <v>3</v>
      </c>
      <c r="DD95" t="s">
        <v>3</v>
      </c>
      <c r="DE95" t="s">
        <v>3</v>
      </c>
      <c r="DF95" t="s">
        <v>3</v>
      </c>
      <c r="DG95" t="s">
        <v>3</v>
      </c>
      <c r="DH95" t="s">
        <v>3</v>
      </c>
      <c r="DI95" t="s">
        <v>3</v>
      </c>
      <c r="DJ95" t="s">
        <v>3</v>
      </c>
      <c r="DK95" t="s">
        <v>3</v>
      </c>
      <c r="DL95" t="s">
        <v>3</v>
      </c>
      <c r="DM95" t="s">
        <v>3</v>
      </c>
      <c r="DN95">
        <v>0</v>
      </c>
      <c r="DO95">
        <v>0</v>
      </c>
      <c r="DP95">
        <v>1</v>
      </c>
      <c r="DQ95">
        <v>1</v>
      </c>
      <c r="DU95">
        <v>1010</v>
      </c>
      <c r="DV95" t="s">
        <v>126</v>
      </c>
      <c r="DW95" t="s">
        <v>126</v>
      </c>
      <c r="DX95">
        <v>1</v>
      </c>
      <c r="DZ95" t="s">
        <v>3</v>
      </c>
      <c r="EA95" t="s">
        <v>3</v>
      </c>
      <c r="EB95" t="s">
        <v>3</v>
      </c>
      <c r="EC95" t="s">
        <v>3</v>
      </c>
      <c r="EE95">
        <v>79402089</v>
      </c>
      <c r="EF95">
        <v>8</v>
      </c>
      <c r="EG95" t="s">
        <v>157</v>
      </c>
      <c r="EH95">
        <v>0</v>
      </c>
      <c r="EI95" t="s">
        <v>3</v>
      </c>
      <c r="EJ95">
        <v>1</v>
      </c>
      <c r="EK95">
        <v>1100</v>
      </c>
      <c r="EL95" t="s">
        <v>202</v>
      </c>
      <c r="EM95" t="s">
        <v>203</v>
      </c>
      <c r="EO95" t="s">
        <v>3</v>
      </c>
      <c r="EQ95">
        <v>0</v>
      </c>
      <c r="ER95">
        <v>583.33000000000004</v>
      </c>
      <c r="ES95">
        <v>583.33000000000004</v>
      </c>
      <c r="ET95">
        <v>0</v>
      </c>
      <c r="EU95">
        <v>0</v>
      </c>
      <c r="EV95">
        <v>0</v>
      </c>
      <c r="EW95">
        <v>0</v>
      </c>
      <c r="EX95">
        <v>0</v>
      </c>
      <c r="EY95">
        <v>0</v>
      </c>
      <c r="EZ95">
        <v>5</v>
      </c>
      <c r="FC95">
        <v>1</v>
      </c>
      <c r="FD95">
        <v>18</v>
      </c>
      <c r="FF95">
        <v>700</v>
      </c>
      <c r="FQ95">
        <v>0</v>
      </c>
      <c r="FR95">
        <f t="shared" si="61"/>
        <v>0</v>
      </c>
      <c r="FS95">
        <v>0</v>
      </c>
      <c r="FX95">
        <v>0</v>
      </c>
      <c r="FY95">
        <v>0</v>
      </c>
      <c r="GA95" t="s">
        <v>204</v>
      </c>
      <c r="GD95">
        <v>1</v>
      </c>
      <c r="GF95">
        <v>-1753609087</v>
      </c>
      <c r="GG95">
        <v>2</v>
      </c>
      <c r="GH95">
        <v>3</v>
      </c>
      <c r="GI95">
        <v>-2</v>
      </c>
      <c r="GJ95">
        <v>0</v>
      </c>
      <c r="GK95">
        <v>0</v>
      </c>
      <c r="GL95">
        <f t="shared" si="62"/>
        <v>0</v>
      </c>
      <c r="GM95">
        <f t="shared" si="63"/>
        <v>583.33000000000004</v>
      </c>
      <c r="GN95">
        <f t="shared" si="64"/>
        <v>583.33000000000004</v>
      </c>
      <c r="GO95">
        <f t="shared" si="65"/>
        <v>0</v>
      </c>
      <c r="GP95">
        <f t="shared" si="66"/>
        <v>0</v>
      </c>
      <c r="GR95">
        <v>1</v>
      </c>
      <c r="GS95">
        <v>1</v>
      </c>
      <c r="GT95">
        <v>0</v>
      </c>
      <c r="GU95" t="s">
        <v>3</v>
      </c>
      <c r="GV95">
        <f t="shared" si="67"/>
        <v>0</v>
      </c>
      <c r="GW95">
        <v>1</v>
      </c>
      <c r="GX95">
        <f t="shared" si="68"/>
        <v>0</v>
      </c>
      <c r="HA95">
        <v>0</v>
      </c>
      <c r="HB95">
        <v>0</v>
      </c>
      <c r="HC95">
        <f t="shared" si="69"/>
        <v>0</v>
      </c>
      <c r="HE95" t="s">
        <v>205</v>
      </c>
      <c r="HF95" t="s">
        <v>205</v>
      </c>
      <c r="HM95" t="s">
        <v>3</v>
      </c>
      <c r="HN95" t="s">
        <v>3</v>
      </c>
      <c r="HO95" t="s">
        <v>3</v>
      </c>
      <c r="HP95" t="s">
        <v>3</v>
      </c>
      <c r="HQ95" t="s">
        <v>3</v>
      </c>
      <c r="IK95">
        <v>0</v>
      </c>
    </row>
    <row r="96" spans="1:245" x14ac:dyDescent="0.2">
      <c r="A96">
        <v>17</v>
      </c>
      <c r="B96">
        <v>1</v>
      </c>
      <c r="C96">
        <f>ROW(SmtRes!A54)</f>
        <v>54</v>
      </c>
      <c r="D96">
        <f>ROW(EtalonRes!A54)</f>
        <v>54</v>
      </c>
      <c r="E96" t="s">
        <v>206</v>
      </c>
      <c r="F96" t="s">
        <v>207</v>
      </c>
      <c r="G96" t="s">
        <v>208</v>
      </c>
      <c r="H96" t="s">
        <v>209</v>
      </c>
      <c r="I96">
        <v>1</v>
      </c>
      <c r="J96">
        <v>0</v>
      </c>
      <c r="K96">
        <v>1</v>
      </c>
      <c r="O96">
        <f t="shared" si="30"/>
        <v>2451.5300000000002</v>
      </c>
      <c r="P96">
        <f t="shared" si="31"/>
        <v>40.159999999999997</v>
      </c>
      <c r="Q96">
        <f t="shared" si="32"/>
        <v>1158.58</v>
      </c>
      <c r="R96">
        <f t="shared" si="33"/>
        <v>307.91000000000003</v>
      </c>
      <c r="S96">
        <f t="shared" si="34"/>
        <v>1252.79</v>
      </c>
      <c r="T96">
        <f t="shared" si="35"/>
        <v>0</v>
      </c>
      <c r="U96">
        <f t="shared" si="36"/>
        <v>4.29</v>
      </c>
      <c r="V96">
        <f t="shared" si="37"/>
        <v>0.97</v>
      </c>
      <c r="W96">
        <f t="shared" si="38"/>
        <v>0</v>
      </c>
      <c r="X96">
        <f t="shared" si="39"/>
        <v>1607.52</v>
      </c>
      <c r="Y96">
        <f t="shared" si="40"/>
        <v>936.42</v>
      </c>
      <c r="AA96">
        <v>84186534</v>
      </c>
      <c r="AB96">
        <f t="shared" si="41"/>
        <v>141.72</v>
      </c>
      <c r="AC96">
        <f t="shared" si="42"/>
        <v>2.94</v>
      </c>
      <c r="AD96">
        <f t="shared" si="43"/>
        <v>103.26</v>
      </c>
      <c r="AE96">
        <f t="shared" si="44"/>
        <v>8.73</v>
      </c>
      <c r="AF96">
        <f t="shared" si="45"/>
        <v>35.520000000000003</v>
      </c>
      <c r="AG96">
        <f t="shared" si="46"/>
        <v>0</v>
      </c>
      <c r="AH96">
        <f t="shared" si="47"/>
        <v>4.29</v>
      </c>
      <c r="AI96">
        <f t="shared" si="48"/>
        <v>0.97</v>
      </c>
      <c r="AJ96">
        <f t="shared" si="49"/>
        <v>0</v>
      </c>
      <c r="AK96">
        <v>141.72</v>
      </c>
      <c r="AL96">
        <v>2.94</v>
      </c>
      <c r="AM96">
        <v>103.26</v>
      </c>
      <c r="AN96">
        <v>8.73</v>
      </c>
      <c r="AO96">
        <v>35.520000000000003</v>
      </c>
      <c r="AP96">
        <v>0</v>
      </c>
      <c r="AQ96">
        <v>4.29</v>
      </c>
      <c r="AR96">
        <v>0.97</v>
      </c>
      <c r="AS96">
        <v>0</v>
      </c>
      <c r="AT96">
        <v>103</v>
      </c>
      <c r="AU96">
        <v>60</v>
      </c>
      <c r="AV96">
        <v>1</v>
      </c>
      <c r="AW96">
        <v>1</v>
      </c>
      <c r="AZ96">
        <v>1</v>
      </c>
      <c r="BA96">
        <v>35.270000000000003</v>
      </c>
      <c r="BB96">
        <v>11.22</v>
      </c>
      <c r="BC96">
        <v>13.66</v>
      </c>
      <c r="BD96" t="s">
        <v>3</v>
      </c>
      <c r="BE96" t="s">
        <v>3</v>
      </c>
      <c r="BF96" t="s">
        <v>3</v>
      </c>
      <c r="BG96" t="s">
        <v>3</v>
      </c>
      <c r="BH96">
        <v>0</v>
      </c>
      <c r="BI96">
        <v>1</v>
      </c>
      <c r="BJ96" t="s">
        <v>210</v>
      </c>
      <c r="BM96">
        <v>33001</v>
      </c>
      <c r="BN96">
        <v>0</v>
      </c>
      <c r="BO96" t="s">
        <v>207</v>
      </c>
      <c r="BP96">
        <v>1</v>
      </c>
      <c r="BQ96">
        <v>2</v>
      </c>
      <c r="BR96">
        <v>0</v>
      </c>
      <c r="BS96">
        <v>35.270000000000003</v>
      </c>
      <c r="BT96">
        <v>1</v>
      </c>
      <c r="BU96">
        <v>1</v>
      </c>
      <c r="BV96">
        <v>1</v>
      </c>
      <c r="BW96">
        <v>1</v>
      </c>
      <c r="BX96">
        <v>1</v>
      </c>
      <c r="BY96" t="s">
        <v>3</v>
      </c>
      <c r="BZ96">
        <v>103</v>
      </c>
      <c r="CA96">
        <v>60</v>
      </c>
      <c r="CB96" t="s">
        <v>3</v>
      </c>
      <c r="CE96">
        <v>0</v>
      </c>
      <c r="CF96">
        <v>0</v>
      </c>
      <c r="CG96">
        <v>0</v>
      </c>
      <c r="CM96">
        <v>0</v>
      </c>
      <c r="CN96" t="s">
        <v>3</v>
      </c>
      <c r="CO96">
        <v>0</v>
      </c>
      <c r="CP96">
        <f t="shared" si="50"/>
        <v>2451.5299999999997</v>
      </c>
      <c r="CQ96">
        <f t="shared" si="51"/>
        <v>40.160400000000003</v>
      </c>
      <c r="CR96">
        <f t="shared" si="52"/>
        <v>1158.5772000000002</v>
      </c>
      <c r="CS96">
        <f t="shared" si="53"/>
        <v>307.90710000000001</v>
      </c>
      <c r="CT96">
        <f t="shared" si="54"/>
        <v>1252.7904000000003</v>
      </c>
      <c r="CU96">
        <f t="shared" si="55"/>
        <v>0</v>
      </c>
      <c r="CV96">
        <f t="shared" si="56"/>
        <v>4.29</v>
      </c>
      <c r="CW96">
        <f t="shared" si="57"/>
        <v>0.97</v>
      </c>
      <c r="CX96">
        <f t="shared" si="58"/>
        <v>0</v>
      </c>
      <c r="CY96">
        <f t="shared" si="70"/>
        <v>1607.521</v>
      </c>
      <c r="CZ96">
        <f t="shared" si="71"/>
        <v>936.42</v>
      </c>
      <c r="DC96" t="s">
        <v>3</v>
      </c>
      <c r="DD96" t="s">
        <v>3</v>
      </c>
      <c r="DE96" t="s">
        <v>3</v>
      </c>
      <c r="DF96" t="s">
        <v>3</v>
      </c>
      <c r="DG96" t="s">
        <v>3</v>
      </c>
      <c r="DH96" t="s">
        <v>3</v>
      </c>
      <c r="DI96" t="s">
        <v>3</v>
      </c>
      <c r="DJ96" t="s">
        <v>3</v>
      </c>
      <c r="DK96" t="s">
        <v>3</v>
      </c>
      <c r="DL96" t="s">
        <v>3</v>
      </c>
      <c r="DM96" t="s">
        <v>3</v>
      </c>
      <c r="DN96">
        <v>0</v>
      </c>
      <c r="DO96">
        <v>0</v>
      </c>
      <c r="DP96">
        <v>1</v>
      </c>
      <c r="DQ96">
        <v>1</v>
      </c>
      <c r="DU96">
        <v>1013</v>
      </c>
      <c r="DV96" t="s">
        <v>209</v>
      </c>
      <c r="DW96" t="s">
        <v>209</v>
      </c>
      <c r="DX96">
        <v>1</v>
      </c>
      <c r="DZ96" t="s">
        <v>3</v>
      </c>
      <c r="EA96" t="s">
        <v>3</v>
      </c>
      <c r="EB96" t="s">
        <v>3</v>
      </c>
      <c r="EC96" t="s">
        <v>3</v>
      </c>
      <c r="EE96">
        <v>79401925</v>
      </c>
      <c r="EF96">
        <v>2</v>
      </c>
      <c r="EG96" t="s">
        <v>19</v>
      </c>
      <c r="EH96">
        <v>27</v>
      </c>
      <c r="EI96" t="s">
        <v>20</v>
      </c>
      <c r="EJ96">
        <v>1</v>
      </c>
      <c r="EK96">
        <v>33001</v>
      </c>
      <c r="EL96" t="s">
        <v>20</v>
      </c>
      <c r="EM96" t="s">
        <v>21</v>
      </c>
      <c r="EO96" t="s">
        <v>3</v>
      </c>
      <c r="EQ96">
        <v>0</v>
      </c>
      <c r="ER96">
        <v>141.72</v>
      </c>
      <c r="ES96">
        <v>2.94</v>
      </c>
      <c r="ET96">
        <v>103.26</v>
      </c>
      <c r="EU96">
        <v>8.73</v>
      </c>
      <c r="EV96">
        <v>35.520000000000003</v>
      </c>
      <c r="EW96">
        <v>4.29</v>
      </c>
      <c r="EX96">
        <v>0.97</v>
      </c>
      <c r="EY96">
        <v>0</v>
      </c>
      <c r="FQ96">
        <v>0</v>
      </c>
      <c r="FR96">
        <f t="shared" si="61"/>
        <v>0</v>
      </c>
      <c r="FS96">
        <v>0</v>
      </c>
      <c r="FX96">
        <v>103</v>
      </c>
      <c r="FY96">
        <v>60</v>
      </c>
      <c r="GA96" t="s">
        <v>3</v>
      </c>
      <c r="GD96">
        <v>1</v>
      </c>
      <c r="GF96">
        <v>168181678</v>
      </c>
      <c r="GG96">
        <v>2</v>
      </c>
      <c r="GH96">
        <v>1</v>
      </c>
      <c r="GI96">
        <v>2</v>
      </c>
      <c r="GJ96">
        <v>0</v>
      </c>
      <c r="GK96">
        <v>0</v>
      </c>
      <c r="GL96">
        <f t="shared" si="62"/>
        <v>0</v>
      </c>
      <c r="GM96">
        <f t="shared" si="63"/>
        <v>4995.47</v>
      </c>
      <c r="GN96">
        <f t="shared" si="64"/>
        <v>4995.47</v>
      </c>
      <c r="GO96">
        <f t="shared" si="65"/>
        <v>0</v>
      </c>
      <c r="GP96">
        <f t="shared" si="66"/>
        <v>0</v>
      </c>
      <c r="GR96">
        <v>0</v>
      </c>
      <c r="GS96">
        <v>3</v>
      </c>
      <c r="GT96">
        <v>0</v>
      </c>
      <c r="GU96" t="s">
        <v>3</v>
      </c>
      <c r="GV96">
        <f t="shared" si="67"/>
        <v>0</v>
      </c>
      <c r="GW96">
        <v>1</v>
      </c>
      <c r="GX96">
        <f t="shared" si="68"/>
        <v>0</v>
      </c>
      <c r="HA96">
        <v>0</v>
      </c>
      <c r="HB96">
        <v>0</v>
      </c>
      <c r="HC96">
        <f t="shared" si="69"/>
        <v>0</v>
      </c>
      <c r="HE96" t="s">
        <v>3</v>
      </c>
      <c r="HF96" t="s">
        <v>3</v>
      </c>
      <c r="HM96" t="s">
        <v>3</v>
      </c>
      <c r="HN96" t="s">
        <v>22</v>
      </c>
      <c r="HO96" t="s">
        <v>23</v>
      </c>
      <c r="HP96" t="s">
        <v>20</v>
      </c>
      <c r="HQ96" t="s">
        <v>20</v>
      </c>
      <c r="IK96">
        <v>0</v>
      </c>
    </row>
    <row r="97" spans="1:245" x14ac:dyDescent="0.2">
      <c r="A97">
        <v>18</v>
      </c>
      <c r="B97">
        <v>1</v>
      </c>
      <c r="C97">
        <v>47</v>
      </c>
      <c r="E97" t="s">
        <v>211</v>
      </c>
      <c r="F97" t="s">
        <v>115</v>
      </c>
      <c r="G97" t="s">
        <v>116</v>
      </c>
      <c r="H97" t="s">
        <v>117</v>
      </c>
      <c r="I97">
        <f>I96*J97</f>
        <v>0</v>
      </c>
      <c r="J97">
        <v>0</v>
      </c>
      <c r="K97">
        <v>0</v>
      </c>
      <c r="O97">
        <f t="shared" si="30"/>
        <v>0</v>
      </c>
      <c r="P97">
        <f t="shared" si="31"/>
        <v>0</v>
      </c>
      <c r="Q97">
        <f t="shared" si="32"/>
        <v>0</v>
      </c>
      <c r="R97">
        <f t="shared" si="33"/>
        <v>0</v>
      </c>
      <c r="S97">
        <f t="shared" si="34"/>
        <v>0</v>
      </c>
      <c r="T97">
        <f t="shared" si="35"/>
        <v>0</v>
      </c>
      <c r="U97">
        <f t="shared" si="36"/>
        <v>0</v>
      </c>
      <c r="V97">
        <f t="shared" si="37"/>
        <v>0</v>
      </c>
      <c r="W97">
        <f t="shared" si="38"/>
        <v>0</v>
      </c>
      <c r="X97">
        <f t="shared" si="39"/>
        <v>0</v>
      </c>
      <c r="Y97">
        <f t="shared" si="40"/>
        <v>0</v>
      </c>
      <c r="AA97">
        <v>84186534</v>
      </c>
      <c r="AB97">
        <f t="shared" si="41"/>
        <v>9040.01</v>
      </c>
      <c r="AC97">
        <f t="shared" si="42"/>
        <v>9040.01</v>
      </c>
      <c r="AD97">
        <f t="shared" si="43"/>
        <v>0</v>
      </c>
      <c r="AE97">
        <f t="shared" si="44"/>
        <v>0</v>
      </c>
      <c r="AF97">
        <f t="shared" si="45"/>
        <v>0</v>
      </c>
      <c r="AG97">
        <f t="shared" si="46"/>
        <v>0</v>
      </c>
      <c r="AH97">
        <f t="shared" si="47"/>
        <v>0</v>
      </c>
      <c r="AI97">
        <f t="shared" si="48"/>
        <v>0</v>
      </c>
      <c r="AJ97">
        <f t="shared" si="49"/>
        <v>0</v>
      </c>
      <c r="AK97">
        <v>9040.01</v>
      </c>
      <c r="AL97">
        <v>9040.01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103</v>
      </c>
      <c r="AU97">
        <v>60</v>
      </c>
      <c r="AV97">
        <v>1</v>
      </c>
      <c r="AW97">
        <v>1</v>
      </c>
      <c r="AZ97">
        <v>1</v>
      </c>
      <c r="BA97">
        <v>1</v>
      </c>
      <c r="BB97">
        <v>1</v>
      </c>
      <c r="BC97">
        <v>23.1</v>
      </c>
      <c r="BD97" t="s">
        <v>3</v>
      </c>
      <c r="BE97" t="s">
        <v>3</v>
      </c>
      <c r="BF97" t="s">
        <v>3</v>
      </c>
      <c r="BG97" t="s">
        <v>3</v>
      </c>
      <c r="BH97">
        <v>3</v>
      </c>
      <c r="BI97">
        <v>1</v>
      </c>
      <c r="BJ97" t="s">
        <v>118</v>
      </c>
      <c r="BM97">
        <v>33001</v>
      </c>
      <c r="BN97">
        <v>0</v>
      </c>
      <c r="BO97" t="s">
        <v>115</v>
      </c>
      <c r="BP97">
        <v>1</v>
      </c>
      <c r="BQ97">
        <v>2</v>
      </c>
      <c r="BR97">
        <v>0</v>
      </c>
      <c r="BS97">
        <v>1</v>
      </c>
      <c r="BT97">
        <v>1</v>
      </c>
      <c r="BU97">
        <v>1</v>
      </c>
      <c r="BV97">
        <v>1</v>
      </c>
      <c r="BW97">
        <v>1</v>
      </c>
      <c r="BX97">
        <v>1</v>
      </c>
      <c r="BY97" t="s">
        <v>3</v>
      </c>
      <c r="BZ97">
        <v>103</v>
      </c>
      <c r="CA97">
        <v>60</v>
      </c>
      <c r="CB97" t="s">
        <v>3</v>
      </c>
      <c r="CE97">
        <v>0</v>
      </c>
      <c r="CF97">
        <v>0</v>
      </c>
      <c r="CG97">
        <v>0</v>
      </c>
      <c r="CM97">
        <v>0</v>
      </c>
      <c r="CN97" t="s">
        <v>3</v>
      </c>
      <c r="CO97">
        <v>0</v>
      </c>
      <c r="CP97">
        <f t="shared" si="50"/>
        <v>0</v>
      </c>
      <c r="CQ97">
        <f t="shared" si="51"/>
        <v>208824.23100000003</v>
      </c>
      <c r="CR97">
        <f t="shared" si="52"/>
        <v>0</v>
      </c>
      <c r="CS97">
        <f t="shared" si="53"/>
        <v>0</v>
      </c>
      <c r="CT97">
        <f t="shared" si="54"/>
        <v>0</v>
      </c>
      <c r="CU97">
        <f t="shared" si="55"/>
        <v>0</v>
      </c>
      <c r="CV97">
        <f t="shared" si="56"/>
        <v>0</v>
      </c>
      <c r="CW97">
        <f t="shared" si="57"/>
        <v>0</v>
      </c>
      <c r="CX97">
        <f t="shared" si="58"/>
        <v>0</v>
      </c>
      <c r="CY97">
        <f t="shared" si="70"/>
        <v>0</v>
      </c>
      <c r="CZ97">
        <f t="shared" si="71"/>
        <v>0</v>
      </c>
      <c r="DC97" t="s">
        <v>3</v>
      </c>
      <c r="DD97" t="s">
        <v>3</v>
      </c>
      <c r="DE97" t="s">
        <v>3</v>
      </c>
      <c r="DF97" t="s">
        <v>3</v>
      </c>
      <c r="DG97" t="s">
        <v>3</v>
      </c>
      <c r="DH97" t="s">
        <v>3</v>
      </c>
      <c r="DI97" t="s">
        <v>3</v>
      </c>
      <c r="DJ97" t="s">
        <v>3</v>
      </c>
      <c r="DK97" t="s">
        <v>3</v>
      </c>
      <c r="DL97" t="s">
        <v>3</v>
      </c>
      <c r="DM97" t="s">
        <v>3</v>
      </c>
      <c r="DN97">
        <v>0</v>
      </c>
      <c r="DO97">
        <v>0</v>
      </c>
      <c r="DP97">
        <v>1</v>
      </c>
      <c r="DQ97">
        <v>1</v>
      </c>
      <c r="DU97">
        <v>1009</v>
      </c>
      <c r="DV97" t="s">
        <v>117</v>
      </c>
      <c r="DW97" t="s">
        <v>117</v>
      </c>
      <c r="DX97">
        <v>1000</v>
      </c>
      <c r="DZ97" t="s">
        <v>3</v>
      </c>
      <c r="EA97" t="s">
        <v>3</v>
      </c>
      <c r="EB97" t="s">
        <v>3</v>
      </c>
      <c r="EC97" t="s">
        <v>3</v>
      </c>
      <c r="EE97">
        <v>79401925</v>
      </c>
      <c r="EF97">
        <v>2</v>
      </c>
      <c r="EG97" t="s">
        <v>19</v>
      </c>
      <c r="EH97">
        <v>27</v>
      </c>
      <c r="EI97" t="s">
        <v>20</v>
      </c>
      <c r="EJ97">
        <v>1</v>
      </c>
      <c r="EK97">
        <v>33001</v>
      </c>
      <c r="EL97" t="s">
        <v>20</v>
      </c>
      <c r="EM97" t="s">
        <v>21</v>
      </c>
      <c r="EO97" t="s">
        <v>3</v>
      </c>
      <c r="EQ97">
        <v>0</v>
      </c>
      <c r="ER97">
        <v>9040.01</v>
      </c>
      <c r="ES97">
        <v>9040.01</v>
      </c>
      <c r="ET97">
        <v>0</v>
      </c>
      <c r="EU97">
        <v>0</v>
      </c>
      <c r="EV97">
        <v>0</v>
      </c>
      <c r="EW97">
        <v>0</v>
      </c>
      <c r="EX97">
        <v>0</v>
      </c>
      <c r="FQ97">
        <v>0</v>
      </c>
      <c r="FR97">
        <f t="shared" si="61"/>
        <v>0</v>
      </c>
      <c r="FS97">
        <v>0</v>
      </c>
      <c r="FX97">
        <v>103</v>
      </c>
      <c r="FY97">
        <v>60</v>
      </c>
      <c r="GA97" t="s">
        <v>3</v>
      </c>
      <c r="GD97">
        <v>1</v>
      </c>
      <c r="GF97">
        <v>-384985709</v>
      </c>
      <c r="GG97">
        <v>2</v>
      </c>
      <c r="GH97">
        <v>1</v>
      </c>
      <c r="GI97">
        <v>2</v>
      </c>
      <c r="GJ97">
        <v>0</v>
      </c>
      <c r="GK97">
        <v>0</v>
      </c>
      <c r="GL97">
        <f t="shared" si="62"/>
        <v>0</v>
      </c>
      <c r="GM97">
        <f t="shared" si="63"/>
        <v>0</v>
      </c>
      <c r="GN97">
        <f t="shared" si="64"/>
        <v>0</v>
      </c>
      <c r="GO97">
        <f t="shared" si="65"/>
        <v>0</v>
      </c>
      <c r="GP97">
        <f t="shared" si="66"/>
        <v>0</v>
      </c>
      <c r="GR97">
        <v>0</v>
      </c>
      <c r="GS97">
        <v>3</v>
      </c>
      <c r="GT97">
        <v>0</v>
      </c>
      <c r="GU97" t="s">
        <v>3</v>
      </c>
      <c r="GV97">
        <f t="shared" si="67"/>
        <v>0</v>
      </c>
      <c r="GW97">
        <v>1</v>
      </c>
      <c r="GX97">
        <f t="shared" si="68"/>
        <v>0</v>
      </c>
      <c r="HA97">
        <v>0</v>
      </c>
      <c r="HB97">
        <v>0</v>
      </c>
      <c r="HC97">
        <f t="shared" si="69"/>
        <v>0</v>
      </c>
      <c r="HE97" t="s">
        <v>3</v>
      </c>
      <c r="HF97" t="s">
        <v>3</v>
      </c>
      <c r="HM97" t="s">
        <v>3</v>
      </c>
      <c r="HN97" t="s">
        <v>22</v>
      </c>
      <c r="HO97" t="s">
        <v>23</v>
      </c>
      <c r="HP97" t="s">
        <v>20</v>
      </c>
      <c r="HQ97" t="s">
        <v>20</v>
      </c>
      <c r="IK97">
        <v>0</v>
      </c>
    </row>
    <row r="98" spans="1:245" x14ac:dyDescent="0.2">
      <c r="A98">
        <v>18</v>
      </c>
      <c r="B98">
        <v>1</v>
      </c>
      <c r="C98">
        <v>50</v>
      </c>
      <c r="E98" t="s">
        <v>212</v>
      </c>
      <c r="F98" t="s">
        <v>120</v>
      </c>
      <c r="G98" t="s">
        <v>121</v>
      </c>
      <c r="H98" t="s">
        <v>117</v>
      </c>
      <c r="I98">
        <f>I96*J98</f>
        <v>0</v>
      </c>
      <c r="J98">
        <v>0</v>
      </c>
      <c r="K98">
        <v>0</v>
      </c>
      <c r="O98">
        <f t="shared" si="30"/>
        <v>0</v>
      </c>
      <c r="P98">
        <f t="shared" si="31"/>
        <v>0</v>
      </c>
      <c r="Q98">
        <f t="shared" si="32"/>
        <v>0</v>
      </c>
      <c r="R98">
        <f t="shared" si="33"/>
        <v>0</v>
      </c>
      <c r="S98">
        <f t="shared" si="34"/>
        <v>0</v>
      </c>
      <c r="T98">
        <f t="shared" si="35"/>
        <v>0</v>
      </c>
      <c r="U98">
        <f t="shared" si="36"/>
        <v>0</v>
      </c>
      <c r="V98">
        <f t="shared" si="37"/>
        <v>0</v>
      </c>
      <c r="W98">
        <f t="shared" si="38"/>
        <v>0</v>
      </c>
      <c r="X98">
        <f t="shared" si="39"/>
        <v>0</v>
      </c>
      <c r="Y98">
        <f t="shared" si="40"/>
        <v>0</v>
      </c>
      <c r="AA98">
        <v>84186534</v>
      </c>
      <c r="AB98">
        <f t="shared" si="41"/>
        <v>0</v>
      </c>
      <c r="AC98">
        <f t="shared" si="42"/>
        <v>0</v>
      </c>
      <c r="AD98">
        <f t="shared" si="43"/>
        <v>0</v>
      </c>
      <c r="AE98">
        <f t="shared" si="44"/>
        <v>0</v>
      </c>
      <c r="AF98">
        <f t="shared" si="45"/>
        <v>0</v>
      </c>
      <c r="AG98">
        <f t="shared" si="46"/>
        <v>0</v>
      </c>
      <c r="AH98">
        <f t="shared" si="47"/>
        <v>0</v>
      </c>
      <c r="AI98">
        <f t="shared" si="48"/>
        <v>0</v>
      </c>
      <c r="AJ98">
        <f t="shared" si="49"/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103</v>
      </c>
      <c r="AU98">
        <v>60</v>
      </c>
      <c r="AV98">
        <v>1</v>
      </c>
      <c r="AW98">
        <v>1</v>
      </c>
      <c r="AZ98">
        <v>1</v>
      </c>
      <c r="BA98">
        <v>1</v>
      </c>
      <c r="BB98">
        <v>1</v>
      </c>
      <c r="BC98">
        <v>1</v>
      </c>
      <c r="BD98" t="s">
        <v>3</v>
      </c>
      <c r="BE98" t="s">
        <v>3</v>
      </c>
      <c r="BF98" t="s">
        <v>3</v>
      </c>
      <c r="BG98" t="s">
        <v>3</v>
      </c>
      <c r="BH98">
        <v>3</v>
      </c>
      <c r="BI98">
        <v>1</v>
      </c>
      <c r="BJ98" t="s">
        <v>122</v>
      </c>
      <c r="BM98">
        <v>33001</v>
      </c>
      <c r="BN98">
        <v>0</v>
      </c>
      <c r="BO98" t="s">
        <v>3</v>
      </c>
      <c r="BP98">
        <v>0</v>
      </c>
      <c r="BQ98">
        <v>2</v>
      </c>
      <c r="BR98">
        <v>0</v>
      </c>
      <c r="BS98">
        <v>1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3</v>
      </c>
      <c r="BZ98">
        <v>103</v>
      </c>
      <c r="CA98">
        <v>60</v>
      </c>
      <c r="CB98" t="s">
        <v>3</v>
      </c>
      <c r="CE98">
        <v>0</v>
      </c>
      <c r="CF98">
        <v>0</v>
      </c>
      <c r="CG98">
        <v>0</v>
      </c>
      <c r="CM98">
        <v>0</v>
      </c>
      <c r="CN98" t="s">
        <v>3</v>
      </c>
      <c r="CO98">
        <v>0</v>
      </c>
      <c r="CP98">
        <f t="shared" si="50"/>
        <v>0</v>
      </c>
      <c r="CQ98">
        <f t="shared" si="51"/>
        <v>0</v>
      </c>
      <c r="CR98">
        <f t="shared" si="52"/>
        <v>0</v>
      </c>
      <c r="CS98">
        <f t="shared" si="53"/>
        <v>0</v>
      </c>
      <c r="CT98">
        <f t="shared" si="54"/>
        <v>0</v>
      </c>
      <c r="CU98">
        <f t="shared" si="55"/>
        <v>0</v>
      </c>
      <c r="CV98">
        <f t="shared" si="56"/>
        <v>0</v>
      </c>
      <c r="CW98">
        <f t="shared" si="57"/>
        <v>0</v>
      </c>
      <c r="CX98">
        <f t="shared" si="58"/>
        <v>0</v>
      </c>
      <c r="CY98">
        <f t="shared" si="70"/>
        <v>0</v>
      </c>
      <c r="CZ98">
        <f t="shared" si="71"/>
        <v>0</v>
      </c>
      <c r="DC98" t="s">
        <v>3</v>
      </c>
      <c r="DD98" t="s">
        <v>3</v>
      </c>
      <c r="DE98" t="s">
        <v>3</v>
      </c>
      <c r="DF98" t="s">
        <v>3</v>
      </c>
      <c r="DG98" t="s">
        <v>3</v>
      </c>
      <c r="DH98" t="s">
        <v>3</v>
      </c>
      <c r="DI98" t="s">
        <v>3</v>
      </c>
      <c r="DJ98" t="s">
        <v>3</v>
      </c>
      <c r="DK98" t="s">
        <v>3</v>
      </c>
      <c r="DL98" t="s">
        <v>3</v>
      </c>
      <c r="DM98" t="s">
        <v>3</v>
      </c>
      <c r="DN98">
        <v>0</v>
      </c>
      <c r="DO98">
        <v>0</v>
      </c>
      <c r="DP98">
        <v>1</v>
      </c>
      <c r="DQ98">
        <v>1</v>
      </c>
      <c r="DU98">
        <v>1009</v>
      </c>
      <c r="DV98" t="s">
        <v>117</v>
      </c>
      <c r="DW98" t="s">
        <v>117</v>
      </c>
      <c r="DX98">
        <v>1000</v>
      </c>
      <c r="DZ98" t="s">
        <v>3</v>
      </c>
      <c r="EA98" t="s">
        <v>3</v>
      </c>
      <c r="EB98" t="s">
        <v>3</v>
      </c>
      <c r="EC98" t="s">
        <v>3</v>
      </c>
      <c r="EE98">
        <v>79401925</v>
      </c>
      <c r="EF98">
        <v>2</v>
      </c>
      <c r="EG98" t="s">
        <v>19</v>
      </c>
      <c r="EH98">
        <v>27</v>
      </c>
      <c r="EI98" t="s">
        <v>20</v>
      </c>
      <c r="EJ98">
        <v>1</v>
      </c>
      <c r="EK98">
        <v>33001</v>
      </c>
      <c r="EL98" t="s">
        <v>20</v>
      </c>
      <c r="EM98" t="s">
        <v>21</v>
      </c>
      <c r="EO98" t="s">
        <v>3</v>
      </c>
      <c r="EQ98">
        <v>0</v>
      </c>
      <c r="ER98">
        <v>0</v>
      </c>
      <c r="ES98">
        <v>0</v>
      </c>
      <c r="ET98">
        <v>0</v>
      </c>
      <c r="EU98">
        <v>0</v>
      </c>
      <c r="EV98">
        <v>0</v>
      </c>
      <c r="EW98">
        <v>0</v>
      </c>
      <c r="EX98">
        <v>0</v>
      </c>
      <c r="FQ98">
        <v>0</v>
      </c>
      <c r="FR98">
        <f t="shared" si="61"/>
        <v>0</v>
      </c>
      <c r="FS98">
        <v>0</v>
      </c>
      <c r="FX98">
        <v>103</v>
      </c>
      <c r="FY98">
        <v>60</v>
      </c>
      <c r="GA98" t="s">
        <v>3</v>
      </c>
      <c r="GD98">
        <v>1</v>
      </c>
      <c r="GF98">
        <v>361960925</v>
      </c>
      <c r="GG98">
        <v>2</v>
      </c>
      <c r="GH98">
        <v>1</v>
      </c>
      <c r="GI98">
        <v>-2</v>
      </c>
      <c r="GJ98">
        <v>0</v>
      </c>
      <c r="GK98">
        <v>0</v>
      </c>
      <c r="GL98">
        <f t="shared" si="62"/>
        <v>0</v>
      </c>
      <c r="GM98">
        <f t="shared" si="63"/>
        <v>0</v>
      </c>
      <c r="GN98">
        <f t="shared" si="64"/>
        <v>0</v>
      </c>
      <c r="GO98">
        <f t="shared" si="65"/>
        <v>0</v>
      </c>
      <c r="GP98">
        <f t="shared" si="66"/>
        <v>0</v>
      </c>
      <c r="GR98">
        <v>0</v>
      </c>
      <c r="GS98">
        <v>3</v>
      </c>
      <c r="GT98">
        <v>0</v>
      </c>
      <c r="GU98" t="s">
        <v>3</v>
      </c>
      <c r="GV98">
        <f t="shared" si="67"/>
        <v>0</v>
      </c>
      <c r="GW98">
        <v>1</v>
      </c>
      <c r="GX98">
        <f t="shared" si="68"/>
        <v>0</v>
      </c>
      <c r="HA98">
        <v>0</v>
      </c>
      <c r="HB98">
        <v>0</v>
      </c>
      <c r="HC98">
        <f t="shared" si="69"/>
        <v>0</v>
      </c>
      <c r="HE98" t="s">
        <v>3</v>
      </c>
      <c r="HF98" t="s">
        <v>3</v>
      </c>
      <c r="HM98" t="s">
        <v>3</v>
      </c>
      <c r="HN98" t="s">
        <v>22</v>
      </c>
      <c r="HO98" t="s">
        <v>23</v>
      </c>
      <c r="HP98" t="s">
        <v>20</v>
      </c>
      <c r="HQ98" t="s">
        <v>20</v>
      </c>
      <c r="IK98">
        <v>0</v>
      </c>
    </row>
    <row r="99" spans="1:245" x14ac:dyDescent="0.2">
      <c r="A99">
        <v>18</v>
      </c>
      <c r="B99">
        <v>1</v>
      </c>
      <c r="C99">
        <v>51</v>
      </c>
      <c r="E99" t="s">
        <v>213</v>
      </c>
      <c r="F99" t="s">
        <v>124</v>
      </c>
      <c r="G99" t="s">
        <v>125</v>
      </c>
      <c r="H99" t="s">
        <v>126</v>
      </c>
      <c r="I99">
        <f>I96*J99</f>
        <v>0</v>
      </c>
      <c r="J99">
        <v>0</v>
      </c>
      <c r="K99">
        <v>0</v>
      </c>
      <c r="O99">
        <f t="shared" si="30"/>
        <v>0</v>
      </c>
      <c r="P99">
        <f t="shared" si="31"/>
        <v>0</v>
      </c>
      <c r="Q99">
        <f t="shared" si="32"/>
        <v>0</v>
      </c>
      <c r="R99">
        <f t="shared" si="33"/>
        <v>0</v>
      </c>
      <c r="S99">
        <f t="shared" si="34"/>
        <v>0</v>
      </c>
      <c r="T99">
        <f t="shared" si="35"/>
        <v>0</v>
      </c>
      <c r="U99">
        <f t="shared" si="36"/>
        <v>0</v>
      </c>
      <c r="V99">
        <f t="shared" si="37"/>
        <v>0</v>
      </c>
      <c r="W99">
        <f t="shared" si="38"/>
        <v>0</v>
      </c>
      <c r="X99">
        <f t="shared" si="39"/>
        <v>0</v>
      </c>
      <c r="Y99">
        <f t="shared" si="40"/>
        <v>0</v>
      </c>
      <c r="AA99">
        <v>84186534</v>
      </c>
      <c r="AB99">
        <f t="shared" si="41"/>
        <v>0</v>
      </c>
      <c r="AC99">
        <f t="shared" si="42"/>
        <v>0</v>
      </c>
      <c r="AD99">
        <f t="shared" si="43"/>
        <v>0</v>
      </c>
      <c r="AE99">
        <f t="shared" si="44"/>
        <v>0</v>
      </c>
      <c r="AF99">
        <f t="shared" si="45"/>
        <v>0</v>
      </c>
      <c r="AG99">
        <f t="shared" si="46"/>
        <v>0</v>
      </c>
      <c r="AH99">
        <f t="shared" si="47"/>
        <v>0</v>
      </c>
      <c r="AI99">
        <f t="shared" si="48"/>
        <v>0</v>
      </c>
      <c r="AJ99">
        <f t="shared" si="49"/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103</v>
      </c>
      <c r="AU99">
        <v>60</v>
      </c>
      <c r="AV99">
        <v>1</v>
      </c>
      <c r="AW99">
        <v>1</v>
      </c>
      <c r="AZ99">
        <v>1</v>
      </c>
      <c r="BA99">
        <v>1</v>
      </c>
      <c r="BB99">
        <v>1</v>
      </c>
      <c r="BC99">
        <v>1</v>
      </c>
      <c r="BD99" t="s">
        <v>3</v>
      </c>
      <c r="BE99" t="s">
        <v>3</v>
      </c>
      <c r="BF99" t="s">
        <v>3</v>
      </c>
      <c r="BG99" t="s">
        <v>3</v>
      </c>
      <c r="BH99">
        <v>3</v>
      </c>
      <c r="BI99">
        <v>1</v>
      </c>
      <c r="BJ99" t="s">
        <v>127</v>
      </c>
      <c r="BM99">
        <v>33001</v>
      </c>
      <c r="BN99">
        <v>0</v>
      </c>
      <c r="BO99" t="s">
        <v>3</v>
      </c>
      <c r="BP99">
        <v>0</v>
      </c>
      <c r="BQ99">
        <v>2</v>
      </c>
      <c r="BR99">
        <v>0</v>
      </c>
      <c r="BS99">
        <v>1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3</v>
      </c>
      <c r="BZ99">
        <v>103</v>
      </c>
      <c r="CA99">
        <v>60</v>
      </c>
      <c r="CB99" t="s">
        <v>3</v>
      </c>
      <c r="CE99">
        <v>0</v>
      </c>
      <c r="CF99">
        <v>0</v>
      </c>
      <c r="CG99">
        <v>0</v>
      </c>
      <c r="CM99">
        <v>0</v>
      </c>
      <c r="CN99" t="s">
        <v>3</v>
      </c>
      <c r="CO99">
        <v>0</v>
      </c>
      <c r="CP99">
        <f t="shared" si="50"/>
        <v>0</v>
      </c>
      <c r="CQ99">
        <f t="shared" si="51"/>
        <v>0</v>
      </c>
      <c r="CR99">
        <f t="shared" si="52"/>
        <v>0</v>
      </c>
      <c r="CS99">
        <f t="shared" si="53"/>
        <v>0</v>
      </c>
      <c r="CT99">
        <f t="shared" si="54"/>
        <v>0</v>
      </c>
      <c r="CU99">
        <f t="shared" si="55"/>
        <v>0</v>
      </c>
      <c r="CV99">
        <f t="shared" si="56"/>
        <v>0</v>
      </c>
      <c r="CW99">
        <f t="shared" si="57"/>
        <v>0</v>
      </c>
      <c r="CX99">
        <f t="shared" si="58"/>
        <v>0</v>
      </c>
      <c r="CY99">
        <f t="shared" si="70"/>
        <v>0</v>
      </c>
      <c r="CZ99">
        <f t="shared" si="71"/>
        <v>0</v>
      </c>
      <c r="DC99" t="s">
        <v>3</v>
      </c>
      <c r="DD99" t="s">
        <v>3</v>
      </c>
      <c r="DE99" t="s">
        <v>3</v>
      </c>
      <c r="DF99" t="s">
        <v>3</v>
      </c>
      <c r="DG99" t="s">
        <v>3</v>
      </c>
      <c r="DH99" t="s">
        <v>3</v>
      </c>
      <c r="DI99" t="s">
        <v>3</v>
      </c>
      <c r="DJ99" t="s">
        <v>3</v>
      </c>
      <c r="DK99" t="s">
        <v>3</v>
      </c>
      <c r="DL99" t="s">
        <v>3</v>
      </c>
      <c r="DM99" t="s">
        <v>3</v>
      </c>
      <c r="DN99">
        <v>0</v>
      </c>
      <c r="DO99">
        <v>0</v>
      </c>
      <c r="DP99">
        <v>1</v>
      </c>
      <c r="DQ99">
        <v>1</v>
      </c>
      <c r="DU99">
        <v>1010</v>
      </c>
      <c r="DV99" t="s">
        <v>126</v>
      </c>
      <c r="DW99" t="s">
        <v>126</v>
      </c>
      <c r="DX99">
        <v>1</v>
      </c>
      <c r="DZ99" t="s">
        <v>3</v>
      </c>
      <c r="EA99" t="s">
        <v>3</v>
      </c>
      <c r="EB99" t="s">
        <v>3</v>
      </c>
      <c r="EC99" t="s">
        <v>3</v>
      </c>
      <c r="EE99">
        <v>79401925</v>
      </c>
      <c r="EF99">
        <v>2</v>
      </c>
      <c r="EG99" t="s">
        <v>19</v>
      </c>
      <c r="EH99">
        <v>27</v>
      </c>
      <c r="EI99" t="s">
        <v>20</v>
      </c>
      <c r="EJ99">
        <v>1</v>
      </c>
      <c r="EK99">
        <v>33001</v>
      </c>
      <c r="EL99" t="s">
        <v>20</v>
      </c>
      <c r="EM99" t="s">
        <v>21</v>
      </c>
      <c r="EO99" t="s">
        <v>3</v>
      </c>
      <c r="EQ99">
        <v>0</v>
      </c>
      <c r="ER99">
        <v>0</v>
      </c>
      <c r="ES99">
        <v>0</v>
      </c>
      <c r="ET99">
        <v>0</v>
      </c>
      <c r="EU99">
        <v>0</v>
      </c>
      <c r="EV99">
        <v>0</v>
      </c>
      <c r="EW99">
        <v>0</v>
      </c>
      <c r="EX99">
        <v>0</v>
      </c>
      <c r="FQ99">
        <v>0</v>
      </c>
      <c r="FR99">
        <f t="shared" si="61"/>
        <v>0</v>
      </c>
      <c r="FS99">
        <v>0</v>
      </c>
      <c r="FX99">
        <v>103</v>
      </c>
      <c r="FY99">
        <v>60</v>
      </c>
      <c r="GA99" t="s">
        <v>3</v>
      </c>
      <c r="GD99">
        <v>1</v>
      </c>
      <c r="GF99">
        <v>789151112</v>
      </c>
      <c r="GG99">
        <v>2</v>
      </c>
      <c r="GH99">
        <v>1</v>
      </c>
      <c r="GI99">
        <v>-2</v>
      </c>
      <c r="GJ99">
        <v>0</v>
      </c>
      <c r="GK99">
        <v>0</v>
      </c>
      <c r="GL99">
        <f t="shared" si="62"/>
        <v>0</v>
      </c>
      <c r="GM99">
        <f t="shared" si="63"/>
        <v>0</v>
      </c>
      <c r="GN99">
        <f t="shared" si="64"/>
        <v>0</v>
      </c>
      <c r="GO99">
        <f t="shared" si="65"/>
        <v>0</v>
      </c>
      <c r="GP99">
        <f t="shared" si="66"/>
        <v>0</v>
      </c>
      <c r="GR99">
        <v>0</v>
      </c>
      <c r="GS99">
        <v>3</v>
      </c>
      <c r="GT99">
        <v>0</v>
      </c>
      <c r="GU99" t="s">
        <v>3</v>
      </c>
      <c r="GV99">
        <f t="shared" si="67"/>
        <v>0</v>
      </c>
      <c r="GW99">
        <v>1</v>
      </c>
      <c r="GX99">
        <f t="shared" si="68"/>
        <v>0</v>
      </c>
      <c r="HA99">
        <v>0</v>
      </c>
      <c r="HB99">
        <v>0</v>
      </c>
      <c r="HC99">
        <f t="shared" si="69"/>
        <v>0</v>
      </c>
      <c r="HE99" t="s">
        <v>3</v>
      </c>
      <c r="HF99" t="s">
        <v>3</v>
      </c>
      <c r="HM99" t="s">
        <v>3</v>
      </c>
      <c r="HN99" t="s">
        <v>22</v>
      </c>
      <c r="HO99" t="s">
        <v>23</v>
      </c>
      <c r="HP99" t="s">
        <v>20</v>
      </c>
      <c r="HQ99" t="s">
        <v>20</v>
      </c>
      <c r="IK99">
        <v>0</v>
      </c>
    </row>
    <row r="100" spans="1:245" x14ac:dyDescent="0.2">
      <c r="A100">
        <v>18</v>
      </c>
      <c r="B100">
        <v>1</v>
      </c>
      <c r="C100">
        <v>53</v>
      </c>
      <c r="E100" t="s">
        <v>214</v>
      </c>
      <c r="F100" t="s">
        <v>137</v>
      </c>
      <c r="G100" t="s">
        <v>138</v>
      </c>
      <c r="H100" t="s">
        <v>139</v>
      </c>
      <c r="I100">
        <f>I96*J100</f>
        <v>0</v>
      </c>
      <c r="J100">
        <v>0</v>
      </c>
      <c r="K100">
        <v>0</v>
      </c>
      <c r="O100">
        <f t="shared" si="30"/>
        <v>0</v>
      </c>
      <c r="P100">
        <f t="shared" si="31"/>
        <v>0</v>
      </c>
      <c r="Q100">
        <f t="shared" si="32"/>
        <v>0</v>
      </c>
      <c r="R100">
        <f t="shared" si="33"/>
        <v>0</v>
      </c>
      <c r="S100">
        <f t="shared" si="34"/>
        <v>0</v>
      </c>
      <c r="T100">
        <f t="shared" si="35"/>
        <v>0</v>
      </c>
      <c r="U100">
        <f t="shared" si="36"/>
        <v>0</v>
      </c>
      <c r="V100">
        <f t="shared" si="37"/>
        <v>0</v>
      </c>
      <c r="W100">
        <f t="shared" si="38"/>
        <v>0</v>
      </c>
      <c r="X100">
        <f t="shared" si="39"/>
        <v>0</v>
      </c>
      <c r="Y100">
        <f t="shared" si="40"/>
        <v>0</v>
      </c>
      <c r="AA100">
        <v>84186534</v>
      </c>
      <c r="AB100">
        <f t="shared" si="41"/>
        <v>0</v>
      </c>
      <c r="AC100">
        <f t="shared" si="42"/>
        <v>0</v>
      </c>
      <c r="AD100">
        <f t="shared" si="43"/>
        <v>0</v>
      </c>
      <c r="AE100">
        <f t="shared" si="44"/>
        <v>0</v>
      </c>
      <c r="AF100">
        <f t="shared" si="45"/>
        <v>0</v>
      </c>
      <c r="AG100">
        <f t="shared" si="46"/>
        <v>0</v>
      </c>
      <c r="AH100">
        <f t="shared" si="47"/>
        <v>0</v>
      </c>
      <c r="AI100">
        <f t="shared" si="48"/>
        <v>0</v>
      </c>
      <c r="AJ100">
        <f t="shared" si="49"/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103</v>
      </c>
      <c r="AU100">
        <v>60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1</v>
      </c>
      <c r="BD100" t="s">
        <v>3</v>
      </c>
      <c r="BE100" t="s">
        <v>3</v>
      </c>
      <c r="BF100" t="s">
        <v>3</v>
      </c>
      <c r="BG100" t="s">
        <v>3</v>
      </c>
      <c r="BH100">
        <v>3</v>
      </c>
      <c r="BI100">
        <v>1</v>
      </c>
      <c r="BJ100" t="s">
        <v>140</v>
      </c>
      <c r="BM100">
        <v>33001</v>
      </c>
      <c r="BN100">
        <v>0</v>
      </c>
      <c r="BO100" t="s">
        <v>3</v>
      </c>
      <c r="BP100">
        <v>0</v>
      </c>
      <c r="BQ100">
        <v>2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103</v>
      </c>
      <c r="CA100">
        <v>60</v>
      </c>
      <c r="CB100" t="s">
        <v>3</v>
      </c>
      <c r="CE100">
        <v>0</v>
      </c>
      <c r="CF100">
        <v>0</v>
      </c>
      <c r="CG100">
        <v>0</v>
      </c>
      <c r="CM100">
        <v>0</v>
      </c>
      <c r="CN100" t="s">
        <v>3</v>
      </c>
      <c r="CO100">
        <v>0</v>
      </c>
      <c r="CP100">
        <f t="shared" si="50"/>
        <v>0</v>
      </c>
      <c r="CQ100">
        <f t="shared" si="51"/>
        <v>0</v>
      </c>
      <c r="CR100">
        <f t="shared" si="52"/>
        <v>0</v>
      </c>
      <c r="CS100">
        <f t="shared" si="53"/>
        <v>0</v>
      </c>
      <c r="CT100">
        <f t="shared" si="54"/>
        <v>0</v>
      </c>
      <c r="CU100">
        <f t="shared" si="55"/>
        <v>0</v>
      </c>
      <c r="CV100">
        <f t="shared" si="56"/>
        <v>0</v>
      </c>
      <c r="CW100">
        <f t="shared" si="57"/>
        <v>0</v>
      </c>
      <c r="CX100">
        <f t="shared" si="58"/>
        <v>0</v>
      </c>
      <c r="CY100">
        <f t="shared" si="70"/>
        <v>0</v>
      </c>
      <c r="CZ100">
        <f t="shared" si="71"/>
        <v>0</v>
      </c>
      <c r="DC100" t="s">
        <v>3</v>
      </c>
      <c r="DD100" t="s">
        <v>3</v>
      </c>
      <c r="DE100" t="s">
        <v>3</v>
      </c>
      <c r="DF100" t="s">
        <v>3</v>
      </c>
      <c r="DG100" t="s">
        <v>3</v>
      </c>
      <c r="DH100" t="s">
        <v>3</v>
      </c>
      <c r="DI100" t="s">
        <v>3</v>
      </c>
      <c r="DJ100" t="s">
        <v>3</v>
      </c>
      <c r="DK100" t="s">
        <v>3</v>
      </c>
      <c r="DL100" t="s">
        <v>3</v>
      </c>
      <c r="DM100" t="s">
        <v>3</v>
      </c>
      <c r="DN100">
        <v>0</v>
      </c>
      <c r="DO100">
        <v>0</v>
      </c>
      <c r="DP100">
        <v>1</v>
      </c>
      <c r="DQ100">
        <v>1</v>
      </c>
      <c r="DU100">
        <v>1009</v>
      </c>
      <c r="DV100" t="s">
        <v>139</v>
      </c>
      <c r="DW100" t="s">
        <v>139</v>
      </c>
      <c r="DX100">
        <v>1</v>
      </c>
      <c r="DZ100" t="s">
        <v>3</v>
      </c>
      <c r="EA100" t="s">
        <v>3</v>
      </c>
      <c r="EB100" t="s">
        <v>3</v>
      </c>
      <c r="EC100" t="s">
        <v>3</v>
      </c>
      <c r="EE100">
        <v>79401925</v>
      </c>
      <c r="EF100">
        <v>2</v>
      </c>
      <c r="EG100" t="s">
        <v>19</v>
      </c>
      <c r="EH100">
        <v>27</v>
      </c>
      <c r="EI100" t="s">
        <v>20</v>
      </c>
      <c r="EJ100">
        <v>1</v>
      </c>
      <c r="EK100">
        <v>33001</v>
      </c>
      <c r="EL100" t="s">
        <v>20</v>
      </c>
      <c r="EM100" t="s">
        <v>21</v>
      </c>
      <c r="EO100" t="s">
        <v>3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0</v>
      </c>
      <c r="EX100">
        <v>0</v>
      </c>
      <c r="FQ100">
        <v>0</v>
      </c>
      <c r="FR100">
        <f t="shared" si="61"/>
        <v>0</v>
      </c>
      <c r="FS100">
        <v>0</v>
      </c>
      <c r="FX100">
        <v>103</v>
      </c>
      <c r="FY100">
        <v>60</v>
      </c>
      <c r="GA100" t="s">
        <v>3</v>
      </c>
      <c r="GD100">
        <v>1</v>
      </c>
      <c r="GF100">
        <v>-1695541033</v>
      </c>
      <c r="GG100">
        <v>2</v>
      </c>
      <c r="GH100">
        <v>1</v>
      </c>
      <c r="GI100">
        <v>-2</v>
      </c>
      <c r="GJ100">
        <v>0</v>
      </c>
      <c r="GK100">
        <v>0</v>
      </c>
      <c r="GL100">
        <f t="shared" si="62"/>
        <v>0</v>
      </c>
      <c r="GM100">
        <f t="shared" si="63"/>
        <v>0</v>
      </c>
      <c r="GN100">
        <f t="shared" si="64"/>
        <v>0</v>
      </c>
      <c r="GO100">
        <f t="shared" si="65"/>
        <v>0</v>
      </c>
      <c r="GP100">
        <f t="shared" si="66"/>
        <v>0</v>
      </c>
      <c r="GR100">
        <v>0</v>
      </c>
      <c r="GS100">
        <v>3</v>
      </c>
      <c r="GT100">
        <v>0</v>
      </c>
      <c r="GU100" t="s">
        <v>3</v>
      </c>
      <c r="GV100">
        <f t="shared" si="67"/>
        <v>0</v>
      </c>
      <c r="GW100">
        <v>1</v>
      </c>
      <c r="GX100">
        <f t="shared" si="68"/>
        <v>0</v>
      </c>
      <c r="HA100">
        <v>0</v>
      </c>
      <c r="HB100">
        <v>0</v>
      </c>
      <c r="HC100">
        <f t="shared" si="69"/>
        <v>0</v>
      </c>
      <c r="HE100" t="s">
        <v>3</v>
      </c>
      <c r="HF100" t="s">
        <v>3</v>
      </c>
      <c r="HM100" t="s">
        <v>3</v>
      </c>
      <c r="HN100" t="s">
        <v>22</v>
      </c>
      <c r="HO100" t="s">
        <v>23</v>
      </c>
      <c r="HP100" t="s">
        <v>20</v>
      </c>
      <c r="HQ100" t="s">
        <v>20</v>
      </c>
      <c r="IK100">
        <v>0</v>
      </c>
    </row>
    <row r="101" spans="1:245" x14ac:dyDescent="0.2">
      <c r="A101">
        <v>18</v>
      </c>
      <c r="B101">
        <v>1</v>
      </c>
      <c r="C101">
        <v>54</v>
      </c>
      <c r="E101" t="s">
        <v>215</v>
      </c>
      <c r="F101" t="s">
        <v>142</v>
      </c>
      <c r="G101" t="s">
        <v>143</v>
      </c>
      <c r="H101" t="s">
        <v>139</v>
      </c>
      <c r="I101">
        <f>I96*J101</f>
        <v>0</v>
      </c>
      <c r="J101">
        <v>0</v>
      </c>
      <c r="K101">
        <v>0</v>
      </c>
      <c r="O101">
        <f t="shared" si="30"/>
        <v>0</v>
      </c>
      <c r="P101">
        <f t="shared" si="31"/>
        <v>0</v>
      </c>
      <c r="Q101">
        <f t="shared" si="32"/>
        <v>0</v>
      </c>
      <c r="R101">
        <f t="shared" si="33"/>
        <v>0</v>
      </c>
      <c r="S101">
        <f t="shared" si="34"/>
        <v>0</v>
      </c>
      <c r="T101">
        <f t="shared" si="35"/>
        <v>0</v>
      </c>
      <c r="U101">
        <f t="shared" si="36"/>
        <v>0</v>
      </c>
      <c r="V101">
        <f t="shared" si="37"/>
        <v>0</v>
      </c>
      <c r="W101">
        <f t="shared" si="38"/>
        <v>0</v>
      </c>
      <c r="X101">
        <f t="shared" si="39"/>
        <v>0</v>
      </c>
      <c r="Y101">
        <f t="shared" si="40"/>
        <v>0</v>
      </c>
      <c r="AA101">
        <v>84186534</v>
      </c>
      <c r="AB101">
        <f t="shared" si="41"/>
        <v>0</v>
      </c>
      <c r="AC101">
        <f t="shared" si="42"/>
        <v>0</v>
      </c>
      <c r="AD101">
        <f t="shared" si="43"/>
        <v>0</v>
      </c>
      <c r="AE101">
        <f t="shared" si="44"/>
        <v>0</v>
      </c>
      <c r="AF101">
        <f t="shared" si="45"/>
        <v>0</v>
      </c>
      <c r="AG101">
        <f t="shared" si="46"/>
        <v>0</v>
      </c>
      <c r="AH101">
        <f t="shared" si="47"/>
        <v>0</v>
      </c>
      <c r="AI101">
        <f t="shared" si="48"/>
        <v>0</v>
      </c>
      <c r="AJ101">
        <f t="shared" si="49"/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103</v>
      </c>
      <c r="AU101">
        <v>60</v>
      </c>
      <c r="AV101">
        <v>1</v>
      </c>
      <c r="AW101">
        <v>1</v>
      </c>
      <c r="AZ101">
        <v>1</v>
      </c>
      <c r="BA101">
        <v>1</v>
      </c>
      <c r="BB101">
        <v>1</v>
      </c>
      <c r="BC101">
        <v>1</v>
      </c>
      <c r="BD101" t="s">
        <v>3</v>
      </c>
      <c r="BE101" t="s">
        <v>3</v>
      </c>
      <c r="BF101" t="s">
        <v>3</v>
      </c>
      <c r="BG101" t="s">
        <v>3</v>
      </c>
      <c r="BH101">
        <v>3</v>
      </c>
      <c r="BI101">
        <v>1</v>
      </c>
      <c r="BJ101" t="s">
        <v>144</v>
      </c>
      <c r="BM101">
        <v>33001</v>
      </c>
      <c r="BN101">
        <v>0</v>
      </c>
      <c r="BO101" t="s">
        <v>3</v>
      </c>
      <c r="BP101">
        <v>0</v>
      </c>
      <c r="BQ101">
        <v>2</v>
      </c>
      <c r="BR101">
        <v>0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103</v>
      </c>
      <c r="CA101">
        <v>60</v>
      </c>
      <c r="CB101" t="s">
        <v>3</v>
      </c>
      <c r="CE101">
        <v>0</v>
      </c>
      <c r="CF101">
        <v>0</v>
      </c>
      <c r="CG101">
        <v>0</v>
      </c>
      <c r="CM101">
        <v>0</v>
      </c>
      <c r="CN101" t="s">
        <v>3</v>
      </c>
      <c r="CO101">
        <v>0</v>
      </c>
      <c r="CP101">
        <f t="shared" si="50"/>
        <v>0</v>
      </c>
      <c r="CQ101">
        <f t="shared" si="51"/>
        <v>0</v>
      </c>
      <c r="CR101">
        <f t="shared" si="52"/>
        <v>0</v>
      </c>
      <c r="CS101">
        <f t="shared" si="53"/>
        <v>0</v>
      </c>
      <c r="CT101">
        <f t="shared" si="54"/>
        <v>0</v>
      </c>
      <c r="CU101">
        <f t="shared" si="55"/>
        <v>0</v>
      </c>
      <c r="CV101">
        <f t="shared" si="56"/>
        <v>0</v>
      </c>
      <c r="CW101">
        <f t="shared" si="57"/>
        <v>0</v>
      </c>
      <c r="CX101">
        <f t="shared" si="58"/>
        <v>0</v>
      </c>
      <c r="CY101">
        <f t="shared" si="70"/>
        <v>0</v>
      </c>
      <c r="CZ101">
        <f t="shared" si="71"/>
        <v>0</v>
      </c>
      <c r="DC101" t="s">
        <v>3</v>
      </c>
      <c r="DD101" t="s">
        <v>3</v>
      </c>
      <c r="DE101" t="s">
        <v>3</v>
      </c>
      <c r="DF101" t="s">
        <v>3</v>
      </c>
      <c r="DG101" t="s">
        <v>3</v>
      </c>
      <c r="DH101" t="s">
        <v>3</v>
      </c>
      <c r="DI101" t="s">
        <v>3</v>
      </c>
      <c r="DJ101" t="s">
        <v>3</v>
      </c>
      <c r="DK101" t="s">
        <v>3</v>
      </c>
      <c r="DL101" t="s">
        <v>3</v>
      </c>
      <c r="DM101" t="s">
        <v>3</v>
      </c>
      <c r="DN101">
        <v>0</v>
      </c>
      <c r="DO101">
        <v>0</v>
      </c>
      <c r="DP101">
        <v>1</v>
      </c>
      <c r="DQ101">
        <v>1</v>
      </c>
      <c r="DU101">
        <v>1009</v>
      </c>
      <c r="DV101" t="s">
        <v>139</v>
      </c>
      <c r="DW101" t="s">
        <v>139</v>
      </c>
      <c r="DX101">
        <v>1</v>
      </c>
      <c r="DZ101" t="s">
        <v>3</v>
      </c>
      <c r="EA101" t="s">
        <v>3</v>
      </c>
      <c r="EB101" t="s">
        <v>3</v>
      </c>
      <c r="EC101" t="s">
        <v>3</v>
      </c>
      <c r="EE101">
        <v>79401925</v>
      </c>
      <c r="EF101">
        <v>2</v>
      </c>
      <c r="EG101" t="s">
        <v>19</v>
      </c>
      <c r="EH101">
        <v>27</v>
      </c>
      <c r="EI101" t="s">
        <v>20</v>
      </c>
      <c r="EJ101">
        <v>1</v>
      </c>
      <c r="EK101">
        <v>33001</v>
      </c>
      <c r="EL101" t="s">
        <v>20</v>
      </c>
      <c r="EM101" t="s">
        <v>21</v>
      </c>
      <c r="EO101" t="s">
        <v>3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0</v>
      </c>
      <c r="EX101">
        <v>0</v>
      </c>
      <c r="FQ101">
        <v>0</v>
      </c>
      <c r="FR101">
        <f t="shared" si="61"/>
        <v>0</v>
      </c>
      <c r="FS101">
        <v>0</v>
      </c>
      <c r="FX101">
        <v>103</v>
      </c>
      <c r="FY101">
        <v>60</v>
      </c>
      <c r="GA101" t="s">
        <v>3</v>
      </c>
      <c r="GD101">
        <v>1</v>
      </c>
      <c r="GF101">
        <v>-2040775826</v>
      </c>
      <c r="GG101">
        <v>2</v>
      </c>
      <c r="GH101">
        <v>1</v>
      </c>
      <c r="GI101">
        <v>-2</v>
      </c>
      <c r="GJ101">
        <v>0</v>
      </c>
      <c r="GK101">
        <v>0</v>
      </c>
      <c r="GL101">
        <f t="shared" si="62"/>
        <v>0</v>
      </c>
      <c r="GM101">
        <f t="shared" si="63"/>
        <v>0</v>
      </c>
      <c r="GN101">
        <f t="shared" si="64"/>
        <v>0</v>
      </c>
      <c r="GO101">
        <f t="shared" si="65"/>
        <v>0</v>
      </c>
      <c r="GP101">
        <f t="shared" si="66"/>
        <v>0</v>
      </c>
      <c r="GR101">
        <v>0</v>
      </c>
      <c r="GS101">
        <v>3</v>
      </c>
      <c r="GT101">
        <v>0</v>
      </c>
      <c r="GU101" t="s">
        <v>3</v>
      </c>
      <c r="GV101">
        <f t="shared" si="67"/>
        <v>0</v>
      </c>
      <c r="GW101">
        <v>1</v>
      </c>
      <c r="GX101">
        <f t="shared" si="68"/>
        <v>0</v>
      </c>
      <c r="HA101">
        <v>0</v>
      </c>
      <c r="HB101">
        <v>0</v>
      </c>
      <c r="HC101">
        <f t="shared" si="69"/>
        <v>0</v>
      </c>
      <c r="HE101" t="s">
        <v>3</v>
      </c>
      <c r="HF101" t="s">
        <v>3</v>
      </c>
      <c r="HM101" t="s">
        <v>3</v>
      </c>
      <c r="HN101" t="s">
        <v>22</v>
      </c>
      <c r="HO101" t="s">
        <v>23</v>
      </c>
      <c r="HP101" t="s">
        <v>20</v>
      </c>
      <c r="HQ101" t="s">
        <v>20</v>
      </c>
      <c r="IK101">
        <v>0</v>
      </c>
    </row>
    <row r="102" spans="1:245" x14ac:dyDescent="0.2">
      <c r="A102">
        <v>17</v>
      </c>
      <c r="B102">
        <v>1</v>
      </c>
      <c r="E102" t="s">
        <v>216</v>
      </c>
      <c r="F102" t="s">
        <v>169</v>
      </c>
      <c r="G102" t="s">
        <v>170</v>
      </c>
      <c r="H102" t="s">
        <v>117</v>
      </c>
      <c r="I102">
        <v>5.169E-3</v>
      </c>
      <c r="J102">
        <v>0</v>
      </c>
      <c r="K102">
        <v>5.169E-3</v>
      </c>
      <c r="O102">
        <f t="shared" si="30"/>
        <v>367.31</v>
      </c>
      <c r="P102">
        <f t="shared" si="31"/>
        <v>367.31</v>
      </c>
      <c r="Q102">
        <f t="shared" si="32"/>
        <v>0</v>
      </c>
      <c r="R102">
        <f t="shared" si="33"/>
        <v>0</v>
      </c>
      <c r="S102">
        <f t="shared" si="34"/>
        <v>0</v>
      </c>
      <c r="T102">
        <f t="shared" si="35"/>
        <v>0</v>
      </c>
      <c r="U102">
        <f t="shared" si="36"/>
        <v>0</v>
      </c>
      <c r="V102">
        <f t="shared" si="37"/>
        <v>0</v>
      </c>
      <c r="W102">
        <f t="shared" si="38"/>
        <v>0</v>
      </c>
      <c r="X102">
        <f t="shared" si="39"/>
        <v>0</v>
      </c>
      <c r="Y102">
        <f t="shared" si="40"/>
        <v>0</v>
      </c>
      <c r="AA102">
        <v>84186534</v>
      </c>
      <c r="AB102">
        <f t="shared" si="41"/>
        <v>6813</v>
      </c>
      <c r="AC102">
        <f t="shared" si="42"/>
        <v>6813</v>
      </c>
      <c r="AD102">
        <f t="shared" si="43"/>
        <v>0</v>
      </c>
      <c r="AE102">
        <f t="shared" si="44"/>
        <v>0</v>
      </c>
      <c r="AF102">
        <f t="shared" si="45"/>
        <v>0</v>
      </c>
      <c r="AG102">
        <f t="shared" si="46"/>
        <v>0</v>
      </c>
      <c r="AH102">
        <f t="shared" si="47"/>
        <v>0</v>
      </c>
      <c r="AI102">
        <f t="shared" si="48"/>
        <v>0</v>
      </c>
      <c r="AJ102">
        <f t="shared" si="49"/>
        <v>0</v>
      </c>
      <c r="AK102">
        <v>6813</v>
      </c>
      <c r="AL102">
        <v>6813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10.43</v>
      </c>
      <c r="BD102" t="s">
        <v>3</v>
      </c>
      <c r="BE102" t="s">
        <v>3</v>
      </c>
      <c r="BF102" t="s">
        <v>3</v>
      </c>
      <c r="BG102" t="s">
        <v>3</v>
      </c>
      <c r="BH102">
        <v>3</v>
      </c>
      <c r="BI102">
        <v>1</v>
      </c>
      <c r="BJ102" t="s">
        <v>171</v>
      </c>
      <c r="BM102">
        <v>500001</v>
      </c>
      <c r="BN102">
        <v>0</v>
      </c>
      <c r="BO102" t="s">
        <v>169</v>
      </c>
      <c r="BP102">
        <v>1</v>
      </c>
      <c r="BQ102">
        <v>8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0</v>
      </c>
      <c r="CA102">
        <v>0</v>
      </c>
      <c r="CB102" t="s">
        <v>3</v>
      </c>
      <c r="CE102">
        <v>0</v>
      </c>
      <c r="CF102">
        <v>0</v>
      </c>
      <c r="CG102">
        <v>0</v>
      </c>
      <c r="CM102">
        <v>0</v>
      </c>
      <c r="CN102" t="s">
        <v>3</v>
      </c>
      <c r="CO102">
        <v>0</v>
      </c>
      <c r="CP102">
        <f t="shared" si="50"/>
        <v>367.31</v>
      </c>
      <c r="CQ102">
        <f t="shared" si="51"/>
        <v>71059.59</v>
      </c>
      <c r="CR102">
        <f t="shared" si="52"/>
        <v>0</v>
      </c>
      <c r="CS102">
        <f t="shared" si="53"/>
        <v>0</v>
      </c>
      <c r="CT102">
        <f t="shared" si="54"/>
        <v>0</v>
      </c>
      <c r="CU102">
        <f t="shared" si="55"/>
        <v>0</v>
      </c>
      <c r="CV102">
        <f t="shared" si="56"/>
        <v>0</v>
      </c>
      <c r="CW102">
        <f t="shared" si="57"/>
        <v>0</v>
      </c>
      <c r="CX102">
        <f t="shared" si="58"/>
        <v>0</v>
      </c>
      <c r="CY102">
        <f>0</f>
        <v>0</v>
      </c>
      <c r="CZ102">
        <f>0</f>
        <v>0</v>
      </c>
      <c r="DC102" t="s">
        <v>3</v>
      </c>
      <c r="DD102" t="s">
        <v>3</v>
      </c>
      <c r="DE102" t="s">
        <v>3</v>
      </c>
      <c r="DF102" t="s">
        <v>3</v>
      </c>
      <c r="DG102" t="s">
        <v>3</v>
      </c>
      <c r="DH102" t="s">
        <v>3</v>
      </c>
      <c r="DI102" t="s">
        <v>3</v>
      </c>
      <c r="DJ102" t="s">
        <v>3</v>
      </c>
      <c r="DK102" t="s">
        <v>3</v>
      </c>
      <c r="DL102" t="s">
        <v>3</v>
      </c>
      <c r="DM102" t="s">
        <v>3</v>
      </c>
      <c r="DN102">
        <v>0</v>
      </c>
      <c r="DO102">
        <v>0</v>
      </c>
      <c r="DP102">
        <v>1</v>
      </c>
      <c r="DQ102">
        <v>1</v>
      </c>
      <c r="DU102">
        <v>1009</v>
      </c>
      <c r="DV102" t="s">
        <v>117</v>
      </c>
      <c r="DW102" t="s">
        <v>117</v>
      </c>
      <c r="DX102">
        <v>1000</v>
      </c>
      <c r="DZ102" t="s">
        <v>3</v>
      </c>
      <c r="EA102" t="s">
        <v>3</v>
      </c>
      <c r="EB102" t="s">
        <v>3</v>
      </c>
      <c r="EC102" t="s">
        <v>3</v>
      </c>
      <c r="EE102">
        <v>79401762</v>
      </c>
      <c r="EF102">
        <v>8</v>
      </c>
      <c r="EG102" t="s">
        <v>157</v>
      </c>
      <c r="EH102">
        <v>0</v>
      </c>
      <c r="EI102" t="s">
        <v>3</v>
      </c>
      <c r="EJ102">
        <v>1</v>
      </c>
      <c r="EK102">
        <v>500001</v>
      </c>
      <c r="EL102" t="s">
        <v>158</v>
      </c>
      <c r="EM102" t="s">
        <v>159</v>
      </c>
      <c r="EO102" t="s">
        <v>3</v>
      </c>
      <c r="EQ102">
        <v>0</v>
      </c>
      <c r="ER102">
        <v>6813</v>
      </c>
      <c r="ES102">
        <v>6813</v>
      </c>
      <c r="ET102">
        <v>0</v>
      </c>
      <c r="EU102">
        <v>0</v>
      </c>
      <c r="EV102">
        <v>0</v>
      </c>
      <c r="EW102">
        <v>0</v>
      </c>
      <c r="EX102">
        <v>0</v>
      </c>
      <c r="EY102">
        <v>0</v>
      </c>
      <c r="FQ102">
        <v>0</v>
      </c>
      <c r="FR102">
        <f t="shared" si="61"/>
        <v>0</v>
      </c>
      <c r="FS102">
        <v>0</v>
      </c>
      <c r="FX102">
        <v>0</v>
      </c>
      <c r="FY102">
        <v>0</v>
      </c>
      <c r="GA102" t="s">
        <v>3</v>
      </c>
      <c r="GD102">
        <v>1</v>
      </c>
      <c r="GF102">
        <v>-1375793846</v>
      </c>
      <c r="GG102">
        <v>2</v>
      </c>
      <c r="GH102">
        <v>1</v>
      </c>
      <c r="GI102">
        <v>2</v>
      </c>
      <c r="GJ102">
        <v>0</v>
      </c>
      <c r="GK102">
        <v>0</v>
      </c>
      <c r="GL102">
        <f t="shared" si="62"/>
        <v>0</v>
      </c>
      <c r="GM102">
        <f t="shared" si="63"/>
        <v>367.31</v>
      </c>
      <c r="GN102">
        <f t="shared" si="64"/>
        <v>367.31</v>
      </c>
      <c r="GO102">
        <f t="shared" si="65"/>
        <v>0</v>
      </c>
      <c r="GP102">
        <f t="shared" si="66"/>
        <v>0</v>
      </c>
      <c r="GR102">
        <v>0</v>
      </c>
      <c r="GS102">
        <v>3</v>
      </c>
      <c r="GT102">
        <v>0</v>
      </c>
      <c r="GU102" t="s">
        <v>3</v>
      </c>
      <c r="GV102">
        <f t="shared" si="67"/>
        <v>0</v>
      </c>
      <c r="GW102">
        <v>1</v>
      </c>
      <c r="GX102">
        <f t="shared" si="68"/>
        <v>0</v>
      </c>
      <c r="HA102">
        <v>0</v>
      </c>
      <c r="HB102">
        <v>0</v>
      </c>
      <c r="HC102">
        <f t="shared" si="69"/>
        <v>0</v>
      </c>
      <c r="HE102" t="s">
        <v>3</v>
      </c>
      <c r="HF102" t="s">
        <v>3</v>
      </c>
      <c r="HM102" t="s">
        <v>3</v>
      </c>
      <c r="HN102" t="s">
        <v>3</v>
      </c>
      <c r="HO102" t="s">
        <v>3</v>
      </c>
      <c r="HP102" t="s">
        <v>3</v>
      </c>
      <c r="HQ102" t="s">
        <v>3</v>
      </c>
      <c r="IK102">
        <v>0</v>
      </c>
    </row>
    <row r="103" spans="1:245" x14ac:dyDescent="0.2">
      <c r="A103">
        <v>17</v>
      </c>
      <c r="B103">
        <v>1</v>
      </c>
      <c r="C103">
        <f>ROW(SmtRes!A61)</f>
        <v>61</v>
      </c>
      <c r="D103">
        <f>ROW(EtalonRes!A61)</f>
        <v>61</v>
      </c>
      <c r="E103" t="s">
        <v>217</v>
      </c>
      <c r="F103" t="s">
        <v>218</v>
      </c>
      <c r="G103" t="s">
        <v>219</v>
      </c>
      <c r="H103" t="s">
        <v>220</v>
      </c>
      <c r="I103">
        <v>2</v>
      </c>
      <c r="J103">
        <v>0</v>
      </c>
      <c r="K103">
        <v>2</v>
      </c>
      <c r="O103">
        <f t="shared" si="30"/>
        <v>2988.38</v>
      </c>
      <c r="P103">
        <f t="shared" si="31"/>
        <v>701.79</v>
      </c>
      <c r="Q103">
        <f t="shared" si="32"/>
        <v>1835.13</v>
      </c>
      <c r="R103">
        <f t="shared" si="33"/>
        <v>387.26</v>
      </c>
      <c r="S103">
        <f t="shared" si="34"/>
        <v>451.46</v>
      </c>
      <c r="T103">
        <f t="shared" si="35"/>
        <v>0</v>
      </c>
      <c r="U103">
        <f t="shared" si="36"/>
        <v>1.62</v>
      </c>
      <c r="V103">
        <f t="shared" si="37"/>
        <v>1.22</v>
      </c>
      <c r="W103">
        <f t="shared" si="38"/>
        <v>0</v>
      </c>
      <c r="X103">
        <f t="shared" si="39"/>
        <v>863.88</v>
      </c>
      <c r="Y103">
        <f t="shared" si="40"/>
        <v>503.23</v>
      </c>
      <c r="AA103">
        <v>84186534</v>
      </c>
      <c r="AB103">
        <f t="shared" si="41"/>
        <v>140.05000000000001</v>
      </c>
      <c r="AC103">
        <f t="shared" si="42"/>
        <v>33.26</v>
      </c>
      <c r="AD103">
        <f t="shared" si="43"/>
        <v>100.39</v>
      </c>
      <c r="AE103">
        <f t="shared" si="44"/>
        <v>5.49</v>
      </c>
      <c r="AF103">
        <f t="shared" si="45"/>
        <v>6.4</v>
      </c>
      <c r="AG103">
        <f t="shared" si="46"/>
        <v>0</v>
      </c>
      <c r="AH103">
        <f t="shared" si="47"/>
        <v>0.81</v>
      </c>
      <c r="AI103">
        <f t="shared" si="48"/>
        <v>0.61</v>
      </c>
      <c r="AJ103">
        <f t="shared" si="49"/>
        <v>0</v>
      </c>
      <c r="AK103">
        <v>140.05000000000001</v>
      </c>
      <c r="AL103">
        <v>33.26</v>
      </c>
      <c r="AM103">
        <v>100.39</v>
      </c>
      <c r="AN103">
        <v>5.49</v>
      </c>
      <c r="AO103">
        <v>6.4</v>
      </c>
      <c r="AP103">
        <v>0</v>
      </c>
      <c r="AQ103">
        <v>0.81</v>
      </c>
      <c r="AR103">
        <v>0.61</v>
      </c>
      <c r="AS103">
        <v>0</v>
      </c>
      <c r="AT103">
        <v>103</v>
      </c>
      <c r="AU103">
        <v>60</v>
      </c>
      <c r="AV103">
        <v>1</v>
      </c>
      <c r="AW103">
        <v>1</v>
      </c>
      <c r="AZ103">
        <v>1</v>
      </c>
      <c r="BA103">
        <v>35.270000000000003</v>
      </c>
      <c r="BB103">
        <v>9.14</v>
      </c>
      <c r="BC103">
        <v>10.55</v>
      </c>
      <c r="BD103" t="s">
        <v>3</v>
      </c>
      <c r="BE103" t="s">
        <v>3</v>
      </c>
      <c r="BF103" t="s">
        <v>3</v>
      </c>
      <c r="BG103" t="s">
        <v>3</v>
      </c>
      <c r="BH103">
        <v>0</v>
      </c>
      <c r="BI103">
        <v>1</v>
      </c>
      <c r="BJ103" t="s">
        <v>221</v>
      </c>
      <c r="BM103">
        <v>33001</v>
      </c>
      <c r="BN103">
        <v>0</v>
      </c>
      <c r="BO103" t="s">
        <v>218</v>
      </c>
      <c r="BP103">
        <v>1</v>
      </c>
      <c r="BQ103">
        <v>2</v>
      </c>
      <c r="BR103">
        <v>0</v>
      </c>
      <c r="BS103">
        <v>35.270000000000003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103</v>
      </c>
      <c r="CA103">
        <v>60</v>
      </c>
      <c r="CB103" t="s">
        <v>3</v>
      </c>
      <c r="CE103">
        <v>0</v>
      </c>
      <c r="CF103">
        <v>0</v>
      </c>
      <c r="CG103">
        <v>0</v>
      </c>
      <c r="CM103">
        <v>0</v>
      </c>
      <c r="CN103" t="s">
        <v>3</v>
      </c>
      <c r="CO103">
        <v>0</v>
      </c>
      <c r="CP103">
        <f t="shared" si="50"/>
        <v>2988.38</v>
      </c>
      <c r="CQ103">
        <f t="shared" si="51"/>
        <v>350.89300000000003</v>
      </c>
      <c r="CR103">
        <f t="shared" si="52"/>
        <v>917.56460000000004</v>
      </c>
      <c r="CS103">
        <f t="shared" si="53"/>
        <v>193.63230000000001</v>
      </c>
      <c r="CT103">
        <f t="shared" si="54"/>
        <v>225.72800000000004</v>
      </c>
      <c r="CU103">
        <f t="shared" si="55"/>
        <v>0</v>
      </c>
      <c r="CV103">
        <f t="shared" si="56"/>
        <v>0.81</v>
      </c>
      <c r="CW103">
        <f t="shared" si="57"/>
        <v>0.61</v>
      </c>
      <c r="CX103">
        <f t="shared" si="58"/>
        <v>0</v>
      </c>
      <c r="CY103">
        <f>(((S103+R103)*AT103)/100)</f>
        <v>863.88160000000005</v>
      </c>
      <c r="CZ103">
        <f>(((S103+R103)*AU103)/100)</f>
        <v>503.23200000000003</v>
      </c>
      <c r="DC103" t="s">
        <v>3</v>
      </c>
      <c r="DD103" t="s">
        <v>3</v>
      </c>
      <c r="DE103" t="s">
        <v>3</v>
      </c>
      <c r="DF103" t="s">
        <v>3</v>
      </c>
      <c r="DG103" t="s">
        <v>3</v>
      </c>
      <c r="DH103" t="s">
        <v>3</v>
      </c>
      <c r="DI103" t="s">
        <v>3</v>
      </c>
      <c r="DJ103" t="s">
        <v>3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1013</v>
      </c>
      <c r="DV103" t="s">
        <v>220</v>
      </c>
      <c r="DW103" t="s">
        <v>220</v>
      </c>
      <c r="DX103">
        <v>1</v>
      </c>
      <c r="DZ103" t="s">
        <v>3</v>
      </c>
      <c r="EA103" t="s">
        <v>3</v>
      </c>
      <c r="EB103" t="s">
        <v>3</v>
      </c>
      <c r="EC103" t="s">
        <v>3</v>
      </c>
      <c r="EE103">
        <v>79401925</v>
      </c>
      <c r="EF103">
        <v>2</v>
      </c>
      <c r="EG103" t="s">
        <v>19</v>
      </c>
      <c r="EH103">
        <v>27</v>
      </c>
      <c r="EI103" t="s">
        <v>20</v>
      </c>
      <c r="EJ103">
        <v>1</v>
      </c>
      <c r="EK103">
        <v>33001</v>
      </c>
      <c r="EL103" t="s">
        <v>20</v>
      </c>
      <c r="EM103" t="s">
        <v>21</v>
      </c>
      <c r="EO103" t="s">
        <v>3</v>
      </c>
      <c r="EQ103">
        <v>0</v>
      </c>
      <c r="ER103">
        <v>140.05000000000001</v>
      </c>
      <c r="ES103">
        <v>33.26</v>
      </c>
      <c r="ET103">
        <v>100.39</v>
      </c>
      <c r="EU103">
        <v>5.49</v>
      </c>
      <c r="EV103">
        <v>6.4</v>
      </c>
      <c r="EW103">
        <v>0.81</v>
      </c>
      <c r="EX103">
        <v>0.61</v>
      </c>
      <c r="EY103">
        <v>0</v>
      </c>
      <c r="FQ103">
        <v>0</v>
      </c>
      <c r="FR103">
        <f t="shared" si="61"/>
        <v>0</v>
      </c>
      <c r="FS103">
        <v>0</v>
      </c>
      <c r="FX103">
        <v>103</v>
      </c>
      <c r="FY103">
        <v>60</v>
      </c>
      <c r="GA103" t="s">
        <v>3</v>
      </c>
      <c r="GD103">
        <v>1</v>
      </c>
      <c r="GF103">
        <v>-1716539149</v>
      </c>
      <c r="GG103">
        <v>2</v>
      </c>
      <c r="GH103">
        <v>1</v>
      </c>
      <c r="GI103">
        <v>2</v>
      </c>
      <c r="GJ103">
        <v>0</v>
      </c>
      <c r="GK103">
        <v>0</v>
      </c>
      <c r="GL103">
        <f t="shared" si="62"/>
        <v>0</v>
      </c>
      <c r="GM103">
        <f t="shared" si="63"/>
        <v>4355.49</v>
      </c>
      <c r="GN103">
        <f t="shared" si="64"/>
        <v>4355.49</v>
      </c>
      <c r="GO103">
        <f t="shared" si="65"/>
        <v>0</v>
      </c>
      <c r="GP103">
        <f t="shared" si="66"/>
        <v>0</v>
      </c>
      <c r="GR103">
        <v>0</v>
      </c>
      <c r="GS103">
        <v>3</v>
      </c>
      <c r="GT103">
        <v>0</v>
      </c>
      <c r="GU103" t="s">
        <v>3</v>
      </c>
      <c r="GV103">
        <f t="shared" si="67"/>
        <v>0</v>
      </c>
      <c r="GW103">
        <v>1</v>
      </c>
      <c r="GX103">
        <f t="shared" si="68"/>
        <v>0</v>
      </c>
      <c r="HA103">
        <v>0</v>
      </c>
      <c r="HB103">
        <v>0</v>
      </c>
      <c r="HC103">
        <f t="shared" si="69"/>
        <v>0</v>
      </c>
      <c r="HE103" t="s">
        <v>3</v>
      </c>
      <c r="HF103" t="s">
        <v>3</v>
      </c>
      <c r="HM103" t="s">
        <v>3</v>
      </c>
      <c r="HN103" t="s">
        <v>22</v>
      </c>
      <c r="HO103" t="s">
        <v>23</v>
      </c>
      <c r="HP103" t="s">
        <v>20</v>
      </c>
      <c r="HQ103" t="s">
        <v>20</v>
      </c>
      <c r="IK103">
        <v>0</v>
      </c>
    </row>
    <row r="104" spans="1:245" x14ac:dyDescent="0.2">
      <c r="A104">
        <v>18</v>
      </c>
      <c r="B104">
        <v>1</v>
      </c>
      <c r="C104">
        <v>61</v>
      </c>
      <c r="E104" t="s">
        <v>222</v>
      </c>
      <c r="F104" t="s">
        <v>223</v>
      </c>
      <c r="G104" t="s">
        <v>224</v>
      </c>
      <c r="H104" t="s">
        <v>117</v>
      </c>
      <c r="I104">
        <f>I103*J104</f>
        <v>-0.01</v>
      </c>
      <c r="J104">
        <v>-5.0000000000000001E-3</v>
      </c>
      <c r="K104">
        <v>-5.0000000000000001E-3</v>
      </c>
      <c r="O104">
        <f t="shared" si="30"/>
        <v>-694.35</v>
      </c>
      <c r="P104">
        <f t="shared" si="31"/>
        <v>-694.35</v>
      </c>
      <c r="Q104">
        <f t="shared" si="32"/>
        <v>0</v>
      </c>
      <c r="R104">
        <f t="shared" si="33"/>
        <v>0</v>
      </c>
      <c r="S104">
        <f t="shared" si="34"/>
        <v>0</v>
      </c>
      <c r="T104">
        <f t="shared" si="35"/>
        <v>0</v>
      </c>
      <c r="U104">
        <f t="shared" si="36"/>
        <v>0</v>
      </c>
      <c r="V104">
        <f t="shared" si="37"/>
        <v>0</v>
      </c>
      <c r="W104">
        <f t="shared" si="38"/>
        <v>0</v>
      </c>
      <c r="X104">
        <f t="shared" si="39"/>
        <v>0</v>
      </c>
      <c r="Y104">
        <f t="shared" si="40"/>
        <v>0</v>
      </c>
      <c r="AA104">
        <v>84186534</v>
      </c>
      <c r="AB104">
        <f t="shared" si="41"/>
        <v>6594</v>
      </c>
      <c r="AC104">
        <f t="shared" si="42"/>
        <v>6594</v>
      </c>
      <c r="AD104">
        <f t="shared" si="43"/>
        <v>0</v>
      </c>
      <c r="AE104">
        <f t="shared" si="44"/>
        <v>0</v>
      </c>
      <c r="AF104">
        <f t="shared" si="45"/>
        <v>0</v>
      </c>
      <c r="AG104">
        <f t="shared" si="46"/>
        <v>0</v>
      </c>
      <c r="AH104">
        <f t="shared" si="47"/>
        <v>0</v>
      </c>
      <c r="AI104">
        <f t="shared" si="48"/>
        <v>0</v>
      </c>
      <c r="AJ104">
        <f t="shared" si="49"/>
        <v>0</v>
      </c>
      <c r="AK104">
        <v>6594</v>
      </c>
      <c r="AL104">
        <v>6594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103</v>
      </c>
      <c r="AU104">
        <v>60</v>
      </c>
      <c r="AV104">
        <v>1</v>
      </c>
      <c r="AW104">
        <v>1</v>
      </c>
      <c r="AZ104">
        <v>1</v>
      </c>
      <c r="BA104">
        <v>1</v>
      </c>
      <c r="BB104">
        <v>1</v>
      </c>
      <c r="BC104">
        <v>10.53</v>
      </c>
      <c r="BD104" t="s">
        <v>3</v>
      </c>
      <c r="BE104" t="s">
        <v>3</v>
      </c>
      <c r="BF104" t="s">
        <v>3</v>
      </c>
      <c r="BG104" t="s">
        <v>3</v>
      </c>
      <c r="BH104">
        <v>3</v>
      </c>
      <c r="BI104">
        <v>1</v>
      </c>
      <c r="BJ104" t="s">
        <v>225</v>
      </c>
      <c r="BM104">
        <v>33001</v>
      </c>
      <c r="BN104">
        <v>0</v>
      </c>
      <c r="BO104" t="s">
        <v>223</v>
      </c>
      <c r="BP104">
        <v>1</v>
      </c>
      <c r="BQ104">
        <v>2</v>
      </c>
      <c r="BR104">
        <v>1</v>
      </c>
      <c r="BS104">
        <v>1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103</v>
      </c>
      <c r="CA104">
        <v>60</v>
      </c>
      <c r="CB104" t="s">
        <v>3</v>
      </c>
      <c r="CE104">
        <v>0</v>
      </c>
      <c r="CF104">
        <v>0</v>
      </c>
      <c r="CG104">
        <v>0</v>
      </c>
      <c r="CM104">
        <v>0</v>
      </c>
      <c r="CN104" t="s">
        <v>3</v>
      </c>
      <c r="CO104">
        <v>0</v>
      </c>
      <c r="CP104">
        <f t="shared" si="50"/>
        <v>-694.35</v>
      </c>
      <c r="CQ104">
        <f t="shared" si="51"/>
        <v>69434.819999999992</v>
      </c>
      <c r="CR104">
        <f t="shared" si="52"/>
        <v>0</v>
      </c>
      <c r="CS104">
        <f t="shared" si="53"/>
        <v>0</v>
      </c>
      <c r="CT104">
        <f t="shared" si="54"/>
        <v>0</v>
      </c>
      <c r="CU104">
        <f t="shared" si="55"/>
        <v>0</v>
      </c>
      <c r="CV104">
        <f t="shared" si="56"/>
        <v>0</v>
      </c>
      <c r="CW104">
        <f t="shared" si="57"/>
        <v>0</v>
      </c>
      <c r="CX104">
        <f t="shared" si="58"/>
        <v>0</v>
      </c>
      <c r="CY104">
        <f>(((S104+R104)*AT104)/100)</f>
        <v>0</v>
      </c>
      <c r="CZ104">
        <f>(((S104+R104)*AU104)/100)</f>
        <v>0</v>
      </c>
      <c r="DC104" t="s">
        <v>3</v>
      </c>
      <c r="DD104" t="s">
        <v>3</v>
      </c>
      <c r="DE104" t="s">
        <v>3</v>
      </c>
      <c r="DF104" t="s">
        <v>3</v>
      </c>
      <c r="DG104" t="s">
        <v>3</v>
      </c>
      <c r="DH104" t="s">
        <v>3</v>
      </c>
      <c r="DI104" t="s">
        <v>3</v>
      </c>
      <c r="DJ104" t="s">
        <v>3</v>
      </c>
      <c r="DK104" t="s">
        <v>3</v>
      </c>
      <c r="DL104" t="s">
        <v>3</v>
      </c>
      <c r="DM104" t="s">
        <v>3</v>
      </c>
      <c r="DN104">
        <v>0</v>
      </c>
      <c r="DO104">
        <v>0</v>
      </c>
      <c r="DP104">
        <v>1</v>
      </c>
      <c r="DQ104">
        <v>1</v>
      </c>
      <c r="DU104">
        <v>1009</v>
      </c>
      <c r="DV104" t="s">
        <v>117</v>
      </c>
      <c r="DW104" t="s">
        <v>117</v>
      </c>
      <c r="DX104">
        <v>1000</v>
      </c>
      <c r="DZ104" t="s">
        <v>3</v>
      </c>
      <c r="EA104" t="s">
        <v>3</v>
      </c>
      <c r="EB104" t="s">
        <v>3</v>
      </c>
      <c r="EC104" t="s">
        <v>3</v>
      </c>
      <c r="EE104">
        <v>79401925</v>
      </c>
      <c r="EF104">
        <v>2</v>
      </c>
      <c r="EG104" t="s">
        <v>19</v>
      </c>
      <c r="EH104">
        <v>27</v>
      </c>
      <c r="EI104" t="s">
        <v>20</v>
      </c>
      <c r="EJ104">
        <v>1</v>
      </c>
      <c r="EK104">
        <v>33001</v>
      </c>
      <c r="EL104" t="s">
        <v>20</v>
      </c>
      <c r="EM104" t="s">
        <v>21</v>
      </c>
      <c r="EO104" t="s">
        <v>3</v>
      </c>
      <c r="EQ104">
        <v>0</v>
      </c>
      <c r="ER104">
        <v>6594</v>
      </c>
      <c r="ES104">
        <v>6594</v>
      </c>
      <c r="ET104">
        <v>0</v>
      </c>
      <c r="EU104">
        <v>0</v>
      </c>
      <c r="EV104">
        <v>0</v>
      </c>
      <c r="EW104">
        <v>0</v>
      </c>
      <c r="EX104">
        <v>0</v>
      </c>
      <c r="FQ104">
        <v>0</v>
      </c>
      <c r="FR104">
        <f t="shared" si="61"/>
        <v>0</v>
      </c>
      <c r="FS104">
        <v>0</v>
      </c>
      <c r="FX104">
        <v>103</v>
      </c>
      <c r="FY104">
        <v>60</v>
      </c>
      <c r="GA104" t="s">
        <v>3</v>
      </c>
      <c r="GD104">
        <v>1</v>
      </c>
      <c r="GF104">
        <v>1308337192</v>
      </c>
      <c r="GG104">
        <v>2</v>
      </c>
      <c r="GH104">
        <v>1</v>
      </c>
      <c r="GI104">
        <v>2</v>
      </c>
      <c r="GJ104">
        <v>0</v>
      </c>
      <c r="GK104">
        <v>0</v>
      </c>
      <c r="GL104">
        <f t="shared" si="62"/>
        <v>0</v>
      </c>
      <c r="GM104">
        <f t="shared" si="63"/>
        <v>-694.35</v>
      </c>
      <c r="GN104">
        <f t="shared" si="64"/>
        <v>-694.35</v>
      </c>
      <c r="GO104">
        <f t="shared" si="65"/>
        <v>0</v>
      </c>
      <c r="GP104">
        <f t="shared" si="66"/>
        <v>0</v>
      </c>
      <c r="GR104">
        <v>0</v>
      </c>
      <c r="GS104">
        <v>3</v>
      </c>
      <c r="GT104">
        <v>0</v>
      </c>
      <c r="GU104" t="s">
        <v>3</v>
      </c>
      <c r="GV104">
        <f t="shared" si="67"/>
        <v>0</v>
      </c>
      <c r="GW104">
        <v>1</v>
      </c>
      <c r="GX104">
        <f t="shared" si="68"/>
        <v>0</v>
      </c>
      <c r="HA104">
        <v>0</v>
      </c>
      <c r="HB104">
        <v>0</v>
      </c>
      <c r="HC104">
        <f t="shared" si="69"/>
        <v>0</v>
      </c>
      <c r="HE104" t="s">
        <v>3</v>
      </c>
      <c r="HF104" t="s">
        <v>3</v>
      </c>
      <c r="HM104" t="s">
        <v>3</v>
      </c>
      <c r="HN104" t="s">
        <v>22</v>
      </c>
      <c r="HO104" t="s">
        <v>23</v>
      </c>
      <c r="HP104" t="s">
        <v>20</v>
      </c>
      <c r="HQ104" t="s">
        <v>20</v>
      </c>
      <c r="IK104">
        <v>0</v>
      </c>
    </row>
    <row r="105" spans="1:245" x14ac:dyDescent="0.2">
      <c r="A105">
        <v>17</v>
      </c>
      <c r="B105">
        <v>1</v>
      </c>
      <c r="E105" t="s">
        <v>226</v>
      </c>
      <c r="F105" t="s">
        <v>227</v>
      </c>
      <c r="G105" t="s">
        <v>228</v>
      </c>
      <c r="H105" t="s">
        <v>117</v>
      </c>
      <c r="I105">
        <f>ROUND(0.011115*2,9)</f>
        <v>2.223E-2</v>
      </c>
      <c r="J105">
        <v>0</v>
      </c>
      <c r="K105">
        <f>ROUND(0.011115*2,9)</f>
        <v>2.223E-2</v>
      </c>
      <c r="O105">
        <f t="shared" si="30"/>
        <v>1845.79</v>
      </c>
      <c r="P105">
        <f t="shared" si="31"/>
        <v>1845.79</v>
      </c>
      <c r="Q105">
        <f t="shared" si="32"/>
        <v>0</v>
      </c>
      <c r="R105">
        <f t="shared" si="33"/>
        <v>0</v>
      </c>
      <c r="S105">
        <f t="shared" si="34"/>
        <v>0</v>
      </c>
      <c r="T105">
        <f t="shared" si="35"/>
        <v>0</v>
      </c>
      <c r="U105">
        <f t="shared" si="36"/>
        <v>0</v>
      </c>
      <c r="V105">
        <f t="shared" si="37"/>
        <v>0</v>
      </c>
      <c r="W105">
        <f t="shared" si="38"/>
        <v>0</v>
      </c>
      <c r="X105">
        <f t="shared" si="39"/>
        <v>0</v>
      </c>
      <c r="Y105">
        <f t="shared" si="40"/>
        <v>0</v>
      </c>
      <c r="AA105">
        <v>84186534</v>
      </c>
      <c r="AB105">
        <f t="shared" si="41"/>
        <v>6074</v>
      </c>
      <c r="AC105">
        <f t="shared" si="42"/>
        <v>6074</v>
      </c>
      <c r="AD105">
        <f t="shared" si="43"/>
        <v>0</v>
      </c>
      <c r="AE105">
        <f t="shared" si="44"/>
        <v>0</v>
      </c>
      <c r="AF105">
        <f t="shared" si="45"/>
        <v>0</v>
      </c>
      <c r="AG105">
        <f t="shared" si="46"/>
        <v>0</v>
      </c>
      <c r="AH105">
        <f t="shared" si="47"/>
        <v>0</v>
      </c>
      <c r="AI105">
        <f t="shared" si="48"/>
        <v>0</v>
      </c>
      <c r="AJ105">
        <f t="shared" si="49"/>
        <v>0</v>
      </c>
      <c r="AK105">
        <v>6074</v>
      </c>
      <c r="AL105">
        <v>6074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1</v>
      </c>
      <c r="AW105">
        <v>1</v>
      </c>
      <c r="AZ105">
        <v>1</v>
      </c>
      <c r="BA105">
        <v>1</v>
      </c>
      <c r="BB105">
        <v>1</v>
      </c>
      <c r="BC105">
        <v>13.67</v>
      </c>
      <c r="BD105" t="s">
        <v>3</v>
      </c>
      <c r="BE105" t="s">
        <v>3</v>
      </c>
      <c r="BF105" t="s">
        <v>3</v>
      </c>
      <c r="BG105" t="s">
        <v>3</v>
      </c>
      <c r="BH105">
        <v>3</v>
      </c>
      <c r="BI105">
        <v>1</v>
      </c>
      <c r="BJ105" t="s">
        <v>229</v>
      </c>
      <c r="BM105">
        <v>500001</v>
      </c>
      <c r="BN105">
        <v>0</v>
      </c>
      <c r="BO105" t="s">
        <v>227</v>
      </c>
      <c r="BP105">
        <v>1</v>
      </c>
      <c r="BQ105">
        <v>8</v>
      </c>
      <c r="BR105">
        <v>0</v>
      </c>
      <c r="BS105">
        <v>1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3</v>
      </c>
      <c r="BZ105">
        <v>0</v>
      </c>
      <c r="CA105">
        <v>0</v>
      </c>
      <c r="CB105" t="s">
        <v>3</v>
      </c>
      <c r="CE105">
        <v>0</v>
      </c>
      <c r="CF105">
        <v>0</v>
      </c>
      <c r="CG105">
        <v>0</v>
      </c>
      <c r="CM105">
        <v>0</v>
      </c>
      <c r="CN105" t="s">
        <v>3</v>
      </c>
      <c r="CO105">
        <v>0</v>
      </c>
      <c r="CP105">
        <f t="shared" si="50"/>
        <v>1845.79</v>
      </c>
      <c r="CQ105">
        <f t="shared" si="51"/>
        <v>83031.58</v>
      </c>
      <c r="CR105">
        <f t="shared" si="52"/>
        <v>0</v>
      </c>
      <c r="CS105">
        <f t="shared" si="53"/>
        <v>0</v>
      </c>
      <c r="CT105">
        <f t="shared" si="54"/>
        <v>0</v>
      </c>
      <c r="CU105">
        <f t="shared" si="55"/>
        <v>0</v>
      </c>
      <c r="CV105">
        <f t="shared" si="56"/>
        <v>0</v>
      </c>
      <c r="CW105">
        <f t="shared" si="57"/>
        <v>0</v>
      </c>
      <c r="CX105">
        <f t="shared" si="58"/>
        <v>0</v>
      </c>
      <c r="CY105">
        <f>0</f>
        <v>0</v>
      </c>
      <c r="CZ105">
        <f>0</f>
        <v>0</v>
      </c>
      <c r="DC105" t="s">
        <v>3</v>
      </c>
      <c r="DD105" t="s">
        <v>3</v>
      </c>
      <c r="DE105" t="s">
        <v>3</v>
      </c>
      <c r="DF105" t="s">
        <v>3</v>
      </c>
      <c r="DG105" t="s">
        <v>3</v>
      </c>
      <c r="DH105" t="s">
        <v>3</v>
      </c>
      <c r="DI105" t="s">
        <v>3</v>
      </c>
      <c r="DJ105" t="s">
        <v>3</v>
      </c>
      <c r="DK105" t="s">
        <v>3</v>
      </c>
      <c r="DL105" t="s">
        <v>3</v>
      </c>
      <c r="DM105" t="s">
        <v>3</v>
      </c>
      <c r="DN105">
        <v>0</v>
      </c>
      <c r="DO105">
        <v>0</v>
      </c>
      <c r="DP105">
        <v>1</v>
      </c>
      <c r="DQ105">
        <v>1</v>
      </c>
      <c r="DU105">
        <v>1009</v>
      </c>
      <c r="DV105" t="s">
        <v>117</v>
      </c>
      <c r="DW105" t="s">
        <v>117</v>
      </c>
      <c r="DX105">
        <v>1000</v>
      </c>
      <c r="DZ105" t="s">
        <v>3</v>
      </c>
      <c r="EA105" t="s">
        <v>3</v>
      </c>
      <c r="EB105" t="s">
        <v>3</v>
      </c>
      <c r="EC105" t="s">
        <v>3</v>
      </c>
      <c r="EE105">
        <v>79401762</v>
      </c>
      <c r="EF105">
        <v>8</v>
      </c>
      <c r="EG105" t="s">
        <v>157</v>
      </c>
      <c r="EH105">
        <v>0</v>
      </c>
      <c r="EI105" t="s">
        <v>3</v>
      </c>
      <c r="EJ105">
        <v>1</v>
      </c>
      <c r="EK105">
        <v>500001</v>
      </c>
      <c r="EL105" t="s">
        <v>158</v>
      </c>
      <c r="EM105" t="s">
        <v>159</v>
      </c>
      <c r="EO105" t="s">
        <v>3</v>
      </c>
      <c r="EQ105">
        <v>0</v>
      </c>
      <c r="ER105">
        <v>6074</v>
      </c>
      <c r="ES105">
        <v>6074</v>
      </c>
      <c r="ET105">
        <v>0</v>
      </c>
      <c r="EU105">
        <v>0</v>
      </c>
      <c r="EV105">
        <v>0</v>
      </c>
      <c r="EW105">
        <v>0</v>
      </c>
      <c r="EX105">
        <v>0</v>
      </c>
      <c r="EY105">
        <v>0</v>
      </c>
      <c r="FQ105">
        <v>0</v>
      </c>
      <c r="FR105">
        <f t="shared" si="61"/>
        <v>0</v>
      </c>
      <c r="FS105">
        <v>0</v>
      </c>
      <c r="FX105">
        <v>0</v>
      </c>
      <c r="FY105">
        <v>0</v>
      </c>
      <c r="GA105" t="s">
        <v>3</v>
      </c>
      <c r="GD105">
        <v>1</v>
      </c>
      <c r="GF105">
        <v>-362657570</v>
      </c>
      <c r="GG105">
        <v>2</v>
      </c>
      <c r="GH105">
        <v>1</v>
      </c>
      <c r="GI105">
        <v>2</v>
      </c>
      <c r="GJ105">
        <v>0</v>
      </c>
      <c r="GK105">
        <v>0</v>
      </c>
      <c r="GL105">
        <f t="shared" si="62"/>
        <v>0</v>
      </c>
      <c r="GM105">
        <f t="shared" si="63"/>
        <v>1845.79</v>
      </c>
      <c r="GN105">
        <f t="shared" si="64"/>
        <v>1845.79</v>
      </c>
      <c r="GO105">
        <f t="shared" si="65"/>
        <v>0</v>
      </c>
      <c r="GP105">
        <f t="shared" si="66"/>
        <v>0</v>
      </c>
      <c r="GR105">
        <v>0</v>
      </c>
      <c r="GS105">
        <v>3</v>
      </c>
      <c r="GT105">
        <v>0</v>
      </c>
      <c r="GU105" t="s">
        <v>3</v>
      </c>
      <c r="GV105">
        <f t="shared" si="67"/>
        <v>0</v>
      </c>
      <c r="GW105">
        <v>1</v>
      </c>
      <c r="GX105">
        <f t="shared" si="68"/>
        <v>0</v>
      </c>
      <c r="HA105">
        <v>0</v>
      </c>
      <c r="HB105">
        <v>0</v>
      </c>
      <c r="HC105">
        <f t="shared" si="69"/>
        <v>0</v>
      </c>
      <c r="HE105" t="s">
        <v>3</v>
      </c>
      <c r="HF105" t="s">
        <v>3</v>
      </c>
      <c r="HM105" t="s">
        <v>3</v>
      </c>
      <c r="HN105" t="s">
        <v>3</v>
      </c>
      <c r="HO105" t="s">
        <v>3</v>
      </c>
      <c r="HP105" t="s">
        <v>3</v>
      </c>
      <c r="HQ105" t="s">
        <v>3</v>
      </c>
      <c r="IK105">
        <v>0</v>
      </c>
    </row>
    <row r="106" spans="1:245" x14ac:dyDescent="0.2">
      <c r="A106">
        <v>17</v>
      </c>
      <c r="B106">
        <v>1</v>
      </c>
      <c r="C106">
        <f>ROW(SmtRes!A67)</f>
        <v>67</v>
      </c>
      <c r="D106">
        <f>ROW(EtalonRes!A67)</f>
        <v>67</v>
      </c>
      <c r="E106" t="s">
        <v>230</v>
      </c>
      <c r="F106" t="s">
        <v>231</v>
      </c>
      <c r="G106" t="s">
        <v>232</v>
      </c>
      <c r="H106" t="s">
        <v>233</v>
      </c>
      <c r="I106">
        <v>1</v>
      </c>
      <c r="J106">
        <v>0</v>
      </c>
      <c r="K106">
        <v>1</v>
      </c>
      <c r="O106">
        <f t="shared" si="30"/>
        <v>20011.27</v>
      </c>
      <c r="P106">
        <f t="shared" si="31"/>
        <v>0</v>
      </c>
      <c r="Q106">
        <f t="shared" si="32"/>
        <v>10946.17</v>
      </c>
      <c r="R106">
        <f t="shared" si="33"/>
        <v>2974.32</v>
      </c>
      <c r="S106">
        <f t="shared" si="34"/>
        <v>9065.1</v>
      </c>
      <c r="T106">
        <f t="shared" si="35"/>
        <v>0</v>
      </c>
      <c r="U106">
        <f t="shared" si="36"/>
        <v>28.59</v>
      </c>
      <c r="V106">
        <f t="shared" si="37"/>
        <v>8.4499999999999993</v>
      </c>
      <c r="W106">
        <f t="shared" si="38"/>
        <v>0</v>
      </c>
      <c r="X106">
        <f t="shared" si="39"/>
        <v>12400.6</v>
      </c>
      <c r="Y106">
        <f t="shared" si="40"/>
        <v>7223.65</v>
      </c>
      <c r="AA106">
        <v>84186534</v>
      </c>
      <c r="AB106">
        <f t="shared" si="41"/>
        <v>1214.69</v>
      </c>
      <c r="AC106">
        <f t="shared" si="42"/>
        <v>0</v>
      </c>
      <c r="AD106">
        <f t="shared" si="43"/>
        <v>957.67</v>
      </c>
      <c r="AE106">
        <f t="shared" si="44"/>
        <v>84.33</v>
      </c>
      <c r="AF106">
        <f t="shared" si="45"/>
        <v>257.02</v>
      </c>
      <c r="AG106">
        <f t="shared" si="46"/>
        <v>0</v>
      </c>
      <c r="AH106">
        <f t="shared" si="47"/>
        <v>28.59</v>
      </c>
      <c r="AI106">
        <f t="shared" si="48"/>
        <v>8.4499999999999993</v>
      </c>
      <c r="AJ106">
        <f t="shared" si="49"/>
        <v>0</v>
      </c>
      <c r="AK106">
        <v>1214.69</v>
      </c>
      <c r="AL106">
        <v>0</v>
      </c>
      <c r="AM106">
        <v>957.67</v>
      </c>
      <c r="AN106">
        <v>84.33</v>
      </c>
      <c r="AO106">
        <v>257.02</v>
      </c>
      <c r="AP106">
        <v>0</v>
      </c>
      <c r="AQ106">
        <v>28.59</v>
      </c>
      <c r="AR106">
        <v>8.4499999999999993</v>
      </c>
      <c r="AS106">
        <v>0</v>
      </c>
      <c r="AT106">
        <v>103</v>
      </c>
      <c r="AU106">
        <v>60</v>
      </c>
      <c r="AV106">
        <v>1</v>
      </c>
      <c r="AW106">
        <v>1</v>
      </c>
      <c r="AZ106">
        <v>1</v>
      </c>
      <c r="BA106">
        <v>35.270000000000003</v>
      </c>
      <c r="BB106">
        <v>11.43</v>
      </c>
      <c r="BC106">
        <v>1</v>
      </c>
      <c r="BD106" t="s">
        <v>3</v>
      </c>
      <c r="BE106" t="s">
        <v>3</v>
      </c>
      <c r="BF106" t="s">
        <v>3</v>
      </c>
      <c r="BG106" t="s">
        <v>3</v>
      </c>
      <c r="BH106">
        <v>0</v>
      </c>
      <c r="BI106">
        <v>1</v>
      </c>
      <c r="BJ106" t="s">
        <v>234</v>
      </c>
      <c r="BM106">
        <v>33001</v>
      </c>
      <c r="BN106">
        <v>0</v>
      </c>
      <c r="BO106" t="s">
        <v>231</v>
      </c>
      <c r="BP106">
        <v>1</v>
      </c>
      <c r="BQ106">
        <v>2</v>
      </c>
      <c r="BR106">
        <v>0</v>
      </c>
      <c r="BS106">
        <v>35.270000000000003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103</v>
      </c>
      <c r="CA106">
        <v>60</v>
      </c>
      <c r="CB106" t="s">
        <v>3</v>
      </c>
      <c r="CE106">
        <v>0</v>
      </c>
      <c r="CF106">
        <v>0</v>
      </c>
      <c r="CG106">
        <v>0</v>
      </c>
      <c r="CM106">
        <v>0</v>
      </c>
      <c r="CN106" t="s">
        <v>3</v>
      </c>
      <c r="CO106">
        <v>0</v>
      </c>
      <c r="CP106">
        <f t="shared" si="50"/>
        <v>20011.27</v>
      </c>
      <c r="CQ106">
        <f t="shared" si="51"/>
        <v>0</v>
      </c>
      <c r="CR106">
        <f t="shared" si="52"/>
        <v>10946.168099999999</v>
      </c>
      <c r="CS106">
        <f t="shared" si="53"/>
        <v>2974.3191000000002</v>
      </c>
      <c r="CT106">
        <f t="shared" si="54"/>
        <v>9065.0954000000002</v>
      </c>
      <c r="CU106">
        <f t="shared" si="55"/>
        <v>0</v>
      </c>
      <c r="CV106">
        <f t="shared" si="56"/>
        <v>28.59</v>
      </c>
      <c r="CW106">
        <f t="shared" si="57"/>
        <v>8.4499999999999993</v>
      </c>
      <c r="CX106">
        <f t="shared" si="58"/>
        <v>0</v>
      </c>
      <c r="CY106">
        <f>(((S106+R106)*AT106)/100)</f>
        <v>12400.6026</v>
      </c>
      <c r="CZ106">
        <f>(((S106+R106)*AU106)/100)</f>
        <v>7223.6519999999991</v>
      </c>
      <c r="DC106" t="s">
        <v>3</v>
      </c>
      <c r="DD106" t="s">
        <v>3</v>
      </c>
      <c r="DE106" t="s">
        <v>3</v>
      </c>
      <c r="DF106" t="s">
        <v>3</v>
      </c>
      <c r="DG106" t="s">
        <v>3</v>
      </c>
      <c r="DH106" t="s">
        <v>3</v>
      </c>
      <c r="DI106" t="s">
        <v>3</v>
      </c>
      <c r="DJ106" t="s">
        <v>3</v>
      </c>
      <c r="DK106" t="s">
        <v>3</v>
      </c>
      <c r="DL106" t="s">
        <v>3</v>
      </c>
      <c r="DM106" t="s">
        <v>3</v>
      </c>
      <c r="DN106">
        <v>0</v>
      </c>
      <c r="DO106">
        <v>0</v>
      </c>
      <c r="DP106">
        <v>1</v>
      </c>
      <c r="DQ106">
        <v>1</v>
      </c>
      <c r="DU106">
        <v>1013</v>
      </c>
      <c r="DV106" t="s">
        <v>233</v>
      </c>
      <c r="DW106" t="s">
        <v>233</v>
      </c>
      <c r="DX106">
        <v>1</v>
      </c>
      <c r="DZ106" t="s">
        <v>3</v>
      </c>
      <c r="EA106" t="s">
        <v>3</v>
      </c>
      <c r="EB106" t="s">
        <v>3</v>
      </c>
      <c r="EC106" t="s">
        <v>3</v>
      </c>
      <c r="EE106">
        <v>79401925</v>
      </c>
      <c r="EF106">
        <v>2</v>
      </c>
      <c r="EG106" t="s">
        <v>19</v>
      </c>
      <c r="EH106">
        <v>27</v>
      </c>
      <c r="EI106" t="s">
        <v>20</v>
      </c>
      <c r="EJ106">
        <v>1</v>
      </c>
      <c r="EK106">
        <v>33001</v>
      </c>
      <c r="EL106" t="s">
        <v>20</v>
      </c>
      <c r="EM106" t="s">
        <v>21</v>
      </c>
      <c r="EO106" t="s">
        <v>3</v>
      </c>
      <c r="EQ106">
        <v>0</v>
      </c>
      <c r="ER106">
        <v>1214.69</v>
      </c>
      <c r="ES106">
        <v>0</v>
      </c>
      <c r="ET106">
        <v>957.67</v>
      </c>
      <c r="EU106">
        <v>84.33</v>
      </c>
      <c r="EV106">
        <v>257.02</v>
      </c>
      <c r="EW106">
        <v>28.59</v>
      </c>
      <c r="EX106">
        <v>8.4499999999999993</v>
      </c>
      <c r="EY106">
        <v>0</v>
      </c>
      <c r="FQ106">
        <v>0</v>
      </c>
      <c r="FR106">
        <f t="shared" si="61"/>
        <v>0</v>
      </c>
      <c r="FS106">
        <v>0</v>
      </c>
      <c r="FX106">
        <v>103</v>
      </c>
      <c r="FY106">
        <v>60</v>
      </c>
      <c r="GA106" t="s">
        <v>3</v>
      </c>
      <c r="GD106">
        <v>1</v>
      </c>
      <c r="GF106">
        <v>1771872970</v>
      </c>
      <c r="GG106">
        <v>2</v>
      </c>
      <c r="GH106">
        <v>1</v>
      </c>
      <c r="GI106">
        <v>2</v>
      </c>
      <c r="GJ106">
        <v>0</v>
      </c>
      <c r="GK106">
        <v>0</v>
      </c>
      <c r="GL106">
        <f t="shared" si="62"/>
        <v>0</v>
      </c>
      <c r="GM106">
        <f t="shared" si="63"/>
        <v>39635.519999999997</v>
      </c>
      <c r="GN106">
        <f t="shared" si="64"/>
        <v>39635.519999999997</v>
      </c>
      <c r="GO106">
        <f t="shared" si="65"/>
        <v>0</v>
      </c>
      <c r="GP106">
        <f t="shared" si="66"/>
        <v>0</v>
      </c>
      <c r="GR106">
        <v>0</v>
      </c>
      <c r="GS106">
        <v>3</v>
      </c>
      <c r="GT106">
        <v>0</v>
      </c>
      <c r="GU106" t="s">
        <v>3</v>
      </c>
      <c r="GV106">
        <f t="shared" si="67"/>
        <v>0</v>
      </c>
      <c r="GW106">
        <v>1</v>
      </c>
      <c r="GX106">
        <f t="shared" si="68"/>
        <v>0</v>
      </c>
      <c r="HA106">
        <v>0</v>
      </c>
      <c r="HB106">
        <v>0</v>
      </c>
      <c r="HC106">
        <f t="shared" si="69"/>
        <v>0</v>
      </c>
      <c r="HE106" t="s">
        <v>3</v>
      </c>
      <c r="HF106" t="s">
        <v>3</v>
      </c>
      <c r="HM106" t="s">
        <v>3</v>
      </c>
      <c r="HN106" t="s">
        <v>22</v>
      </c>
      <c r="HO106" t="s">
        <v>23</v>
      </c>
      <c r="HP106" t="s">
        <v>20</v>
      </c>
      <c r="HQ106" t="s">
        <v>20</v>
      </c>
      <c r="IK106">
        <v>0</v>
      </c>
    </row>
    <row r="107" spans="1:245" x14ac:dyDescent="0.2">
      <c r="A107">
        <v>18</v>
      </c>
      <c r="B107">
        <v>1</v>
      </c>
      <c r="C107">
        <v>67</v>
      </c>
      <c r="E107" t="s">
        <v>235</v>
      </c>
      <c r="F107" t="s">
        <v>137</v>
      </c>
      <c r="G107" t="s">
        <v>138</v>
      </c>
      <c r="H107" t="s">
        <v>139</v>
      </c>
      <c r="I107">
        <f>I106*J107</f>
        <v>0</v>
      </c>
      <c r="J107">
        <v>0</v>
      </c>
      <c r="K107">
        <v>0</v>
      </c>
      <c r="O107">
        <f t="shared" si="30"/>
        <v>0</v>
      </c>
      <c r="P107">
        <f t="shared" si="31"/>
        <v>0</v>
      </c>
      <c r="Q107">
        <f t="shared" si="32"/>
        <v>0</v>
      </c>
      <c r="R107">
        <f t="shared" si="33"/>
        <v>0</v>
      </c>
      <c r="S107">
        <f t="shared" si="34"/>
        <v>0</v>
      </c>
      <c r="T107">
        <f t="shared" si="35"/>
        <v>0</v>
      </c>
      <c r="U107">
        <f t="shared" si="36"/>
        <v>0</v>
      </c>
      <c r="V107">
        <f t="shared" si="37"/>
        <v>0</v>
      </c>
      <c r="W107">
        <f t="shared" si="38"/>
        <v>0</v>
      </c>
      <c r="X107">
        <f t="shared" si="39"/>
        <v>0</v>
      </c>
      <c r="Y107">
        <f t="shared" si="40"/>
        <v>0</v>
      </c>
      <c r="AA107">
        <v>84186534</v>
      </c>
      <c r="AB107">
        <f t="shared" si="41"/>
        <v>0</v>
      </c>
      <c r="AC107">
        <f t="shared" si="42"/>
        <v>0</v>
      </c>
      <c r="AD107">
        <f t="shared" si="43"/>
        <v>0</v>
      </c>
      <c r="AE107">
        <f t="shared" si="44"/>
        <v>0</v>
      </c>
      <c r="AF107">
        <f t="shared" si="45"/>
        <v>0</v>
      </c>
      <c r="AG107">
        <f t="shared" si="46"/>
        <v>0</v>
      </c>
      <c r="AH107">
        <f t="shared" si="47"/>
        <v>0</v>
      </c>
      <c r="AI107">
        <f t="shared" si="48"/>
        <v>0</v>
      </c>
      <c r="AJ107">
        <f t="shared" si="49"/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103</v>
      </c>
      <c r="AU107">
        <v>60</v>
      </c>
      <c r="AV107">
        <v>1</v>
      </c>
      <c r="AW107">
        <v>1</v>
      </c>
      <c r="AZ107">
        <v>1</v>
      </c>
      <c r="BA107">
        <v>1</v>
      </c>
      <c r="BB107">
        <v>1</v>
      </c>
      <c r="BC107">
        <v>1</v>
      </c>
      <c r="BD107" t="s">
        <v>3</v>
      </c>
      <c r="BE107" t="s">
        <v>3</v>
      </c>
      <c r="BF107" t="s">
        <v>3</v>
      </c>
      <c r="BG107" t="s">
        <v>3</v>
      </c>
      <c r="BH107">
        <v>3</v>
      </c>
      <c r="BI107">
        <v>1</v>
      </c>
      <c r="BJ107" t="s">
        <v>140</v>
      </c>
      <c r="BM107">
        <v>33001</v>
      </c>
      <c r="BN107">
        <v>0</v>
      </c>
      <c r="BO107" t="s">
        <v>3</v>
      </c>
      <c r="BP107">
        <v>0</v>
      </c>
      <c r="BQ107">
        <v>2</v>
      </c>
      <c r="BR107">
        <v>0</v>
      </c>
      <c r="BS107">
        <v>1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103</v>
      </c>
      <c r="CA107">
        <v>60</v>
      </c>
      <c r="CB107" t="s">
        <v>3</v>
      </c>
      <c r="CE107">
        <v>0</v>
      </c>
      <c r="CF107">
        <v>0</v>
      </c>
      <c r="CG107">
        <v>0</v>
      </c>
      <c r="CM107">
        <v>0</v>
      </c>
      <c r="CN107" t="s">
        <v>3</v>
      </c>
      <c r="CO107">
        <v>0</v>
      </c>
      <c r="CP107">
        <f t="shared" si="50"/>
        <v>0</v>
      </c>
      <c r="CQ107">
        <f t="shared" si="51"/>
        <v>0</v>
      </c>
      <c r="CR107">
        <f t="shared" si="52"/>
        <v>0</v>
      </c>
      <c r="CS107">
        <f t="shared" si="53"/>
        <v>0</v>
      </c>
      <c r="CT107">
        <f t="shared" si="54"/>
        <v>0</v>
      </c>
      <c r="CU107">
        <f t="shared" si="55"/>
        <v>0</v>
      </c>
      <c r="CV107">
        <f t="shared" si="56"/>
        <v>0</v>
      </c>
      <c r="CW107">
        <f t="shared" si="57"/>
        <v>0</v>
      </c>
      <c r="CX107">
        <f t="shared" si="58"/>
        <v>0</v>
      </c>
      <c r="CY107">
        <f>(((S107+R107)*AT107)/100)</f>
        <v>0</v>
      </c>
      <c r="CZ107">
        <f>(((S107+R107)*AU107)/100)</f>
        <v>0</v>
      </c>
      <c r="DC107" t="s">
        <v>3</v>
      </c>
      <c r="DD107" t="s">
        <v>3</v>
      </c>
      <c r="DE107" t="s">
        <v>3</v>
      </c>
      <c r="DF107" t="s">
        <v>3</v>
      </c>
      <c r="DG107" t="s">
        <v>3</v>
      </c>
      <c r="DH107" t="s">
        <v>3</v>
      </c>
      <c r="DI107" t="s">
        <v>3</v>
      </c>
      <c r="DJ107" t="s">
        <v>3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1009</v>
      </c>
      <c r="DV107" t="s">
        <v>139</v>
      </c>
      <c r="DW107" t="s">
        <v>139</v>
      </c>
      <c r="DX107">
        <v>1</v>
      </c>
      <c r="DZ107" t="s">
        <v>3</v>
      </c>
      <c r="EA107" t="s">
        <v>3</v>
      </c>
      <c r="EB107" t="s">
        <v>3</v>
      </c>
      <c r="EC107" t="s">
        <v>3</v>
      </c>
      <c r="EE107">
        <v>79401925</v>
      </c>
      <c r="EF107">
        <v>2</v>
      </c>
      <c r="EG107" t="s">
        <v>19</v>
      </c>
      <c r="EH107">
        <v>27</v>
      </c>
      <c r="EI107" t="s">
        <v>20</v>
      </c>
      <c r="EJ107">
        <v>1</v>
      </c>
      <c r="EK107">
        <v>33001</v>
      </c>
      <c r="EL107" t="s">
        <v>20</v>
      </c>
      <c r="EM107" t="s">
        <v>21</v>
      </c>
      <c r="EO107" t="s">
        <v>3</v>
      </c>
      <c r="EQ107">
        <v>0</v>
      </c>
      <c r="ER107">
        <v>0</v>
      </c>
      <c r="ES107">
        <v>0</v>
      </c>
      <c r="ET107">
        <v>0</v>
      </c>
      <c r="EU107">
        <v>0</v>
      </c>
      <c r="EV107">
        <v>0</v>
      </c>
      <c r="EW107">
        <v>0</v>
      </c>
      <c r="EX107">
        <v>0</v>
      </c>
      <c r="FQ107">
        <v>0</v>
      </c>
      <c r="FR107">
        <f t="shared" si="61"/>
        <v>0</v>
      </c>
      <c r="FS107">
        <v>0</v>
      </c>
      <c r="FX107">
        <v>103</v>
      </c>
      <c r="FY107">
        <v>60</v>
      </c>
      <c r="GA107" t="s">
        <v>3</v>
      </c>
      <c r="GD107">
        <v>1</v>
      </c>
      <c r="GF107">
        <v>-1695541033</v>
      </c>
      <c r="GG107">
        <v>2</v>
      </c>
      <c r="GH107">
        <v>1</v>
      </c>
      <c r="GI107">
        <v>-2</v>
      </c>
      <c r="GJ107">
        <v>0</v>
      </c>
      <c r="GK107">
        <v>0</v>
      </c>
      <c r="GL107">
        <f t="shared" si="62"/>
        <v>0</v>
      </c>
      <c r="GM107">
        <f t="shared" si="63"/>
        <v>0</v>
      </c>
      <c r="GN107">
        <f t="shared" si="64"/>
        <v>0</v>
      </c>
      <c r="GO107">
        <f t="shared" si="65"/>
        <v>0</v>
      </c>
      <c r="GP107">
        <f t="shared" si="66"/>
        <v>0</v>
      </c>
      <c r="GR107">
        <v>0</v>
      </c>
      <c r="GS107">
        <v>3</v>
      </c>
      <c r="GT107">
        <v>0</v>
      </c>
      <c r="GU107" t="s">
        <v>3</v>
      </c>
      <c r="GV107">
        <f t="shared" si="67"/>
        <v>0</v>
      </c>
      <c r="GW107">
        <v>1</v>
      </c>
      <c r="GX107">
        <f t="shared" si="68"/>
        <v>0</v>
      </c>
      <c r="HA107">
        <v>0</v>
      </c>
      <c r="HB107">
        <v>0</v>
      </c>
      <c r="HC107">
        <f t="shared" si="69"/>
        <v>0</v>
      </c>
      <c r="HE107" t="s">
        <v>3</v>
      </c>
      <c r="HF107" t="s">
        <v>3</v>
      </c>
      <c r="HM107" t="s">
        <v>3</v>
      </c>
      <c r="HN107" t="s">
        <v>22</v>
      </c>
      <c r="HO107" t="s">
        <v>23</v>
      </c>
      <c r="HP107" t="s">
        <v>20</v>
      </c>
      <c r="HQ107" t="s">
        <v>20</v>
      </c>
      <c r="IK107">
        <v>0</v>
      </c>
    </row>
    <row r="108" spans="1:245" x14ac:dyDescent="0.2">
      <c r="A108">
        <v>17</v>
      </c>
      <c r="B108">
        <v>1</v>
      </c>
      <c r="E108" t="s">
        <v>236</v>
      </c>
      <c r="F108" t="s">
        <v>237</v>
      </c>
      <c r="G108" t="s">
        <v>238</v>
      </c>
      <c r="H108" t="s">
        <v>239</v>
      </c>
      <c r="I108">
        <v>1</v>
      </c>
      <c r="J108">
        <v>0</v>
      </c>
      <c r="K108">
        <v>1</v>
      </c>
      <c r="O108">
        <f t="shared" si="30"/>
        <v>0</v>
      </c>
      <c r="P108">
        <f t="shared" si="31"/>
        <v>0</v>
      </c>
      <c r="Q108">
        <f t="shared" si="32"/>
        <v>0</v>
      </c>
      <c r="R108">
        <f t="shared" si="33"/>
        <v>0</v>
      </c>
      <c r="S108">
        <f t="shared" si="34"/>
        <v>0</v>
      </c>
      <c r="T108">
        <f t="shared" si="35"/>
        <v>0</v>
      </c>
      <c r="U108">
        <f t="shared" si="36"/>
        <v>0</v>
      </c>
      <c r="V108">
        <f t="shared" si="37"/>
        <v>0</v>
      </c>
      <c r="W108">
        <f t="shared" si="38"/>
        <v>0</v>
      </c>
      <c r="X108">
        <f t="shared" si="39"/>
        <v>0</v>
      </c>
      <c r="Y108">
        <f t="shared" si="40"/>
        <v>0</v>
      </c>
      <c r="AA108">
        <v>84186534</v>
      </c>
      <c r="AB108">
        <f t="shared" si="41"/>
        <v>0</v>
      </c>
      <c r="AC108">
        <f t="shared" si="42"/>
        <v>0</v>
      </c>
      <c r="AD108">
        <f t="shared" si="43"/>
        <v>0</v>
      </c>
      <c r="AE108">
        <f t="shared" si="44"/>
        <v>0</v>
      </c>
      <c r="AF108">
        <f t="shared" si="45"/>
        <v>0</v>
      </c>
      <c r="AG108">
        <f t="shared" si="46"/>
        <v>0</v>
      </c>
      <c r="AH108">
        <f t="shared" si="47"/>
        <v>0</v>
      </c>
      <c r="AI108">
        <f t="shared" si="48"/>
        <v>0</v>
      </c>
      <c r="AJ108">
        <f t="shared" si="49"/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1</v>
      </c>
      <c r="AW108">
        <v>1</v>
      </c>
      <c r="AZ108">
        <v>1</v>
      </c>
      <c r="BA108">
        <v>1</v>
      </c>
      <c r="BB108">
        <v>1</v>
      </c>
      <c r="BC108">
        <v>1</v>
      </c>
      <c r="BD108" t="s">
        <v>3</v>
      </c>
      <c r="BE108" t="s">
        <v>3</v>
      </c>
      <c r="BF108" t="s">
        <v>3</v>
      </c>
      <c r="BG108" t="s">
        <v>3</v>
      </c>
      <c r="BH108">
        <v>3</v>
      </c>
      <c r="BI108">
        <v>3</v>
      </c>
      <c r="BJ108" t="s">
        <v>3</v>
      </c>
      <c r="BM108">
        <v>100</v>
      </c>
      <c r="BN108">
        <v>0</v>
      </c>
      <c r="BO108" t="s">
        <v>3</v>
      </c>
      <c r="BP108">
        <v>0</v>
      </c>
      <c r="BQ108">
        <v>5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0</v>
      </c>
      <c r="CA108">
        <v>0</v>
      </c>
      <c r="CB108" t="s">
        <v>3</v>
      </c>
      <c r="CE108">
        <v>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 t="shared" si="50"/>
        <v>0</v>
      </c>
      <c r="CQ108">
        <f t="shared" si="51"/>
        <v>0</v>
      </c>
      <c r="CR108">
        <f t="shared" si="52"/>
        <v>0</v>
      </c>
      <c r="CS108">
        <f t="shared" si="53"/>
        <v>0</v>
      </c>
      <c r="CT108">
        <f t="shared" si="54"/>
        <v>0</v>
      </c>
      <c r="CU108">
        <f t="shared" si="55"/>
        <v>0</v>
      </c>
      <c r="CV108">
        <f t="shared" si="56"/>
        <v>0</v>
      </c>
      <c r="CW108">
        <f t="shared" si="57"/>
        <v>0</v>
      </c>
      <c r="CX108">
        <f t="shared" si="58"/>
        <v>0</v>
      </c>
      <c r="CY108">
        <f>0</f>
        <v>0</v>
      </c>
      <c r="CZ108">
        <f>0</f>
        <v>0</v>
      </c>
      <c r="DC108" t="s">
        <v>3</v>
      </c>
      <c r="DD108" t="s">
        <v>3</v>
      </c>
      <c r="DE108" t="s">
        <v>3</v>
      </c>
      <c r="DF108" t="s">
        <v>3</v>
      </c>
      <c r="DG108" t="s">
        <v>3</v>
      </c>
      <c r="DH108" t="s">
        <v>3</v>
      </c>
      <c r="DI108" t="s">
        <v>3</v>
      </c>
      <c r="DJ108" t="s">
        <v>3</v>
      </c>
      <c r="DK108" t="s">
        <v>3</v>
      </c>
      <c r="DL108" t="s">
        <v>3</v>
      </c>
      <c r="DM108" t="s">
        <v>3</v>
      </c>
      <c r="DN108">
        <v>0</v>
      </c>
      <c r="DO108">
        <v>0</v>
      </c>
      <c r="DP108">
        <v>1</v>
      </c>
      <c r="DQ108">
        <v>1</v>
      </c>
      <c r="DU108">
        <v>1013</v>
      </c>
      <c r="DV108" t="s">
        <v>239</v>
      </c>
      <c r="DW108" t="s">
        <v>239</v>
      </c>
      <c r="DX108">
        <v>1</v>
      </c>
      <c r="DZ108" t="s">
        <v>3</v>
      </c>
      <c r="EA108" t="s">
        <v>3</v>
      </c>
      <c r="EB108" t="s">
        <v>3</v>
      </c>
      <c r="EC108" t="s">
        <v>3</v>
      </c>
      <c r="EE108">
        <v>79402077</v>
      </c>
      <c r="EF108">
        <v>5</v>
      </c>
      <c r="EG108" t="s">
        <v>240</v>
      </c>
      <c r="EH108">
        <v>0</v>
      </c>
      <c r="EI108" t="s">
        <v>3</v>
      </c>
      <c r="EJ108">
        <v>3</v>
      </c>
      <c r="EK108">
        <v>100</v>
      </c>
      <c r="EL108" t="s">
        <v>241</v>
      </c>
      <c r="EM108" t="s">
        <v>242</v>
      </c>
      <c r="EO108" t="s">
        <v>3</v>
      </c>
      <c r="EQ108">
        <v>0</v>
      </c>
      <c r="ER108">
        <v>0</v>
      </c>
      <c r="ES108">
        <v>0</v>
      </c>
      <c r="ET108">
        <v>0</v>
      </c>
      <c r="EU108">
        <v>0</v>
      </c>
      <c r="EV108">
        <v>0</v>
      </c>
      <c r="EW108">
        <v>0</v>
      </c>
      <c r="EX108">
        <v>0</v>
      </c>
      <c r="EY108">
        <v>0</v>
      </c>
      <c r="FQ108">
        <v>0</v>
      </c>
      <c r="FR108">
        <f t="shared" si="61"/>
        <v>0</v>
      </c>
      <c r="FS108">
        <v>1</v>
      </c>
      <c r="FX108">
        <v>0</v>
      </c>
      <c r="FY108">
        <v>0</v>
      </c>
      <c r="GA108" t="s">
        <v>3</v>
      </c>
      <c r="GD108">
        <v>1</v>
      </c>
      <c r="GF108">
        <v>564497582</v>
      </c>
      <c r="GG108">
        <v>2</v>
      </c>
      <c r="GH108">
        <v>0</v>
      </c>
      <c r="GI108">
        <v>-2</v>
      </c>
      <c r="GJ108">
        <v>0</v>
      </c>
      <c r="GK108">
        <v>0</v>
      </c>
      <c r="GL108">
        <f t="shared" si="62"/>
        <v>0</v>
      </c>
      <c r="GM108">
        <f t="shared" si="63"/>
        <v>0</v>
      </c>
      <c r="GN108">
        <f t="shared" si="64"/>
        <v>0</v>
      </c>
      <c r="GO108">
        <f t="shared" si="65"/>
        <v>0</v>
      </c>
      <c r="GP108">
        <f t="shared" si="66"/>
        <v>0</v>
      </c>
      <c r="GR108">
        <v>0</v>
      </c>
      <c r="GS108">
        <v>0</v>
      </c>
      <c r="GT108">
        <v>0</v>
      </c>
      <c r="GU108" t="s">
        <v>3</v>
      </c>
      <c r="GV108">
        <f t="shared" si="67"/>
        <v>0</v>
      </c>
      <c r="GW108">
        <v>1</v>
      </c>
      <c r="GX108">
        <f t="shared" si="68"/>
        <v>0</v>
      </c>
      <c r="HA108">
        <v>0</v>
      </c>
      <c r="HB108">
        <v>0</v>
      </c>
      <c r="HC108">
        <f t="shared" si="69"/>
        <v>0</v>
      </c>
      <c r="HE108" t="s">
        <v>3</v>
      </c>
      <c r="HF108" t="s">
        <v>3</v>
      </c>
      <c r="HM108" t="s">
        <v>3</v>
      </c>
      <c r="HN108" t="s">
        <v>3</v>
      </c>
      <c r="HO108" t="s">
        <v>3</v>
      </c>
      <c r="HP108" t="s">
        <v>3</v>
      </c>
      <c r="HQ108" t="s">
        <v>3</v>
      </c>
      <c r="IK108">
        <v>0</v>
      </c>
    </row>
    <row r="109" spans="1:245" x14ac:dyDescent="0.2">
      <c r="A109">
        <v>19</v>
      </c>
      <c r="B109">
        <v>1</v>
      </c>
      <c r="F109" t="s">
        <v>3</v>
      </c>
      <c r="G109" t="s">
        <v>243</v>
      </c>
      <c r="H109" t="s">
        <v>3</v>
      </c>
      <c r="AA109">
        <v>1</v>
      </c>
      <c r="IK109">
        <v>0</v>
      </c>
    </row>
    <row r="110" spans="1:245" x14ac:dyDescent="0.2">
      <c r="A110">
        <v>17</v>
      </c>
      <c r="B110">
        <v>1</v>
      </c>
      <c r="C110">
        <f>ROW(SmtRes!A68)</f>
        <v>68</v>
      </c>
      <c r="D110">
        <f>ROW(EtalonRes!A68)</f>
        <v>68</v>
      </c>
      <c r="E110" t="s">
        <v>244</v>
      </c>
      <c r="F110" t="s">
        <v>245</v>
      </c>
      <c r="G110" t="s">
        <v>246</v>
      </c>
      <c r="H110" t="s">
        <v>247</v>
      </c>
      <c r="I110">
        <f>ROUND(2.5/100,9)</f>
        <v>2.5000000000000001E-2</v>
      </c>
      <c r="J110">
        <v>0</v>
      </c>
      <c r="K110">
        <f>ROUND(2.5/100,9)</f>
        <v>2.5000000000000001E-2</v>
      </c>
      <c r="O110">
        <f t="shared" ref="O110:O118" si="72">ROUND(CP110,2)</f>
        <v>989.91</v>
      </c>
      <c r="P110">
        <f t="shared" ref="P110:P118" si="73">ROUND(CQ110*I110,2)</f>
        <v>0</v>
      </c>
      <c r="Q110">
        <f t="shared" ref="Q110:Q118" si="74">ROUND(CR110*I110,2)</f>
        <v>0</v>
      </c>
      <c r="R110">
        <f t="shared" ref="R110:R118" si="75">ROUND(CS110*I110,2)</f>
        <v>0</v>
      </c>
      <c r="S110">
        <f t="shared" ref="S110:S118" si="76">ROUND(CT110*I110,2)</f>
        <v>989.91</v>
      </c>
      <c r="T110">
        <f t="shared" ref="T110:T118" si="77">ROUND(CU110*I110,2)</f>
        <v>0</v>
      </c>
      <c r="U110">
        <f t="shared" ref="U110:U118" si="78">CV110*I110</f>
        <v>3.85</v>
      </c>
      <c r="V110">
        <f t="shared" ref="V110:V118" si="79">CW110*I110</f>
        <v>0</v>
      </c>
      <c r="W110">
        <f t="shared" ref="W110:W118" si="80">ROUND(CX110*I110,2)</f>
        <v>0</v>
      </c>
      <c r="X110">
        <f t="shared" ref="X110:X118" si="81">ROUND(CY110,2)</f>
        <v>881.02</v>
      </c>
      <c r="Y110">
        <f t="shared" ref="Y110:Y118" si="82">ROUND(CZ110,2)</f>
        <v>395.96</v>
      </c>
      <c r="AA110">
        <v>84186534</v>
      </c>
      <c r="AB110">
        <f t="shared" ref="AB110:AB118" si="83">ROUND((AC110+AD110+AF110),2)</f>
        <v>1122.6600000000001</v>
      </c>
      <c r="AC110">
        <f t="shared" ref="AC110:AC118" si="84">ROUND((ES110),2)</f>
        <v>0</v>
      </c>
      <c r="AD110">
        <f t="shared" ref="AD110:AD118" si="85">ROUND((((ET110)-(EU110))+AE110),2)</f>
        <v>0</v>
      </c>
      <c r="AE110">
        <f t="shared" ref="AE110:AE118" si="86">ROUND((EU110),2)</f>
        <v>0</v>
      </c>
      <c r="AF110">
        <f t="shared" ref="AF110:AF118" si="87">ROUND((EV110),2)</f>
        <v>1122.6600000000001</v>
      </c>
      <c r="AG110">
        <f t="shared" ref="AG110:AG118" si="88">ROUND((AP110),2)</f>
        <v>0</v>
      </c>
      <c r="AH110">
        <f t="shared" ref="AH110:AH118" si="89">(EW110)</f>
        <v>154</v>
      </c>
      <c r="AI110">
        <f t="shared" ref="AI110:AI118" si="90">(EX110)</f>
        <v>0</v>
      </c>
      <c r="AJ110">
        <f t="shared" ref="AJ110:AJ118" si="91">(AS110)</f>
        <v>0</v>
      </c>
      <c r="AK110">
        <v>1122.6600000000001</v>
      </c>
      <c r="AL110">
        <v>0</v>
      </c>
      <c r="AM110">
        <v>0</v>
      </c>
      <c r="AN110">
        <v>0</v>
      </c>
      <c r="AO110">
        <v>1122.6600000000001</v>
      </c>
      <c r="AP110">
        <v>0</v>
      </c>
      <c r="AQ110">
        <v>154</v>
      </c>
      <c r="AR110">
        <v>0</v>
      </c>
      <c r="AS110">
        <v>0</v>
      </c>
      <c r="AT110">
        <v>89</v>
      </c>
      <c r="AU110">
        <v>40</v>
      </c>
      <c r="AV110">
        <v>1</v>
      </c>
      <c r="AW110">
        <v>1</v>
      </c>
      <c r="AZ110">
        <v>1</v>
      </c>
      <c r="BA110">
        <v>35.270000000000003</v>
      </c>
      <c r="BB110">
        <v>1</v>
      </c>
      <c r="BC110">
        <v>1</v>
      </c>
      <c r="BD110" t="s">
        <v>3</v>
      </c>
      <c r="BE110" t="s">
        <v>3</v>
      </c>
      <c r="BF110" t="s">
        <v>3</v>
      </c>
      <c r="BG110" t="s">
        <v>3</v>
      </c>
      <c r="BH110">
        <v>0</v>
      </c>
      <c r="BI110">
        <v>1</v>
      </c>
      <c r="BJ110" t="s">
        <v>248</v>
      </c>
      <c r="BM110">
        <v>1003</v>
      </c>
      <c r="BN110">
        <v>0</v>
      </c>
      <c r="BO110" t="s">
        <v>245</v>
      </c>
      <c r="BP110">
        <v>1</v>
      </c>
      <c r="BQ110">
        <v>2</v>
      </c>
      <c r="BR110">
        <v>0</v>
      </c>
      <c r="BS110">
        <v>35.270000000000003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3</v>
      </c>
      <c r="BZ110">
        <v>89</v>
      </c>
      <c r="CA110">
        <v>40</v>
      </c>
      <c r="CB110" t="s">
        <v>3</v>
      </c>
      <c r="CE110">
        <v>0</v>
      </c>
      <c r="CF110">
        <v>0</v>
      </c>
      <c r="CG110">
        <v>0</v>
      </c>
      <c r="CM110">
        <v>0</v>
      </c>
      <c r="CN110" t="s">
        <v>3</v>
      </c>
      <c r="CO110">
        <v>0</v>
      </c>
      <c r="CP110">
        <f t="shared" ref="CP110:CP118" si="92">(P110+Q110+S110)</f>
        <v>989.91</v>
      </c>
      <c r="CQ110">
        <f t="shared" ref="CQ110:CQ118" si="93">AC110*BC110</f>
        <v>0</v>
      </c>
      <c r="CR110">
        <f t="shared" ref="CR110:CR118" si="94">(((ET110)*BB110-(EU110)*BS110)+AE110*BS110)</f>
        <v>0</v>
      </c>
      <c r="CS110">
        <f t="shared" ref="CS110:CS118" si="95">AE110*BS110</f>
        <v>0</v>
      </c>
      <c r="CT110">
        <f t="shared" ref="CT110:CT118" si="96">AF110*BA110</f>
        <v>39596.218200000003</v>
      </c>
      <c r="CU110">
        <f t="shared" ref="CU110:CU118" si="97">AG110</f>
        <v>0</v>
      </c>
      <c r="CV110">
        <f t="shared" ref="CV110:CV118" si="98">AH110</f>
        <v>154</v>
      </c>
      <c r="CW110">
        <f t="shared" ref="CW110:CW118" si="99">AI110</f>
        <v>0</v>
      </c>
      <c r="CX110">
        <f t="shared" ref="CX110:CX118" si="100">AJ110</f>
        <v>0</v>
      </c>
      <c r="CY110">
        <f>(((S110+R110)*AT110)/100)</f>
        <v>881.01989999999989</v>
      </c>
      <c r="CZ110">
        <f>(((S110+R110)*AU110)/100)</f>
        <v>395.964</v>
      </c>
      <c r="DC110" t="s">
        <v>3</v>
      </c>
      <c r="DD110" t="s">
        <v>3</v>
      </c>
      <c r="DE110" t="s">
        <v>3</v>
      </c>
      <c r="DF110" t="s">
        <v>3</v>
      </c>
      <c r="DG110" t="s">
        <v>3</v>
      </c>
      <c r="DH110" t="s">
        <v>3</v>
      </c>
      <c r="DI110" t="s">
        <v>3</v>
      </c>
      <c r="DJ110" t="s">
        <v>3</v>
      </c>
      <c r="DK110" t="s">
        <v>3</v>
      </c>
      <c r="DL110" t="s">
        <v>3</v>
      </c>
      <c r="DM110" t="s">
        <v>3</v>
      </c>
      <c r="DN110">
        <v>0</v>
      </c>
      <c r="DO110">
        <v>0</v>
      </c>
      <c r="DP110">
        <v>1</v>
      </c>
      <c r="DQ110">
        <v>1</v>
      </c>
      <c r="DU110">
        <v>1013</v>
      </c>
      <c r="DV110" t="s">
        <v>247</v>
      </c>
      <c r="DW110" t="s">
        <v>247</v>
      </c>
      <c r="DX110">
        <v>1</v>
      </c>
      <c r="DZ110" t="s">
        <v>3</v>
      </c>
      <c r="EA110" t="s">
        <v>3</v>
      </c>
      <c r="EB110" t="s">
        <v>3</v>
      </c>
      <c r="EC110" t="s">
        <v>3</v>
      </c>
      <c r="EE110">
        <v>79401808</v>
      </c>
      <c r="EF110">
        <v>2</v>
      </c>
      <c r="EG110" t="s">
        <v>19</v>
      </c>
      <c r="EH110">
        <v>1</v>
      </c>
      <c r="EI110" t="s">
        <v>249</v>
      </c>
      <c r="EJ110">
        <v>1</v>
      </c>
      <c r="EK110">
        <v>1003</v>
      </c>
      <c r="EL110" t="s">
        <v>250</v>
      </c>
      <c r="EM110" t="s">
        <v>251</v>
      </c>
      <c r="EO110" t="s">
        <v>3</v>
      </c>
      <c r="EQ110">
        <v>0</v>
      </c>
      <c r="ER110">
        <v>1122.6600000000001</v>
      </c>
      <c r="ES110">
        <v>0</v>
      </c>
      <c r="ET110">
        <v>0</v>
      </c>
      <c r="EU110">
        <v>0</v>
      </c>
      <c r="EV110">
        <v>1122.6600000000001</v>
      </c>
      <c r="EW110">
        <v>154</v>
      </c>
      <c r="EX110">
        <v>0</v>
      </c>
      <c r="EY110">
        <v>0</v>
      </c>
      <c r="FQ110">
        <v>0</v>
      </c>
      <c r="FR110">
        <f t="shared" ref="FR110:FR118" si="101">ROUND(IF(BI110=3,GM110,0),2)</f>
        <v>0</v>
      </c>
      <c r="FS110">
        <v>0</v>
      </c>
      <c r="FX110">
        <v>89</v>
      </c>
      <c r="FY110">
        <v>40</v>
      </c>
      <c r="GA110" t="s">
        <v>3</v>
      </c>
      <c r="GD110">
        <v>1</v>
      </c>
      <c r="GF110">
        <v>1907499899</v>
      </c>
      <c r="GG110">
        <v>2</v>
      </c>
      <c r="GH110">
        <v>1</v>
      </c>
      <c r="GI110">
        <v>2</v>
      </c>
      <c r="GJ110">
        <v>0</v>
      </c>
      <c r="GK110">
        <v>0</v>
      </c>
      <c r="GL110">
        <f t="shared" ref="GL110:GL118" si="102">ROUND(IF(AND(BH110=3,BI110=3,FS110&lt;&gt;0),P110,0),2)</f>
        <v>0</v>
      </c>
      <c r="GM110">
        <f t="shared" ref="GM110:GM118" si="103">ROUND(O110+X110+Y110,2)+GX110</f>
        <v>2266.89</v>
      </c>
      <c r="GN110">
        <f t="shared" ref="GN110:GN118" si="104">IF(OR(BI110=0,BI110=1),GM110,0)</f>
        <v>2266.89</v>
      </c>
      <c r="GO110">
        <f t="shared" ref="GO110:GO118" si="105">IF(BI110=2,GM110,0)</f>
        <v>0</v>
      </c>
      <c r="GP110">
        <f t="shared" ref="GP110:GP118" si="106">IF(BI110=4,GM110+GX110,0)</f>
        <v>0</v>
      </c>
      <c r="GR110">
        <v>0</v>
      </c>
      <c r="GS110">
        <v>3</v>
      </c>
      <c r="GT110">
        <v>0</v>
      </c>
      <c r="GU110" t="s">
        <v>3</v>
      </c>
      <c r="GV110">
        <f t="shared" ref="GV110:GV118" si="107">ROUND((GT110),2)</f>
        <v>0</v>
      </c>
      <c r="GW110">
        <v>1</v>
      </c>
      <c r="GX110">
        <f t="shared" ref="GX110:GX118" si="108">ROUND(HC110*I110,2)</f>
        <v>0</v>
      </c>
      <c r="HA110">
        <v>0</v>
      </c>
      <c r="HB110">
        <v>0</v>
      </c>
      <c r="HC110">
        <f t="shared" ref="HC110:HC118" si="109">GV110*GW110</f>
        <v>0</v>
      </c>
      <c r="HE110" t="s">
        <v>3</v>
      </c>
      <c r="HF110" t="s">
        <v>3</v>
      </c>
      <c r="HM110" t="s">
        <v>3</v>
      </c>
      <c r="HN110" t="s">
        <v>252</v>
      </c>
      <c r="HO110" t="s">
        <v>253</v>
      </c>
      <c r="HP110" t="s">
        <v>250</v>
      </c>
      <c r="HQ110" t="s">
        <v>250</v>
      </c>
      <c r="IK110">
        <v>0</v>
      </c>
    </row>
    <row r="111" spans="1:245" x14ac:dyDescent="0.2">
      <c r="A111">
        <v>17</v>
      </c>
      <c r="B111">
        <v>1</v>
      </c>
      <c r="C111">
        <f>ROW(SmtRes!A69)</f>
        <v>69</v>
      </c>
      <c r="D111">
        <f>ROW(EtalonRes!A69)</f>
        <v>69</v>
      </c>
      <c r="E111" t="s">
        <v>254</v>
      </c>
      <c r="F111" t="s">
        <v>255</v>
      </c>
      <c r="G111" t="s">
        <v>256</v>
      </c>
      <c r="H111" t="s">
        <v>247</v>
      </c>
      <c r="I111">
        <f>ROUND(2.5/100,9)</f>
        <v>2.5000000000000001E-2</v>
      </c>
      <c r="J111">
        <v>0</v>
      </c>
      <c r="K111">
        <f>ROUND(2.5/100,9)</f>
        <v>2.5000000000000001E-2</v>
      </c>
      <c r="O111">
        <f t="shared" si="72"/>
        <v>600.79999999999995</v>
      </c>
      <c r="P111">
        <f t="shared" si="73"/>
        <v>0</v>
      </c>
      <c r="Q111">
        <f t="shared" si="74"/>
        <v>0</v>
      </c>
      <c r="R111">
        <f t="shared" si="75"/>
        <v>0</v>
      </c>
      <c r="S111">
        <f t="shared" si="76"/>
        <v>600.79999999999995</v>
      </c>
      <c r="T111">
        <f t="shared" si="77"/>
        <v>0</v>
      </c>
      <c r="U111">
        <f t="shared" si="78"/>
        <v>2.4300000000000002</v>
      </c>
      <c r="V111">
        <f t="shared" si="79"/>
        <v>0</v>
      </c>
      <c r="W111">
        <f t="shared" si="80"/>
        <v>0</v>
      </c>
      <c r="X111">
        <f t="shared" si="81"/>
        <v>534.71</v>
      </c>
      <c r="Y111">
        <f t="shared" si="82"/>
        <v>240.32</v>
      </c>
      <c r="AA111">
        <v>84186534</v>
      </c>
      <c r="AB111">
        <f t="shared" si="83"/>
        <v>681.37</v>
      </c>
      <c r="AC111">
        <f t="shared" si="84"/>
        <v>0</v>
      </c>
      <c r="AD111">
        <f t="shared" si="85"/>
        <v>0</v>
      </c>
      <c r="AE111">
        <f t="shared" si="86"/>
        <v>0</v>
      </c>
      <c r="AF111">
        <f t="shared" si="87"/>
        <v>681.37</v>
      </c>
      <c r="AG111">
        <f t="shared" si="88"/>
        <v>0</v>
      </c>
      <c r="AH111">
        <f t="shared" si="89"/>
        <v>97.2</v>
      </c>
      <c r="AI111">
        <f t="shared" si="90"/>
        <v>0</v>
      </c>
      <c r="AJ111">
        <f t="shared" si="91"/>
        <v>0</v>
      </c>
      <c r="AK111">
        <v>681.37</v>
      </c>
      <c r="AL111">
        <v>0</v>
      </c>
      <c r="AM111">
        <v>0</v>
      </c>
      <c r="AN111">
        <v>0</v>
      </c>
      <c r="AO111">
        <v>681.37</v>
      </c>
      <c r="AP111">
        <v>0</v>
      </c>
      <c r="AQ111">
        <v>97.2</v>
      </c>
      <c r="AR111">
        <v>0</v>
      </c>
      <c r="AS111">
        <v>0</v>
      </c>
      <c r="AT111">
        <v>89</v>
      </c>
      <c r="AU111">
        <v>40</v>
      </c>
      <c r="AV111">
        <v>1</v>
      </c>
      <c r="AW111">
        <v>1</v>
      </c>
      <c r="AZ111">
        <v>1</v>
      </c>
      <c r="BA111">
        <v>35.270000000000003</v>
      </c>
      <c r="BB111">
        <v>1</v>
      </c>
      <c r="BC111">
        <v>1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1</v>
      </c>
      <c r="BJ111" t="s">
        <v>257</v>
      </c>
      <c r="BM111">
        <v>1003</v>
      </c>
      <c r="BN111">
        <v>0</v>
      </c>
      <c r="BO111" t="s">
        <v>255</v>
      </c>
      <c r="BP111">
        <v>1</v>
      </c>
      <c r="BQ111">
        <v>2</v>
      </c>
      <c r="BR111">
        <v>0</v>
      </c>
      <c r="BS111">
        <v>35.270000000000003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89</v>
      </c>
      <c r="CA111">
        <v>40</v>
      </c>
      <c r="CB111" t="s">
        <v>3</v>
      </c>
      <c r="CE111">
        <v>0</v>
      </c>
      <c r="CF111">
        <v>0</v>
      </c>
      <c r="CG111">
        <v>0</v>
      </c>
      <c r="CM111">
        <v>0</v>
      </c>
      <c r="CN111" t="s">
        <v>3</v>
      </c>
      <c r="CO111">
        <v>0</v>
      </c>
      <c r="CP111">
        <f t="shared" si="92"/>
        <v>600.79999999999995</v>
      </c>
      <c r="CQ111">
        <f t="shared" si="93"/>
        <v>0</v>
      </c>
      <c r="CR111">
        <f t="shared" si="94"/>
        <v>0</v>
      </c>
      <c r="CS111">
        <f t="shared" si="95"/>
        <v>0</v>
      </c>
      <c r="CT111">
        <f t="shared" si="96"/>
        <v>24031.919900000001</v>
      </c>
      <c r="CU111">
        <f t="shared" si="97"/>
        <v>0</v>
      </c>
      <c r="CV111">
        <f t="shared" si="98"/>
        <v>97.2</v>
      </c>
      <c r="CW111">
        <f t="shared" si="99"/>
        <v>0</v>
      </c>
      <c r="CX111">
        <f t="shared" si="100"/>
        <v>0</v>
      </c>
      <c r="CY111">
        <f>(((S111+R111)*AT111)/100)</f>
        <v>534.71199999999999</v>
      </c>
      <c r="CZ111">
        <f>(((S111+R111)*AU111)/100)</f>
        <v>240.32</v>
      </c>
      <c r="DC111" t="s">
        <v>3</v>
      </c>
      <c r="DD111" t="s">
        <v>3</v>
      </c>
      <c r="DE111" t="s">
        <v>3</v>
      </c>
      <c r="DF111" t="s">
        <v>3</v>
      </c>
      <c r="DG111" t="s">
        <v>3</v>
      </c>
      <c r="DH111" t="s">
        <v>3</v>
      </c>
      <c r="DI111" t="s">
        <v>3</v>
      </c>
      <c r="DJ111" t="s">
        <v>3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1013</v>
      </c>
      <c r="DV111" t="s">
        <v>247</v>
      </c>
      <c r="DW111" t="s">
        <v>247</v>
      </c>
      <c r="DX111">
        <v>1</v>
      </c>
      <c r="DZ111" t="s">
        <v>3</v>
      </c>
      <c r="EA111" t="s">
        <v>3</v>
      </c>
      <c r="EB111" t="s">
        <v>3</v>
      </c>
      <c r="EC111" t="s">
        <v>3</v>
      </c>
      <c r="EE111">
        <v>79401808</v>
      </c>
      <c r="EF111">
        <v>2</v>
      </c>
      <c r="EG111" t="s">
        <v>19</v>
      </c>
      <c r="EH111">
        <v>1</v>
      </c>
      <c r="EI111" t="s">
        <v>249</v>
      </c>
      <c r="EJ111">
        <v>1</v>
      </c>
      <c r="EK111">
        <v>1003</v>
      </c>
      <c r="EL111" t="s">
        <v>250</v>
      </c>
      <c r="EM111" t="s">
        <v>251</v>
      </c>
      <c r="EO111" t="s">
        <v>3</v>
      </c>
      <c r="EQ111">
        <v>0</v>
      </c>
      <c r="ER111">
        <v>681.37</v>
      </c>
      <c r="ES111">
        <v>0</v>
      </c>
      <c r="ET111">
        <v>0</v>
      </c>
      <c r="EU111">
        <v>0</v>
      </c>
      <c r="EV111">
        <v>681.37</v>
      </c>
      <c r="EW111">
        <v>97.2</v>
      </c>
      <c r="EX111">
        <v>0</v>
      </c>
      <c r="EY111">
        <v>0</v>
      </c>
      <c r="FQ111">
        <v>0</v>
      </c>
      <c r="FR111">
        <f t="shared" si="101"/>
        <v>0</v>
      </c>
      <c r="FS111">
        <v>0</v>
      </c>
      <c r="FX111">
        <v>89</v>
      </c>
      <c r="FY111">
        <v>40</v>
      </c>
      <c r="GA111" t="s">
        <v>3</v>
      </c>
      <c r="GD111">
        <v>1</v>
      </c>
      <c r="GF111">
        <v>-570049592</v>
      </c>
      <c r="GG111">
        <v>2</v>
      </c>
      <c r="GH111">
        <v>1</v>
      </c>
      <c r="GI111">
        <v>2</v>
      </c>
      <c r="GJ111">
        <v>0</v>
      </c>
      <c r="GK111">
        <v>0</v>
      </c>
      <c r="GL111">
        <f t="shared" si="102"/>
        <v>0</v>
      </c>
      <c r="GM111">
        <f t="shared" si="103"/>
        <v>1375.83</v>
      </c>
      <c r="GN111">
        <f t="shared" si="104"/>
        <v>1375.83</v>
      </c>
      <c r="GO111">
        <f t="shared" si="105"/>
        <v>0</v>
      </c>
      <c r="GP111">
        <f t="shared" si="106"/>
        <v>0</v>
      </c>
      <c r="GR111">
        <v>0</v>
      </c>
      <c r="GS111">
        <v>3</v>
      </c>
      <c r="GT111">
        <v>0</v>
      </c>
      <c r="GU111" t="s">
        <v>3</v>
      </c>
      <c r="GV111">
        <f t="shared" si="107"/>
        <v>0</v>
      </c>
      <c r="GW111">
        <v>1</v>
      </c>
      <c r="GX111">
        <f t="shared" si="108"/>
        <v>0</v>
      </c>
      <c r="HA111">
        <v>0</v>
      </c>
      <c r="HB111">
        <v>0</v>
      </c>
      <c r="HC111">
        <f t="shared" si="109"/>
        <v>0</v>
      </c>
      <c r="HE111" t="s">
        <v>3</v>
      </c>
      <c r="HF111" t="s">
        <v>3</v>
      </c>
      <c r="HM111" t="s">
        <v>3</v>
      </c>
      <c r="HN111" t="s">
        <v>252</v>
      </c>
      <c r="HO111" t="s">
        <v>253</v>
      </c>
      <c r="HP111" t="s">
        <v>250</v>
      </c>
      <c r="HQ111" t="s">
        <v>250</v>
      </c>
      <c r="IK111">
        <v>0</v>
      </c>
    </row>
    <row r="112" spans="1:245" x14ac:dyDescent="0.2">
      <c r="A112">
        <v>17</v>
      </c>
      <c r="B112">
        <v>1</v>
      </c>
      <c r="C112">
        <f>ROW(SmtRes!A77)</f>
        <v>77</v>
      </c>
      <c r="D112">
        <f>ROW(EtalonRes!A77)</f>
        <v>77</v>
      </c>
      <c r="E112" t="s">
        <v>258</v>
      </c>
      <c r="F112" t="s">
        <v>259</v>
      </c>
      <c r="G112" t="s">
        <v>260</v>
      </c>
      <c r="H112" t="s">
        <v>261</v>
      </c>
      <c r="I112">
        <f>ROUND(9/100,9)</f>
        <v>0.09</v>
      </c>
      <c r="J112">
        <v>0</v>
      </c>
      <c r="K112">
        <f>ROUND(9/100,9)</f>
        <v>0.09</v>
      </c>
      <c r="O112">
        <f t="shared" si="72"/>
        <v>577.73</v>
      </c>
      <c r="P112">
        <f t="shared" si="73"/>
        <v>44.96</v>
      </c>
      <c r="Q112">
        <f t="shared" si="74"/>
        <v>69.61</v>
      </c>
      <c r="R112">
        <f t="shared" si="75"/>
        <v>8.44</v>
      </c>
      <c r="S112">
        <f t="shared" si="76"/>
        <v>463.16</v>
      </c>
      <c r="T112">
        <f t="shared" si="77"/>
        <v>0</v>
      </c>
      <c r="U112">
        <f t="shared" si="78"/>
        <v>1.494</v>
      </c>
      <c r="V112">
        <f t="shared" si="79"/>
        <v>1.9799999999999998E-2</v>
      </c>
      <c r="W112">
        <f t="shared" si="80"/>
        <v>0</v>
      </c>
      <c r="X112">
        <f t="shared" si="81"/>
        <v>457.45</v>
      </c>
      <c r="Y112">
        <f t="shared" si="82"/>
        <v>240.52</v>
      </c>
      <c r="AA112">
        <v>84186534</v>
      </c>
      <c r="AB112">
        <f t="shared" si="83"/>
        <v>269.77</v>
      </c>
      <c r="AC112">
        <f t="shared" si="84"/>
        <v>49.56</v>
      </c>
      <c r="AD112">
        <f t="shared" si="85"/>
        <v>74.3</v>
      </c>
      <c r="AE112">
        <f t="shared" si="86"/>
        <v>2.66</v>
      </c>
      <c r="AF112">
        <f t="shared" si="87"/>
        <v>145.91</v>
      </c>
      <c r="AG112">
        <f t="shared" si="88"/>
        <v>0</v>
      </c>
      <c r="AH112">
        <f t="shared" si="89"/>
        <v>16.600000000000001</v>
      </c>
      <c r="AI112">
        <f t="shared" si="90"/>
        <v>0.22</v>
      </c>
      <c r="AJ112">
        <f t="shared" si="91"/>
        <v>0</v>
      </c>
      <c r="AK112">
        <v>269.77</v>
      </c>
      <c r="AL112">
        <v>49.56</v>
      </c>
      <c r="AM112">
        <v>74.3</v>
      </c>
      <c r="AN112">
        <v>2.66</v>
      </c>
      <c r="AO112">
        <v>145.91</v>
      </c>
      <c r="AP112">
        <v>0</v>
      </c>
      <c r="AQ112">
        <v>16.600000000000001</v>
      </c>
      <c r="AR112">
        <v>0.22</v>
      </c>
      <c r="AS112">
        <v>0</v>
      </c>
      <c r="AT112">
        <v>97</v>
      </c>
      <c r="AU112">
        <v>51</v>
      </c>
      <c r="AV112">
        <v>1</v>
      </c>
      <c r="AW112">
        <v>1</v>
      </c>
      <c r="AZ112">
        <v>1</v>
      </c>
      <c r="BA112">
        <v>35.270000000000003</v>
      </c>
      <c r="BB112">
        <v>10.41</v>
      </c>
      <c r="BC112">
        <v>10.08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2</v>
      </c>
      <c r="BJ112" t="s">
        <v>262</v>
      </c>
      <c r="BM112">
        <v>108001</v>
      </c>
      <c r="BN112">
        <v>0</v>
      </c>
      <c r="BO112" t="s">
        <v>259</v>
      </c>
      <c r="BP112">
        <v>1</v>
      </c>
      <c r="BQ112">
        <v>3</v>
      </c>
      <c r="BR112">
        <v>0</v>
      </c>
      <c r="BS112">
        <v>35.270000000000003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97</v>
      </c>
      <c r="CA112">
        <v>51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si="92"/>
        <v>577.73</v>
      </c>
      <c r="CQ112">
        <f t="shared" si="93"/>
        <v>499.56480000000005</v>
      </c>
      <c r="CR112">
        <f t="shared" si="94"/>
        <v>773.46299999999997</v>
      </c>
      <c r="CS112">
        <f t="shared" si="95"/>
        <v>93.818200000000019</v>
      </c>
      <c r="CT112">
        <f t="shared" si="96"/>
        <v>5146.2457000000004</v>
      </c>
      <c r="CU112">
        <f t="shared" si="97"/>
        <v>0</v>
      </c>
      <c r="CV112">
        <f t="shared" si="98"/>
        <v>16.600000000000001</v>
      </c>
      <c r="CW112">
        <f t="shared" si="99"/>
        <v>0.22</v>
      </c>
      <c r="CX112">
        <f t="shared" si="100"/>
        <v>0</v>
      </c>
      <c r="CY112">
        <f>(((S112+R112)*AT112)/100)</f>
        <v>457.45200000000006</v>
      </c>
      <c r="CZ112">
        <f>(((S112+R112)*AU112)/100)</f>
        <v>240.51600000000002</v>
      </c>
      <c r="DC112" t="s">
        <v>3</v>
      </c>
      <c r="DD112" t="s">
        <v>3</v>
      </c>
      <c r="DE112" t="s">
        <v>3</v>
      </c>
      <c r="DF112" t="s">
        <v>3</v>
      </c>
      <c r="DG112" t="s">
        <v>3</v>
      </c>
      <c r="DH112" t="s">
        <v>3</v>
      </c>
      <c r="DI112" t="s">
        <v>3</v>
      </c>
      <c r="DJ112" t="s">
        <v>3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1003</v>
      </c>
      <c r="DV112" t="s">
        <v>261</v>
      </c>
      <c r="DW112" t="s">
        <v>261</v>
      </c>
      <c r="DX112">
        <v>100</v>
      </c>
      <c r="DZ112" t="s">
        <v>3</v>
      </c>
      <c r="EA112" t="s">
        <v>3</v>
      </c>
      <c r="EB112" t="s">
        <v>3</v>
      </c>
      <c r="EC112" t="s">
        <v>3</v>
      </c>
      <c r="EE112">
        <v>79401673</v>
      </c>
      <c r="EF112">
        <v>3</v>
      </c>
      <c r="EG112" t="s">
        <v>105</v>
      </c>
      <c r="EH112">
        <v>0</v>
      </c>
      <c r="EI112" t="s">
        <v>3</v>
      </c>
      <c r="EJ112">
        <v>2</v>
      </c>
      <c r="EK112">
        <v>108001</v>
      </c>
      <c r="EL112" t="s">
        <v>106</v>
      </c>
      <c r="EM112" t="s">
        <v>107</v>
      </c>
      <c r="EO112" t="s">
        <v>3</v>
      </c>
      <c r="EQ112">
        <v>0</v>
      </c>
      <c r="ER112">
        <v>269.77</v>
      </c>
      <c r="ES112">
        <v>49.56</v>
      </c>
      <c r="ET112">
        <v>74.3</v>
      </c>
      <c r="EU112">
        <v>2.66</v>
      </c>
      <c r="EV112">
        <v>145.91</v>
      </c>
      <c r="EW112">
        <v>16.600000000000001</v>
      </c>
      <c r="EX112">
        <v>0.22</v>
      </c>
      <c r="EY112">
        <v>0</v>
      </c>
      <c r="FQ112">
        <v>0</v>
      </c>
      <c r="FR112">
        <f t="shared" si="101"/>
        <v>0</v>
      </c>
      <c r="FS112">
        <v>0</v>
      </c>
      <c r="FX112">
        <v>97</v>
      </c>
      <c r="FY112">
        <v>51</v>
      </c>
      <c r="GA112" t="s">
        <v>3</v>
      </c>
      <c r="GD112">
        <v>1</v>
      </c>
      <c r="GF112">
        <v>-704351292</v>
      </c>
      <c r="GG112">
        <v>2</v>
      </c>
      <c r="GH112">
        <v>1</v>
      </c>
      <c r="GI112">
        <v>2</v>
      </c>
      <c r="GJ112">
        <v>0</v>
      </c>
      <c r="GK112">
        <v>0</v>
      </c>
      <c r="GL112">
        <f t="shared" si="102"/>
        <v>0</v>
      </c>
      <c r="GM112">
        <f t="shared" si="103"/>
        <v>1275.7</v>
      </c>
      <c r="GN112">
        <f t="shared" si="104"/>
        <v>0</v>
      </c>
      <c r="GO112">
        <f t="shared" si="105"/>
        <v>1275.7</v>
      </c>
      <c r="GP112">
        <f t="shared" si="106"/>
        <v>0</v>
      </c>
      <c r="GR112">
        <v>0</v>
      </c>
      <c r="GS112">
        <v>3</v>
      </c>
      <c r="GT112">
        <v>0</v>
      </c>
      <c r="GU112" t="s">
        <v>3</v>
      </c>
      <c r="GV112">
        <f t="shared" si="107"/>
        <v>0</v>
      </c>
      <c r="GW112">
        <v>1</v>
      </c>
      <c r="GX112">
        <f t="shared" si="108"/>
        <v>0</v>
      </c>
      <c r="HA112">
        <v>0</v>
      </c>
      <c r="HB112">
        <v>0</v>
      </c>
      <c r="HC112">
        <f t="shared" si="109"/>
        <v>0</v>
      </c>
      <c r="HE112" t="s">
        <v>3</v>
      </c>
      <c r="HF112" t="s">
        <v>3</v>
      </c>
      <c r="HM112" t="s">
        <v>3</v>
      </c>
      <c r="HN112" t="s">
        <v>108</v>
      </c>
      <c r="HO112" t="s">
        <v>109</v>
      </c>
      <c r="HP112" t="s">
        <v>106</v>
      </c>
      <c r="HQ112" t="s">
        <v>106</v>
      </c>
      <c r="IK112">
        <v>0</v>
      </c>
    </row>
    <row r="113" spans="1:245" x14ac:dyDescent="0.2">
      <c r="A113">
        <v>17</v>
      </c>
      <c r="B113">
        <v>1</v>
      </c>
      <c r="E113" t="s">
        <v>263</v>
      </c>
      <c r="F113" t="s">
        <v>264</v>
      </c>
      <c r="G113" t="s">
        <v>265</v>
      </c>
      <c r="H113" t="s">
        <v>117</v>
      </c>
      <c r="I113">
        <v>3.3345E-2</v>
      </c>
      <c r="J113">
        <v>0</v>
      </c>
      <c r="K113">
        <v>3.3345E-2</v>
      </c>
      <c r="O113">
        <f t="shared" si="72"/>
        <v>2948.93</v>
      </c>
      <c r="P113">
        <f t="shared" si="73"/>
        <v>2948.93</v>
      </c>
      <c r="Q113">
        <f t="shared" si="74"/>
        <v>0</v>
      </c>
      <c r="R113">
        <f t="shared" si="75"/>
        <v>0</v>
      </c>
      <c r="S113">
        <f t="shared" si="76"/>
        <v>0</v>
      </c>
      <c r="T113">
        <f t="shared" si="77"/>
        <v>0</v>
      </c>
      <c r="U113">
        <f t="shared" si="78"/>
        <v>0</v>
      </c>
      <c r="V113">
        <f t="shared" si="79"/>
        <v>0</v>
      </c>
      <c r="W113">
        <f t="shared" si="80"/>
        <v>0</v>
      </c>
      <c r="X113">
        <f t="shared" si="81"/>
        <v>0</v>
      </c>
      <c r="Y113">
        <f t="shared" si="82"/>
        <v>0</v>
      </c>
      <c r="AA113">
        <v>84186534</v>
      </c>
      <c r="AB113">
        <f t="shared" si="83"/>
        <v>6258.8</v>
      </c>
      <c r="AC113">
        <f t="shared" si="84"/>
        <v>6258.8</v>
      </c>
      <c r="AD113">
        <f t="shared" si="85"/>
        <v>0</v>
      </c>
      <c r="AE113">
        <f t="shared" si="86"/>
        <v>0</v>
      </c>
      <c r="AF113">
        <f t="shared" si="87"/>
        <v>0</v>
      </c>
      <c r="AG113">
        <f t="shared" si="88"/>
        <v>0</v>
      </c>
      <c r="AH113">
        <f t="shared" si="89"/>
        <v>0</v>
      </c>
      <c r="AI113">
        <f t="shared" si="90"/>
        <v>0</v>
      </c>
      <c r="AJ113">
        <f t="shared" si="91"/>
        <v>0</v>
      </c>
      <c r="AK113">
        <v>6258.8</v>
      </c>
      <c r="AL113">
        <v>6258.8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14.13</v>
      </c>
      <c r="BD113" t="s">
        <v>3</v>
      </c>
      <c r="BE113" t="s">
        <v>3</v>
      </c>
      <c r="BF113" t="s">
        <v>3</v>
      </c>
      <c r="BG113" t="s">
        <v>3</v>
      </c>
      <c r="BH113">
        <v>3</v>
      </c>
      <c r="BI113">
        <v>1</v>
      </c>
      <c r="BJ113" t="s">
        <v>266</v>
      </c>
      <c r="BM113">
        <v>500001</v>
      </c>
      <c r="BN113">
        <v>0</v>
      </c>
      <c r="BO113" t="s">
        <v>264</v>
      </c>
      <c r="BP113">
        <v>1</v>
      </c>
      <c r="BQ113">
        <v>8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0</v>
      </c>
      <c r="CA113">
        <v>0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92"/>
        <v>2948.93</v>
      </c>
      <c r="CQ113">
        <f t="shared" si="93"/>
        <v>88436.844000000012</v>
      </c>
      <c r="CR113">
        <f t="shared" si="94"/>
        <v>0</v>
      </c>
      <c r="CS113">
        <f t="shared" si="95"/>
        <v>0</v>
      </c>
      <c r="CT113">
        <f t="shared" si="96"/>
        <v>0</v>
      </c>
      <c r="CU113">
        <f t="shared" si="97"/>
        <v>0</v>
      </c>
      <c r="CV113">
        <f t="shared" si="98"/>
        <v>0</v>
      </c>
      <c r="CW113">
        <f t="shared" si="99"/>
        <v>0</v>
      </c>
      <c r="CX113">
        <f t="shared" si="100"/>
        <v>0</v>
      </c>
      <c r="CY113">
        <f>0</f>
        <v>0</v>
      </c>
      <c r="CZ113">
        <f>0</f>
        <v>0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1009</v>
      </c>
      <c r="DV113" t="s">
        <v>117</v>
      </c>
      <c r="DW113" t="s">
        <v>117</v>
      </c>
      <c r="DX113">
        <v>1000</v>
      </c>
      <c r="DZ113" t="s">
        <v>3</v>
      </c>
      <c r="EA113" t="s">
        <v>3</v>
      </c>
      <c r="EB113" t="s">
        <v>3</v>
      </c>
      <c r="EC113" t="s">
        <v>3</v>
      </c>
      <c r="EE113">
        <v>79401762</v>
      </c>
      <c r="EF113">
        <v>8</v>
      </c>
      <c r="EG113" t="s">
        <v>157</v>
      </c>
      <c r="EH113">
        <v>0</v>
      </c>
      <c r="EI113" t="s">
        <v>3</v>
      </c>
      <c r="EJ113">
        <v>1</v>
      </c>
      <c r="EK113">
        <v>500001</v>
      </c>
      <c r="EL113" t="s">
        <v>158</v>
      </c>
      <c r="EM113" t="s">
        <v>159</v>
      </c>
      <c r="EO113" t="s">
        <v>3</v>
      </c>
      <c r="EQ113">
        <v>0</v>
      </c>
      <c r="ER113">
        <v>6258.8</v>
      </c>
      <c r="ES113">
        <v>6258.8</v>
      </c>
      <c r="ET113">
        <v>0</v>
      </c>
      <c r="EU113">
        <v>0</v>
      </c>
      <c r="EV113">
        <v>0</v>
      </c>
      <c r="EW113">
        <v>0</v>
      </c>
      <c r="EX113">
        <v>0</v>
      </c>
      <c r="EY113">
        <v>0</v>
      </c>
      <c r="FQ113">
        <v>0</v>
      </c>
      <c r="FR113">
        <f t="shared" si="101"/>
        <v>0</v>
      </c>
      <c r="FS113">
        <v>0</v>
      </c>
      <c r="FX113">
        <v>0</v>
      </c>
      <c r="FY113">
        <v>0</v>
      </c>
      <c r="GA113" t="s">
        <v>3</v>
      </c>
      <c r="GD113">
        <v>1</v>
      </c>
      <c r="GF113">
        <v>1445180807</v>
      </c>
      <c r="GG113">
        <v>2</v>
      </c>
      <c r="GH113">
        <v>1</v>
      </c>
      <c r="GI113">
        <v>2</v>
      </c>
      <c r="GJ113">
        <v>0</v>
      </c>
      <c r="GK113">
        <v>0</v>
      </c>
      <c r="GL113">
        <f t="shared" si="102"/>
        <v>0</v>
      </c>
      <c r="GM113">
        <f t="shared" si="103"/>
        <v>2948.93</v>
      </c>
      <c r="GN113">
        <f t="shared" si="104"/>
        <v>2948.93</v>
      </c>
      <c r="GO113">
        <f t="shared" si="105"/>
        <v>0</v>
      </c>
      <c r="GP113">
        <f t="shared" si="106"/>
        <v>0</v>
      </c>
      <c r="GR113">
        <v>0</v>
      </c>
      <c r="GS113">
        <v>3</v>
      </c>
      <c r="GT113">
        <v>0</v>
      </c>
      <c r="GU113" t="s">
        <v>3</v>
      </c>
      <c r="GV113">
        <f t="shared" si="107"/>
        <v>0</v>
      </c>
      <c r="GW113">
        <v>1</v>
      </c>
      <c r="GX113">
        <f t="shared" si="108"/>
        <v>0</v>
      </c>
      <c r="HA113">
        <v>0</v>
      </c>
      <c r="HB113">
        <v>0</v>
      </c>
      <c r="HC113">
        <f t="shared" si="109"/>
        <v>0</v>
      </c>
      <c r="HE113" t="s">
        <v>3</v>
      </c>
      <c r="HF113" t="s">
        <v>3</v>
      </c>
      <c r="HM113" t="s">
        <v>3</v>
      </c>
      <c r="HN113" t="s">
        <v>3</v>
      </c>
      <c r="HO113" t="s">
        <v>3</v>
      </c>
      <c r="HP113" t="s">
        <v>3</v>
      </c>
      <c r="HQ113" t="s">
        <v>3</v>
      </c>
      <c r="IK113">
        <v>0</v>
      </c>
    </row>
    <row r="114" spans="1:245" x14ac:dyDescent="0.2">
      <c r="A114">
        <v>17</v>
      </c>
      <c r="B114">
        <v>1</v>
      </c>
      <c r="C114">
        <f>ROW(SmtRes!A84)</f>
        <v>84</v>
      </c>
      <c r="D114">
        <f>ROW(EtalonRes!A84)</f>
        <v>84</v>
      </c>
      <c r="E114" t="s">
        <v>267</v>
      </c>
      <c r="F114" t="s">
        <v>218</v>
      </c>
      <c r="G114" t="s">
        <v>219</v>
      </c>
      <c r="H114" t="s">
        <v>220</v>
      </c>
      <c r="I114">
        <v>3</v>
      </c>
      <c r="J114">
        <v>0</v>
      </c>
      <c r="K114">
        <v>3</v>
      </c>
      <c r="O114">
        <f t="shared" si="72"/>
        <v>4482.55</v>
      </c>
      <c r="P114">
        <f t="shared" si="73"/>
        <v>1052.68</v>
      </c>
      <c r="Q114">
        <f t="shared" si="74"/>
        <v>2752.69</v>
      </c>
      <c r="R114">
        <f t="shared" si="75"/>
        <v>580.9</v>
      </c>
      <c r="S114">
        <f t="shared" si="76"/>
        <v>677.18</v>
      </c>
      <c r="T114">
        <f t="shared" si="77"/>
        <v>0</v>
      </c>
      <c r="U114">
        <f t="shared" si="78"/>
        <v>2.4300000000000002</v>
      </c>
      <c r="V114">
        <f t="shared" si="79"/>
        <v>1.83</v>
      </c>
      <c r="W114">
        <f t="shared" si="80"/>
        <v>0</v>
      </c>
      <c r="X114">
        <f t="shared" si="81"/>
        <v>1295.82</v>
      </c>
      <c r="Y114">
        <f t="shared" si="82"/>
        <v>754.85</v>
      </c>
      <c r="AA114">
        <v>84186534</v>
      </c>
      <c r="AB114">
        <f t="shared" si="83"/>
        <v>140.05000000000001</v>
      </c>
      <c r="AC114">
        <f t="shared" si="84"/>
        <v>33.26</v>
      </c>
      <c r="AD114">
        <f t="shared" si="85"/>
        <v>100.39</v>
      </c>
      <c r="AE114">
        <f t="shared" si="86"/>
        <v>5.49</v>
      </c>
      <c r="AF114">
        <f t="shared" si="87"/>
        <v>6.4</v>
      </c>
      <c r="AG114">
        <f t="shared" si="88"/>
        <v>0</v>
      </c>
      <c r="AH114">
        <f t="shared" si="89"/>
        <v>0.81</v>
      </c>
      <c r="AI114">
        <f t="shared" si="90"/>
        <v>0.61</v>
      </c>
      <c r="AJ114">
        <f t="shared" si="91"/>
        <v>0</v>
      </c>
      <c r="AK114">
        <v>140.05000000000001</v>
      </c>
      <c r="AL114">
        <v>33.26</v>
      </c>
      <c r="AM114">
        <v>100.39</v>
      </c>
      <c r="AN114">
        <v>5.49</v>
      </c>
      <c r="AO114">
        <v>6.4</v>
      </c>
      <c r="AP114">
        <v>0</v>
      </c>
      <c r="AQ114">
        <v>0.81</v>
      </c>
      <c r="AR114">
        <v>0.61</v>
      </c>
      <c r="AS114">
        <v>0</v>
      </c>
      <c r="AT114">
        <v>103</v>
      </c>
      <c r="AU114">
        <v>60</v>
      </c>
      <c r="AV114">
        <v>1</v>
      </c>
      <c r="AW114">
        <v>1</v>
      </c>
      <c r="AZ114">
        <v>1</v>
      </c>
      <c r="BA114">
        <v>35.270000000000003</v>
      </c>
      <c r="BB114">
        <v>9.14</v>
      </c>
      <c r="BC114">
        <v>10.55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1</v>
      </c>
      <c r="BJ114" t="s">
        <v>221</v>
      </c>
      <c r="BM114">
        <v>33001</v>
      </c>
      <c r="BN114">
        <v>0</v>
      </c>
      <c r="BO114" t="s">
        <v>218</v>
      </c>
      <c r="BP114">
        <v>1</v>
      </c>
      <c r="BQ114">
        <v>2</v>
      </c>
      <c r="BR114">
        <v>0</v>
      </c>
      <c r="BS114">
        <v>35.270000000000003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103</v>
      </c>
      <c r="CA114">
        <v>60</v>
      </c>
      <c r="CB114" t="s">
        <v>3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92"/>
        <v>4482.55</v>
      </c>
      <c r="CQ114">
        <f t="shared" si="93"/>
        <v>350.89300000000003</v>
      </c>
      <c r="CR114">
        <f t="shared" si="94"/>
        <v>917.56460000000004</v>
      </c>
      <c r="CS114">
        <f t="shared" si="95"/>
        <v>193.63230000000001</v>
      </c>
      <c r="CT114">
        <f t="shared" si="96"/>
        <v>225.72800000000004</v>
      </c>
      <c r="CU114">
        <f t="shared" si="97"/>
        <v>0</v>
      </c>
      <c r="CV114">
        <f t="shared" si="98"/>
        <v>0.81</v>
      </c>
      <c r="CW114">
        <f t="shared" si="99"/>
        <v>0.61</v>
      </c>
      <c r="CX114">
        <f t="shared" si="100"/>
        <v>0</v>
      </c>
      <c r="CY114">
        <f>(((S114+R114)*AT114)/100)</f>
        <v>1295.8224</v>
      </c>
      <c r="CZ114">
        <f>(((S114+R114)*AU114)/100)</f>
        <v>754.84799999999984</v>
      </c>
      <c r="DC114" t="s">
        <v>3</v>
      </c>
      <c r="DD114" t="s">
        <v>3</v>
      </c>
      <c r="DE114" t="s">
        <v>3</v>
      </c>
      <c r="DF114" t="s">
        <v>3</v>
      </c>
      <c r="DG114" t="s">
        <v>3</v>
      </c>
      <c r="DH114" t="s">
        <v>3</v>
      </c>
      <c r="DI114" t="s">
        <v>3</v>
      </c>
      <c r="DJ114" t="s">
        <v>3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1013</v>
      </c>
      <c r="DV114" t="s">
        <v>220</v>
      </c>
      <c r="DW114" t="s">
        <v>220</v>
      </c>
      <c r="DX114">
        <v>1</v>
      </c>
      <c r="DZ114" t="s">
        <v>3</v>
      </c>
      <c r="EA114" t="s">
        <v>3</v>
      </c>
      <c r="EB114" t="s">
        <v>3</v>
      </c>
      <c r="EC114" t="s">
        <v>3</v>
      </c>
      <c r="EE114">
        <v>79401925</v>
      </c>
      <c r="EF114">
        <v>2</v>
      </c>
      <c r="EG114" t="s">
        <v>19</v>
      </c>
      <c r="EH114">
        <v>27</v>
      </c>
      <c r="EI114" t="s">
        <v>20</v>
      </c>
      <c r="EJ114">
        <v>1</v>
      </c>
      <c r="EK114">
        <v>33001</v>
      </c>
      <c r="EL114" t="s">
        <v>20</v>
      </c>
      <c r="EM114" t="s">
        <v>21</v>
      </c>
      <c r="EO114" t="s">
        <v>3</v>
      </c>
      <c r="EQ114">
        <v>0</v>
      </c>
      <c r="ER114">
        <v>140.05000000000001</v>
      </c>
      <c r="ES114">
        <v>33.26</v>
      </c>
      <c r="ET114">
        <v>100.39</v>
      </c>
      <c r="EU114">
        <v>5.49</v>
      </c>
      <c r="EV114">
        <v>6.4</v>
      </c>
      <c r="EW114">
        <v>0.81</v>
      </c>
      <c r="EX114">
        <v>0.61</v>
      </c>
      <c r="EY114">
        <v>0</v>
      </c>
      <c r="FQ114">
        <v>0</v>
      </c>
      <c r="FR114">
        <f t="shared" si="101"/>
        <v>0</v>
      </c>
      <c r="FS114">
        <v>0</v>
      </c>
      <c r="FX114">
        <v>103</v>
      </c>
      <c r="FY114">
        <v>60</v>
      </c>
      <c r="GA114" t="s">
        <v>3</v>
      </c>
      <c r="GD114">
        <v>1</v>
      </c>
      <c r="GF114">
        <v>-1716539149</v>
      </c>
      <c r="GG114">
        <v>2</v>
      </c>
      <c r="GH114">
        <v>1</v>
      </c>
      <c r="GI114">
        <v>2</v>
      </c>
      <c r="GJ114">
        <v>0</v>
      </c>
      <c r="GK114">
        <v>0</v>
      </c>
      <c r="GL114">
        <f t="shared" si="102"/>
        <v>0</v>
      </c>
      <c r="GM114">
        <f t="shared" si="103"/>
        <v>6533.22</v>
      </c>
      <c r="GN114">
        <f t="shared" si="104"/>
        <v>6533.22</v>
      </c>
      <c r="GO114">
        <f t="shared" si="105"/>
        <v>0</v>
      </c>
      <c r="GP114">
        <f t="shared" si="106"/>
        <v>0</v>
      </c>
      <c r="GR114">
        <v>0</v>
      </c>
      <c r="GS114">
        <v>3</v>
      </c>
      <c r="GT114">
        <v>0</v>
      </c>
      <c r="GU114" t="s">
        <v>3</v>
      </c>
      <c r="GV114">
        <f t="shared" si="107"/>
        <v>0</v>
      </c>
      <c r="GW114">
        <v>1</v>
      </c>
      <c r="GX114">
        <f t="shared" si="108"/>
        <v>0</v>
      </c>
      <c r="HA114">
        <v>0</v>
      </c>
      <c r="HB114">
        <v>0</v>
      </c>
      <c r="HC114">
        <f t="shared" si="109"/>
        <v>0</v>
      </c>
      <c r="HE114" t="s">
        <v>3</v>
      </c>
      <c r="HF114" t="s">
        <v>3</v>
      </c>
      <c r="HM114" t="s">
        <v>3</v>
      </c>
      <c r="HN114" t="s">
        <v>22</v>
      </c>
      <c r="HO114" t="s">
        <v>23</v>
      </c>
      <c r="HP114" t="s">
        <v>20</v>
      </c>
      <c r="HQ114" t="s">
        <v>20</v>
      </c>
      <c r="IK114">
        <v>0</v>
      </c>
    </row>
    <row r="115" spans="1:245" x14ac:dyDescent="0.2">
      <c r="A115">
        <v>18</v>
      </c>
      <c r="B115">
        <v>1</v>
      </c>
      <c r="C115">
        <v>84</v>
      </c>
      <c r="E115" t="s">
        <v>268</v>
      </c>
      <c r="F115" t="s">
        <v>223</v>
      </c>
      <c r="G115" t="s">
        <v>224</v>
      </c>
      <c r="H115" t="s">
        <v>117</v>
      </c>
      <c r="I115">
        <f>I114*J115</f>
        <v>-1.4999999999999999E-2</v>
      </c>
      <c r="J115">
        <v>-5.0000000000000001E-3</v>
      </c>
      <c r="K115">
        <v>-5.0000000000000001E-3</v>
      </c>
      <c r="O115">
        <f t="shared" si="72"/>
        <v>-1041.52</v>
      </c>
      <c r="P115">
        <f t="shared" si="73"/>
        <v>-1041.52</v>
      </c>
      <c r="Q115">
        <f t="shared" si="74"/>
        <v>0</v>
      </c>
      <c r="R115">
        <f t="shared" si="75"/>
        <v>0</v>
      </c>
      <c r="S115">
        <f t="shared" si="76"/>
        <v>0</v>
      </c>
      <c r="T115">
        <f t="shared" si="77"/>
        <v>0</v>
      </c>
      <c r="U115">
        <f t="shared" si="78"/>
        <v>0</v>
      </c>
      <c r="V115">
        <f t="shared" si="79"/>
        <v>0</v>
      </c>
      <c r="W115">
        <f t="shared" si="80"/>
        <v>0</v>
      </c>
      <c r="X115">
        <f t="shared" si="81"/>
        <v>0</v>
      </c>
      <c r="Y115">
        <f t="shared" si="82"/>
        <v>0</v>
      </c>
      <c r="AA115">
        <v>84186534</v>
      </c>
      <c r="AB115">
        <f t="shared" si="83"/>
        <v>6594</v>
      </c>
      <c r="AC115">
        <f t="shared" si="84"/>
        <v>6594</v>
      </c>
      <c r="AD115">
        <f t="shared" si="85"/>
        <v>0</v>
      </c>
      <c r="AE115">
        <f t="shared" si="86"/>
        <v>0</v>
      </c>
      <c r="AF115">
        <f t="shared" si="87"/>
        <v>0</v>
      </c>
      <c r="AG115">
        <f t="shared" si="88"/>
        <v>0</v>
      </c>
      <c r="AH115">
        <f t="shared" si="89"/>
        <v>0</v>
      </c>
      <c r="AI115">
        <f t="shared" si="90"/>
        <v>0</v>
      </c>
      <c r="AJ115">
        <f t="shared" si="91"/>
        <v>0</v>
      </c>
      <c r="AK115">
        <v>6594</v>
      </c>
      <c r="AL115">
        <v>6594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103</v>
      </c>
      <c r="AU115">
        <v>60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10.53</v>
      </c>
      <c r="BD115" t="s">
        <v>3</v>
      </c>
      <c r="BE115" t="s">
        <v>3</v>
      </c>
      <c r="BF115" t="s">
        <v>3</v>
      </c>
      <c r="BG115" t="s">
        <v>3</v>
      </c>
      <c r="BH115">
        <v>3</v>
      </c>
      <c r="BI115">
        <v>1</v>
      </c>
      <c r="BJ115" t="s">
        <v>225</v>
      </c>
      <c r="BM115">
        <v>33001</v>
      </c>
      <c r="BN115">
        <v>0</v>
      </c>
      <c r="BO115" t="s">
        <v>223</v>
      </c>
      <c r="BP115">
        <v>1</v>
      </c>
      <c r="BQ115">
        <v>2</v>
      </c>
      <c r="BR115">
        <v>1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103</v>
      </c>
      <c r="CA115">
        <v>60</v>
      </c>
      <c r="CB115" t="s">
        <v>3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92"/>
        <v>-1041.52</v>
      </c>
      <c r="CQ115">
        <f t="shared" si="93"/>
        <v>69434.819999999992</v>
      </c>
      <c r="CR115">
        <f t="shared" si="94"/>
        <v>0</v>
      </c>
      <c r="CS115">
        <f t="shared" si="95"/>
        <v>0</v>
      </c>
      <c r="CT115">
        <f t="shared" si="96"/>
        <v>0</v>
      </c>
      <c r="CU115">
        <f t="shared" si="97"/>
        <v>0</v>
      </c>
      <c r="CV115">
        <f t="shared" si="98"/>
        <v>0</v>
      </c>
      <c r="CW115">
        <f t="shared" si="99"/>
        <v>0</v>
      </c>
      <c r="CX115">
        <f t="shared" si="100"/>
        <v>0</v>
      </c>
      <c r="CY115">
        <f>(((S115+R115)*AT115)/100)</f>
        <v>0</v>
      </c>
      <c r="CZ115">
        <f>(((S115+R115)*AU115)/100)</f>
        <v>0</v>
      </c>
      <c r="DC115" t="s">
        <v>3</v>
      </c>
      <c r="DD115" t="s">
        <v>3</v>
      </c>
      <c r="DE115" t="s">
        <v>3</v>
      </c>
      <c r="DF115" t="s">
        <v>3</v>
      </c>
      <c r="DG115" t="s">
        <v>3</v>
      </c>
      <c r="DH115" t="s">
        <v>3</v>
      </c>
      <c r="DI115" t="s">
        <v>3</v>
      </c>
      <c r="DJ115" t="s">
        <v>3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1009</v>
      </c>
      <c r="DV115" t="s">
        <v>117</v>
      </c>
      <c r="DW115" t="s">
        <v>117</v>
      </c>
      <c r="DX115">
        <v>1000</v>
      </c>
      <c r="DZ115" t="s">
        <v>3</v>
      </c>
      <c r="EA115" t="s">
        <v>3</v>
      </c>
      <c r="EB115" t="s">
        <v>3</v>
      </c>
      <c r="EC115" t="s">
        <v>3</v>
      </c>
      <c r="EE115">
        <v>79401925</v>
      </c>
      <c r="EF115">
        <v>2</v>
      </c>
      <c r="EG115" t="s">
        <v>19</v>
      </c>
      <c r="EH115">
        <v>27</v>
      </c>
      <c r="EI115" t="s">
        <v>20</v>
      </c>
      <c r="EJ115">
        <v>1</v>
      </c>
      <c r="EK115">
        <v>33001</v>
      </c>
      <c r="EL115" t="s">
        <v>20</v>
      </c>
      <c r="EM115" t="s">
        <v>21</v>
      </c>
      <c r="EO115" t="s">
        <v>3</v>
      </c>
      <c r="EQ115">
        <v>32768</v>
      </c>
      <c r="ER115">
        <v>6594</v>
      </c>
      <c r="ES115">
        <v>6594</v>
      </c>
      <c r="ET115">
        <v>0</v>
      </c>
      <c r="EU115">
        <v>0</v>
      </c>
      <c r="EV115">
        <v>0</v>
      </c>
      <c r="EW115">
        <v>0</v>
      </c>
      <c r="EX115">
        <v>0</v>
      </c>
      <c r="FQ115">
        <v>0</v>
      </c>
      <c r="FR115">
        <f t="shared" si="101"/>
        <v>0</v>
      </c>
      <c r="FS115">
        <v>0</v>
      </c>
      <c r="FX115">
        <v>103</v>
      </c>
      <c r="FY115">
        <v>60</v>
      </c>
      <c r="GA115" t="s">
        <v>3</v>
      </c>
      <c r="GD115">
        <v>1</v>
      </c>
      <c r="GF115">
        <v>1308337192</v>
      </c>
      <c r="GG115">
        <v>2</v>
      </c>
      <c r="GH115">
        <v>1</v>
      </c>
      <c r="GI115">
        <v>2</v>
      </c>
      <c r="GJ115">
        <v>0</v>
      </c>
      <c r="GK115">
        <v>0</v>
      </c>
      <c r="GL115">
        <f t="shared" si="102"/>
        <v>0</v>
      </c>
      <c r="GM115">
        <f t="shared" si="103"/>
        <v>-1041.52</v>
      </c>
      <c r="GN115">
        <f t="shared" si="104"/>
        <v>-1041.52</v>
      </c>
      <c r="GO115">
        <f t="shared" si="105"/>
        <v>0</v>
      </c>
      <c r="GP115">
        <f t="shared" si="106"/>
        <v>0</v>
      </c>
      <c r="GR115">
        <v>0</v>
      </c>
      <c r="GS115">
        <v>3</v>
      </c>
      <c r="GT115">
        <v>0</v>
      </c>
      <c r="GU115" t="s">
        <v>3</v>
      </c>
      <c r="GV115">
        <f t="shared" si="107"/>
        <v>0</v>
      </c>
      <c r="GW115">
        <v>1</v>
      </c>
      <c r="GX115">
        <f t="shared" si="108"/>
        <v>0</v>
      </c>
      <c r="HA115">
        <v>0</v>
      </c>
      <c r="HB115">
        <v>0</v>
      </c>
      <c r="HC115">
        <f t="shared" si="109"/>
        <v>0</v>
      </c>
      <c r="HE115" t="s">
        <v>3</v>
      </c>
      <c r="HF115" t="s">
        <v>3</v>
      </c>
      <c r="HM115" t="s">
        <v>3</v>
      </c>
      <c r="HN115" t="s">
        <v>22</v>
      </c>
      <c r="HO115" t="s">
        <v>23</v>
      </c>
      <c r="HP115" t="s">
        <v>20</v>
      </c>
      <c r="HQ115" t="s">
        <v>20</v>
      </c>
      <c r="IK115">
        <v>0</v>
      </c>
    </row>
    <row r="116" spans="1:245" x14ac:dyDescent="0.2">
      <c r="A116">
        <v>17</v>
      </c>
      <c r="B116">
        <v>1</v>
      </c>
      <c r="E116" t="s">
        <v>269</v>
      </c>
      <c r="F116" t="s">
        <v>227</v>
      </c>
      <c r="G116" t="s">
        <v>228</v>
      </c>
      <c r="H116" t="s">
        <v>117</v>
      </c>
      <c r="I116">
        <f>ROUND(0.011115*3,9)</f>
        <v>3.3345E-2</v>
      </c>
      <c r="J116">
        <v>0</v>
      </c>
      <c r="K116">
        <f>ROUND(0.011115*3,9)</f>
        <v>3.3345E-2</v>
      </c>
      <c r="O116">
        <f t="shared" si="72"/>
        <v>2768.69</v>
      </c>
      <c r="P116">
        <f t="shared" si="73"/>
        <v>2768.69</v>
      </c>
      <c r="Q116">
        <f t="shared" si="74"/>
        <v>0</v>
      </c>
      <c r="R116">
        <f t="shared" si="75"/>
        <v>0</v>
      </c>
      <c r="S116">
        <f t="shared" si="76"/>
        <v>0</v>
      </c>
      <c r="T116">
        <f t="shared" si="77"/>
        <v>0</v>
      </c>
      <c r="U116">
        <f t="shared" si="78"/>
        <v>0</v>
      </c>
      <c r="V116">
        <f t="shared" si="79"/>
        <v>0</v>
      </c>
      <c r="W116">
        <f t="shared" si="80"/>
        <v>0</v>
      </c>
      <c r="X116">
        <f t="shared" si="81"/>
        <v>0</v>
      </c>
      <c r="Y116">
        <f t="shared" si="82"/>
        <v>0</v>
      </c>
      <c r="AA116">
        <v>84186534</v>
      </c>
      <c r="AB116">
        <f t="shared" si="83"/>
        <v>6074</v>
      </c>
      <c r="AC116">
        <f t="shared" si="84"/>
        <v>6074</v>
      </c>
      <c r="AD116">
        <f t="shared" si="85"/>
        <v>0</v>
      </c>
      <c r="AE116">
        <f t="shared" si="86"/>
        <v>0</v>
      </c>
      <c r="AF116">
        <f t="shared" si="87"/>
        <v>0</v>
      </c>
      <c r="AG116">
        <f t="shared" si="88"/>
        <v>0</v>
      </c>
      <c r="AH116">
        <f t="shared" si="89"/>
        <v>0</v>
      </c>
      <c r="AI116">
        <f t="shared" si="90"/>
        <v>0</v>
      </c>
      <c r="AJ116">
        <f t="shared" si="91"/>
        <v>0</v>
      </c>
      <c r="AK116">
        <v>6074</v>
      </c>
      <c r="AL116">
        <v>6074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13.67</v>
      </c>
      <c r="BD116" t="s">
        <v>3</v>
      </c>
      <c r="BE116" t="s">
        <v>3</v>
      </c>
      <c r="BF116" t="s">
        <v>3</v>
      </c>
      <c r="BG116" t="s">
        <v>3</v>
      </c>
      <c r="BH116">
        <v>3</v>
      </c>
      <c r="BI116">
        <v>1</v>
      </c>
      <c r="BJ116" t="s">
        <v>229</v>
      </c>
      <c r="BM116">
        <v>500001</v>
      </c>
      <c r="BN116">
        <v>0</v>
      </c>
      <c r="BO116" t="s">
        <v>227</v>
      </c>
      <c r="BP116">
        <v>1</v>
      </c>
      <c r="BQ116">
        <v>8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0</v>
      </c>
      <c r="CA116">
        <v>0</v>
      </c>
      <c r="CB116" t="s">
        <v>3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92"/>
        <v>2768.69</v>
      </c>
      <c r="CQ116">
        <f t="shared" si="93"/>
        <v>83031.58</v>
      </c>
      <c r="CR116">
        <f t="shared" si="94"/>
        <v>0</v>
      </c>
      <c r="CS116">
        <f t="shared" si="95"/>
        <v>0</v>
      </c>
      <c r="CT116">
        <f t="shared" si="96"/>
        <v>0</v>
      </c>
      <c r="CU116">
        <f t="shared" si="97"/>
        <v>0</v>
      </c>
      <c r="CV116">
        <f t="shared" si="98"/>
        <v>0</v>
      </c>
      <c r="CW116">
        <f t="shared" si="99"/>
        <v>0</v>
      </c>
      <c r="CX116">
        <f t="shared" si="100"/>
        <v>0</v>
      </c>
      <c r="CY116">
        <f>0</f>
        <v>0</v>
      </c>
      <c r="CZ116">
        <f>0</f>
        <v>0</v>
      </c>
      <c r="DC116" t="s">
        <v>3</v>
      </c>
      <c r="DD116" t="s">
        <v>3</v>
      </c>
      <c r="DE116" t="s">
        <v>3</v>
      </c>
      <c r="DF116" t="s">
        <v>3</v>
      </c>
      <c r="DG116" t="s">
        <v>3</v>
      </c>
      <c r="DH116" t="s">
        <v>3</v>
      </c>
      <c r="DI116" t="s">
        <v>3</v>
      </c>
      <c r="DJ116" t="s">
        <v>3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1009</v>
      </c>
      <c r="DV116" t="s">
        <v>117</v>
      </c>
      <c r="DW116" t="s">
        <v>117</v>
      </c>
      <c r="DX116">
        <v>1000</v>
      </c>
      <c r="DZ116" t="s">
        <v>3</v>
      </c>
      <c r="EA116" t="s">
        <v>3</v>
      </c>
      <c r="EB116" t="s">
        <v>3</v>
      </c>
      <c r="EC116" t="s">
        <v>3</v>
      </c>
      <c r="EE116">
        <v>79401762</v>
      </c>
      <c r="EF116">
        <v>8</v>
      </c>
      <c r="EG116" t="s">
        <v>157</v>
      </c>
      <c r="EH116">
        <v>0</v>
      </c>
      <c r="EI116" t="s">
        <v>3</v>
      </c>
      <c r="EJ116">
        <v>1</v>
      </c>
      <c r="EK116">
        <v>500001</v>
      </c>
      <c r="EL116" t="s">
        <v>158</v>
      </c>
      <c r="EM116" t="s">
        <v>159</v>
      </c>
      <c r="EO116" t="s">
        <v>3</v>
      </c>
      <c r="EQ116">
        <v>0</v>
      </c>
      <c r="ER116">
        <v>6074</v>
      </c>
      <c r="ES116">
        <v>6074</v>
      </c>
      <c r="ET116">
        <v>0</v>
      </c>
      <c r="EU116">
        <v>0</v>
      </c>
      <c r="EV116">
        <v>0</v>
      </c>
      <c r="EW116">
        <v>0</v>
      </c>
      <c r="EX116">
        <v>0</v>
      </c>
      <c r="EY116">
        <v>0</v>
      </c>
      <c r="FQ116">
        <v>0</v>
      </c>
      <c r="FR116">
        <f t="shared" si="101"/>
        <v>0</v>
      </c>
      <c r="FS116">
        <v>0</v>
      </c>
      <c r="FX116">
        <v>0</v>
      </c>
      <c r="FY116">
        <v>0</v>
      </c>
      <c r="GA116" t="s">
        <v>3</v>
      </c>
      <c r="GD116">
        <v>1</v>
      </c>
      <c r="GF116">
        <v>-362657570</v>
      </c>
      <c r="GG116">
        <v>2</v>
      </c>
      <c r="GH116">
        <v>1</v>
      </c>
      <c r="GI116">
        <v>2</v>
      </c>
      <c r="GJ116">
        <v>0</v>
      </c>
      <c r="GK116">
        <v>0</v>
      </c>
      <c r="GL116">
        <f t="shared" si="102"/>
        <v>0</v>
      </c>
      <c r="GM116">
        <f t="shared" si="103"/>
        <v>2768.69</v>
      </c>
      <c r="GN116">
        <f t="shared" si="104"/>
        <v>2768.69</v>
      </c>
      <c r="GO116">
        <f t="shared" si="105"/>
        <v>0</v>
      </c>
      <c r="GP116">
        <f t="shared" si="106"/>
        <v>0</v>
      </c>
      <c r="GR116">
        <v>0</v>
      </c>
      <c r="GS116">
        <v>3</v>
      </c>
      <c r="GT116">
        <v>0</v>
      </c>
      <c r="GU116" t="s">
        <v>3</v>
      </c>
      <c r="GV116">
        <f t="shared" si="107"/>
        <v>0</v>
      </c>
      <c r="GW116">
        <v>1</v>
      </c>
      <c r="GX116">
        <f t="shared" si="108"/>
        <v>0</v>
      </c>
      <c r="HA116">
        <v>0</v>
      </c>
      <c r="HB116">
        <v>0</v>
      </c>
      <c r="HC116">
        <f t="shared" si="109"/>
        <v>0</v>
      </c>
      <c r="HE116" t="s">
        <v>3</v>
      </c>
      <c r="HF116" t="s">
        <v>3</v>
      </c>
      <c r="HM116" t="s">
        <v>3</v>
      </c>
      <c r="HN116" t="s">
        <v>3</v>
      </c>
      <c r="HO116" t="s">
        <v>3</v>
      </c>
      <c r="HP116" t="s">
        <v>3</v>
      </c>
      <c r="HQ116" t="s">
        <v>3</v>
      </c>
      <c r="IK116">
        <v>0</v>
      </c>
    </row>
    <row r="117" spans="1:245" x14ac:dyDescent="0.2">
      <c r="A117">
        <v>17</v>
      </c>
      <c r="B117">
        <v>1</v>
      </c>
      <c r="C117">
        <f>ROW(SmtRes!A86)</f>
        <v>86</v>
      </c>
      <c r="D117">
        <f>ROW(EtalonRes!A86)</f>
        <v>86</v>
      </c>
      <c r="E117" t="s">
        <v>270</v>
      </c>
      <c r="F117" t="s">
        <v>271</v>
      </c>
      <c r="G117" t="s">
        <v>272</v>
      </c>
      <c r="H117" t="s">
        <v>273</v>
      </c>
      <c r="I117">
        <v>6</v>
      </c>
      <c r="J117">
        <v>0</v>
      </c>
      <c r="K117">
        <v>6</v>
      </c>
      <c r="O117">
        <f t="shared" si="72"/>
        <v>3089.65</v>
      </c>
      <c r="P117">
        <f t="shared" si="73"/>
        <v>0</v>
      </c>
      <c r="Q117">
        <f t="shared" si="74"/>
        <v>0</v>
      </c>
      <c r="R117">
        <f t="shared" si="75"/>
        <v>0</v>
      </c>
      <c r="S117">
        <f t="shared" si="76"/>
        <v>3089.65</v>
      </c>
      <c r="T117">
        <f t="shared" si="77"/>
        <v>0</v>
      </c>
      <c r="U117">
        <f t="shared" si="78"/>
        <v>7.32</v>
      </c>
      <c r="V117">
        <f t="shared" si="79"/>
        <v>0</v>
      </c>
      <c r="W117">
        <f t="shared" si="80"/>
        <v>0</v>
      </c>
      <c r="X117">
        <f t="shared" si="81"/>
        <v>2286.34</v>
      </c>
      <c r="Y117">
        <f t="shared" si="82"/>
        <v>1112.27</v>
      </c>
      <c r="AA117">
        <v>84186534</v>
      </c>
      <c r="AB117">
        <f t="shared" si="83"/>
        <v>14.6</v>
      </c>
      <c r="AC117">
        <f t="shared" si="84"/>
        <v>0</v>
      </c>
      <c r="AD117">
        <f t="shared" si="85"/>
        <v>0</v>
      </c>
      <c r="AE117">
        <f t="shared" si="86"/>
        <v>0</v>
      </c>
      <c r="AF117">
        <f t="shared" si="87"/>
        <v>14.6</v>
      </c>
      <c r="AG117">
        <f t="shared" si="88"/>
        <v>0</v>
      </c>
      <c r="AH117">
        <f t="shared" si="89"/>
        <v>1.22</v>
      </c>
      <c r="AI117">
        <f t="shared" si="90"/>
        <v>0</v>
      </c>
      <c r="AJ117">
        <f t="shared" si="91"/>
        <v>0</v>
      </c>
      <c r="AK117">
        <v>14.6</v>
      </c>
      <c r="AL117">
        <v>0</v>
      </c>
      <c r="AM117">
        <v>0</v>
      </c>
      <c r="AN117">
        <v>0</v>
      </c>
      <c r="AO117">
        <v>14.6</v>
      </c>
      <c r="AP117">
        <v>0</v>
      </c>
      <c r="AQ117">
        <v>1.22</v>
      </c>
      <c r="AR117">
        <v>0</v>
      </c>
      <c r="AS117">
        <v>0</v>
      </c>
      <c r="AT117">
        <v>74</v>
      </c>
      <c r="AU117">
        <v>36</v>
      </c>
      <c r="AV117">
        <v>1</v>
      </c>
      <c r="AW117">
        <v>1</v>
      </c>
      <c r="AZ117">
        <v>1</v>
      </c>
      <c r="BA117">
        <v>35.270000000000003</v>
      </c>
      <c r="BB117">
        <v>1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4</v>
      </c>
      <c r="BJ117" t="s">
        <v>274</v>
      </c>
      <c r="BM117">
        <v>200001</v>
      </c>
      <c r="BN117">
        <v>0</v>
      </c>
      <c r="BO117" t="s">
        <v>3</v>
      </c>
      <c r="BP117">
        <v>0</v>
      </c>
      <c r="BQ117">
        <v>4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74</v>
      </c>
      <c r="CA117">
        <v>36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92"/>
        <v>3089.65</v>
      </c>
      <c r="CQ117">
        <f t="shared" si="93"/>
        <v>0</v>
      </c>
      <c r="CR117">
        <f t="shared" si="94"/>
        <v>0</v>
      </c>
      <c r="CS117">
        <f t="shared" si="95"/>
        <v>0</v>
      </c>
      <c r="CT117">
        <f t="shared" si="96"/>
        <v>514.94200000000001</v>
      </c>
      <c r="CU117">
        <f t="shared" si="97"/>
        <v>0</v>
      </c>
      <c r="CV117">
        <f t="shared" si="98"/>
        <v>1.22</v>
      </c>
      <c r="CW117">
        <f t="shared" si="99"/>
        <v>0</v>
      </c>
      <c r="CX117">
        <f t="shared" si="100"/>
        <v>0</v>
      </c>
      <c r="CY117">
        <f>(((S117+R117)*AT117)/100)</f>
        <v>2286.3409999999999</v>
      </c>
      <c r="CZ117">
        <f>(((S117+R117)*AU117)/100)</f>
        <v>1112.2740000000001</v>
      </c>
      <c r="DC117" t="s">
        <v>3</v>
      </c>
      <c r="DD117" t="s">
        <v>3</v>
      </c>
      <c r="DE117" t="s">
        <v>3</v>
      </c>
      <c r="DF117" t="s">
        <v>3</v>
      </c>
      <c r="DG117" t="s">
        <v>3</v>
      </c>
      <c r="DH117" t="s">
        <v>3</v>
      </c>
      <c r="DI117" t="s">
        <v>3</v>
      </c>
      <c r="DJ117" t="s">
        <v>3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1013</v>
      </c>
      <c r="DV117" t="s">
        <v>273</v>
      </c>
      <c r="DW117" t="s">
        <v>273</v>
      </c>
      <c r="DX117">
        <v>1</v>
      </c>
      <c r="DZ117" t="s">
        <v>3</v>
      </c>
      <c r="EA117" t="s">
        <v>3</v>
      </c>
      <c r="EB117" t="s">
        <v>3</v>
      </c>
      <c r="EC117" t="s">
        <v>3</v>
      </c>
      <c r="EE117">
        <v>79401751</v>
      </c>
      <c r="EF117">
        <v>4</v>
      </c>
      <c r="EG117" t="s">
        <v>275</v>
      </c>
      <c r="EH117">
        <v>83</v>
      </c>
      <c r="EI117" t="s">
        <v>275</v>
      </c>
      <c r="EJ117">
        <v>4</v>
      </c>
      <c r="EK117">
        <v>200001</v>
      </c>
      <c r="EL117" t="s">
        <v>276</v>
      </c>
      <c r="EM117" t="s">
        <v>277</v>
      </c>
      <c r="EO117" t="s">
        <v>3</v>
      </c>
      <c r="EQ117">
        <v>0</v>
      </c>
      <c r="ER117">
        <v>14.6</v>
      </c>
      <c r="ES117">
        <v>0</v>
      </c>
      <c r="ET117">
        <v>0</v>
      </c>
      <c r="EU117">
        <v>0</v>
      </c>
      <c r="EV117">
        <v>14.6</v>
      </c>
      <c r="EW117">
        <v>1.22</v>
      </c>
      <c r="EX117">
        <v>0</v>
      </c>
      <c r="EY117">
        <v>0</v>
      </c>
      <c r="FQ117">
        <v>0</v>
      </c>
      <c r="FR117">
        <f t="shared" si="101"/>
        <v>0</v>
      </c>
      <c r="FS117">
        <v>0</v>
      </c>
      <c r="FX117">
        <v>74</v>
      </c>
      <c r="FY117">
        <v>36</v>
      </c>
      <c r="GA117" t="s">
        <v>3</v>
      </c>
      <c r="GD117">
        <v>1</v>
      </c>
      <c r="GF117">
        <v>-1564589165</v>
      </c>
      <c r="GG117">
        <v>2</v>
      </c>
      <c r="GH117">
        <v>1</v>
      </c>
      <c r="GI117">
        <v>2</v>
      </c>
      <c r="GJ117">
        <v>0</v>
      </c>
      <c r="GK117">
        <v>0</v>
      </c>
      <c r="GL117">
        <f t="shared" si="102"/>
        <v>0</v>
      </c>
      <c r="GM117">
        <f t="shared" si="103"/>
        <v>6488.26</v>
      </c>
      <c r="GN117">
        <f t="shared" si="104"/>
        <v>0</v>
      </c>
      <c r="GO117">
        <f t="shared" si="105"/>
        <v>0</v>
      </c>
      <c r="GP117">
        <f t="shared" si="106"/>
        <v>6488.26</v>
      </c>
      <c r="GR117">
        <v>0</v>
      </c>
      <c r="GS117">
        <v>3</v>
      </c>
      <c r="GT117">
        <v>0</v>
      </c>
      <c r="GU117" t="s">
        <v>3</v>
      </c>
      <c r="GV117">
        <f t="shared" si="107"/>
        <v>0</v>
      </c>
      <c r="GW117">
        <v>1</v>
      </c>
      <c r="GX117">
        <f t="shared" si="108"/>
        <v>0</v>
      </c>
      <c r="HA117">
        <v>0</v>
      </c>
      <c r="HB117">
        <v>0</v>
      </c>
      <c r="HC117">
        <f t="shared" si="109"/>
        <v>0</v>
      </c>
      <c r="HE117" t="s">
        <v>3</v>
      </c>
      <c r="HF117" t="s">
        <v>3</v>
      </c>
      <c r="HM117" t="s">
        <v>3</v>
      </c>
      <c r="HN117" t="s">
        <v>278</v>
      </c>
      <c r="HO117" t="s">
        <v>279</v>
      </c>
      <c r="HP117" t="s">
        <v>275</v>
      </c>
      <c r="HQ117" t="s">
        <v>275</v>
      </c>
      <c r="IK117">
        <v>0</v>
      </c>
    </row>
    <row r="118" spans="1:245" x14ac:dyDescent="0.2">
      <c r="A118">
        <v>17</v>
      </c>
      <c r="B118">
        <v>1</v>
      </c>
      <c r="C118">
        <f>ROW(SmtRes!A88)</f>
        <v>88</v>
      </c>
      <c r="D118">
        <f>ROW(EtalonRes!A88)</f>
        <v>88</v>
      </c>
      <c r="E118" t="s">
        <v>280</v>
      </c>
      <c r="F118" t="s">
        <v>281</v>
      </c>
      <c r="G118" t="s">
        <v>282</v>
      </c>
      <c r="H118" t="s">
        <v>283</v>
      </c>
      <c r="I118">
        <f>ROUND(40/100,9)</f>
        <v>0.4</v>
      </c>
      <c r="J118">
        <v>0</v>
      </c>
      <c r="K118">
        <f>ROUND(40/100,9)</f>
        <v>0.4</v>
      </c>
      <c r="O118">
        <f t="shared" si="72"/>
        <v>2188.5700000000002</v>
      </c>
      <c r="P118">
        <f t="shared" si="73"/>
        <v>0</v>
      </c>
      <c r="Q118">
        <f t="shared" si="74"/>
        <v>0</v>
      </c>
      <c r="R118">
        <f t="shared" si="75"/>
        <v>0</v>
      </c>
      <c r="S118">
        <f t="shared" si="76"/>
        <v>2188.5700000000002</v>
      </c>
      <c r="T118">
        <f t="shared" si="77"/>
        <v>0</v>
      </c>
      <c r="U118">
        <f t="shared" si="78"/>
        <v>5.1840000000000011</v>
      </c>
      <c r="V118">
        <f t="shared" si="79"/>
        <v>0</v>
      </c>
      <c r="W118">
        <f t="shared" si="80"/>
        <v>0</v>
      </c>
      <c r="X118">
        <f t="shared" si="81"/>
        <v>1619.54</v>
      </c>
      <c r="Y118">
        <f t="shared" si="82"/>
        <v>787.89</v>
      </c>
      <c r="AA118">
        <v>84186534</v>
      </c>
      <c r="AB118">
        <f t="shared" si="83"/>
        <v>155.13</v>
      </c>
      <c r="AC118">
        <f t="shared" si="84"/>
        <v>0</v>
      </c>
      <c r="AD118">
        <f t="shared" si="85"/>
        <v>0</v>
      </c>
      <c r="AE118">
        <f t="shared" si="86"/>
        <v>0</v>
      </c>
      <c r="AF118">
        <f t="shared" si="87"/>
        <v>155.13</v>
      </c>
      <c r="AG118">
        <f t="shared" si="88"/>
        <v>0</v>
      </c>
      <c r="AH118">
        <f t="shared" si="89"/>
        <v>12.96</v>
      </c>
      <c r="AI118">
        <f t="shared" si="90"/>
        <v>0</v>
      </c>
      <c r="AJ118">
        <f t="shared" si="91"/>
        <v>0</v>
      </c>
      <c r="AK118">
        <v>155.13</v>
      </c>
      <c r="AL118">
        <v>0</v>
      </c>
      <c r="AM118">
        <v>0</v>
      </c>
      <c r="AN118">
        <v>0</v>
      </c>
      <c r="AO118">
        <v>155.13</v>
      </c>
      <c r="AP118">
        <v>0</v>
      </c>
      <c r="AQ118">
        <v>12.96</v>
      </c>
      <c r="AR118">
        <v>0</v>
      </c>
      <c r="AS118">
        <v>0</v>
      </c>
      <c r="AT118">
        <v>74</v>
      </c>
      <c r="AU118">
        <v>36</v>
      </c>
      <c r="AV118">
        <v>1</v>
      </c>
      <c r="AW118">
        <v>1</v>
      </c>
      <c r="AZ118">
        <v>1</v>
      </c>
      <c r="BA118">
        <v>35.270000000000003</v>
      </c>
      <c r="BB118">
        <v>1</v>
      </c>
      <c r="BC118">
        <v>1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4</v>
      </c>
      <c r="BJ118" t="s">
        <v>284</v>
      </c>
      <c r="BM118">
        <v>200001</v>
      </c>
      <c r="BN118">
        <v>0</v>
      </c>
      <c r="BO118" t="s">
        <v>3</v>
      </c>
      <c r="BP118">
        <v>0</v>
      </c>
      <c r="BQ118">
        <v>4</v>
      </c>
      <c r="BR118">
        <v>0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74</v>
      </c>
      <c r="CA118">
        <v>36</v>
      </c>
      <c r="CB118" t="s">
        <v>3</v>
      </c>
      <c r="CE118">
        <v>0</v>
      </c>
      <c r="CF118">
        <v>0</v>
      </c>
      <c r="CG118">
        <v>0</v>
      </c>
      <c r="CM118">
        <v>0</v>
      </c>
      <c r="CN118" t="s">
        <v>3</v>
      </c>
      <c r="CO118">
        <v>0</v>
      </c>
      <c r="CP118">
        <f t="shared" si="92"/>
        <v>2188.5700000000002</v>
      </c>
      <c r="CQ118">
        <f t="shared" si="93"/>
        <v>0</v>
      </c>
      <c r="CR118">
        <f t="shared" si="94"/>
        <v>0</v>
      </c>
      <c r="CS118">
        <f t="shared" si="95"/>
        <v>0</v>
      </c>
      <c r="CT118">
        <f t="shared" si="96"/>
        <v>5471.4351000000006</v>
      </c>
      <c r="CU118">
        <f t="shared" si="97"/>
        <v>0</v>
      </c>
      <c r="CV118">
        <f t="shared" si="98"/>
        <v>12.96</v>
      </c>
      <c r="CW118">
        <f t="shared" si="99"/>
        <v>0</v>
      </c>
      <c r="CX118">
        <f t="shared" si="100"/>
        <v>0</v>
      </c>
      <c r="CY118">
        <f>(((S118+R118)*AT118)/100)</f>
        <v>1619.5418000000002</v>
      </c>
      <c r="CZ118">
        <f>(((S118+R118)*AU118)/100)</f>
        <v>787.88520000000005</v>
      </c>
      <c r="DC118" t="s">
        <v>3</v>
      </c>
      <c r="DD118" t="s">
        <v>3</v>
      </c>
      <c r="DE118" t="s">
        <v>3</v>
      </c>
      <c r="DF118" t="s">
        <v>3</v>
      </c>
      <c r="DG118" t="s">
        <v>3</v>
      </c>
      <c r="DH118" t="s">
        <v>3</v>
      </c>
      <c r="DI118" t="s">
        <v>3</v>
      </c>
      <c r="DJ118" t="s">
        <v>3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1013</v>
      </c>
      <c r="DV118" t="s">
        <v>283</v>
      </c>
      <c r="DW118" t="s">
        <v>283</v>
      </c>
      <c r="DX118">
        <v>1</v>
      </c>
      <c r="DZ118" t="s">
        <v>3</v>
      </c>
      <c r="EA118" t="s">
        <v>3</v>
      </c>
      <c r="EB118" t="s">
        <v>3</v>
      </c>
      <c r="EC118" t="s">
        <v>3</v>
      </c>
      <c r="EE118">
        <v>79401751</v>
      </c>
      <c r="EF118">
        <v>4</v>
      </c>
      <c r="EG118" t="s">
        <v>275</v>
      </c>
      <c r="EH118">
        <v>83</v>
      </c>
      <c r="EI118" t="s">
        <v>275</v>
      </c>
      <c r="EJ118">
        <v>4</v>
      </c>
      <c r="EK118">
        <v>200001</v>
      </c>
      <c r="EL118" t="s">
        <v>276</v>
      </c>
      <c r="EM118" t="s">
        <v>277</v>
      </c>
      <c r="EO118" t="s">
        <v>3</v>
      </c>
      <c r="EQ118">
        <v>0</v>
      </c>
      <c r="ER118">
        <v>155.13</v>
      </c>
      <c r="ES118">
        <v>0</v>
      </c>
      <c r="ET118">
        <v>0</v>
      </c>
      <c r="EU118">
        <v>0</v>
      </c>
      <c r="EV118">
        <v>155.13</v>
      </c>
      <c r="EW118">
        <v>12.96</v>
      </c>
      <c r="EX118">
        <v>0</v>
      </c>
      <c r="EY118">
        <v>0</v>
      </c>
      <c r="FQ118">
        <v>0</v>
      </c>
      <c r="FR118">
        <f t="shared" si="101"/>
        <v>0</v>
      </c>
      <c r="FS118">
        <v>0</v>
      </c>
      <c r="FX118">
        <v>74</v>
      </c>
      <c r="FY118">
        <v>36</v>
      </c>
      <c r="GA118" t="s">
        <v>3</v>
      </c>
      <c r="GD118">
        <v>1</v>
      </c>
      <c r="GF118">
        <v>662934417</v>
      </c>
      <c r="GG118">
        <v>2</v>
      </c>
      <c r="GH118">
        <v>1</v>
      </c>
      <c r="GI118">
        <v>2</v>
      </c>
      <c r="GJ118">
        <v>0</v>
      </c>
      <c r="GK118">
        <v>0</v>
      </c>
      <c r="GL118">
        <f t="shared" si="102"/>
        <v>0</v>
      </c>
      <c r="GM118">
        <f t="shared" si="103"/>
        <v>4596</v>
      </c>
      <c r="GN118">
        <f t="shared" si="104"/>
        <v>0</v>
      </c>
      <c r="GO118">
        <f t="shared" si="105"/>
        <v>0</v>
      </c>
      <c r="GP118">
        <f t="shared" si="106"/>
        <v>4596</v>
      </c>
      <c r="GR118">
        <v>0</v>
      </c>
      <c r="GS118">
        <v>3</v>
      </c>
      <c r="GT118">
        <v>0</v>
      </c>
      <c r="GU118" t="s">
        <v>3</v>
      </c>
      <c r="GV118">
        <f t="shared" si="107"/>
        <v>0</v>
      </c>
      <c r="GW118">
        <v>1</v>
      </c>
      <c r="GX118">
        <f t="shared" si="108"/>
        <v>0</v>
      </c>
      <c r="HA118">
        <v>0</v>
      </c>
      <c r="HB118">
        <v>0</v>
      </c>
      <c r="HC118">
        <f t="shared" si="109"/>
        <v>0</v>
      </c>
      <c r="HE118" t="s">
        <v>3</v>
      </c>
      <c r="HF118" t="s">
        <v>3</v>
      </c>
      <c r="HM118" t="s">
        <v>3</v>
      </c>
      <c r="HN118" t="s">
        <v>278</v>
      </c>
      <c r="HO118" t="s">
        <v>279</v>
      </c>
      <c r="HP118" t="s">
        <v>275</v>
      </c>
      <c r="HQ118" t="s">
        <v>275</v>
      </c>
      <c r="IK118">
        <v>0</v>
      </c>
    </row>
    <row r="120" spans="1:245" x14ac:dyDescent="0.2">
      <c r="A120" s="2">
        <v>51</v>
      </c>
      <c r="B120" s="2">
        <f>B69</f>
        <v>1</v>
      </c>
      <c r="C120" s="2">
        <f>A69</f>
        <v>4</v>
      </c>
      <c r="D120" s="2">
        <f>ROW(A69)</f>
        <v>69</v>
      </c>
      <c r="E120" s="2"/>
      <c r="F120" s="2" t="str">
        <f>IF(F69&lt;&gt;"",F69,"")</f>
        <v>Новый раздел</v>
      </c>
      <c r="G120" s="2" t="str">
        <f>IF(G69&lt;&gt;"",G69,"")</f>
        <v>Монтаж реклоузера</v>
      </c>
      <c r="H120" s="2">
        <v>0</v>
      </c>
      <c r="I120" s="2"/>
      <c r="J120" s="2"/>
      <c r="K120" s="2"/>
      <c r="L120" s="2"/>
      <c r="M120" s="2"/>
      <c r="N120" s="2"/>
      <c r="O120" s="2">
        <f t="shared" ref="O120:T120" si="110">ROUND(AB120,2)</f>
        <v>119053.26</v>
      </c>
      <c r="P120" s="2">
        <f t="shared" si="110"/>
        <v>74534.429999999993</v>
      </c>
      <c r="Q120" s="2">
        <f t="shared" si="110"/>
        <v>22634.89</v>
      </c>
      <c r="R120" s="2">
        <f t="shared" si="110"/>
        <v>5368.75</v>
      </c>
      <c r="S120" s="2">
        <f t="shared" si="110"/>
        <v>21883.94</v>
      </c>
      <c r="T120" s="2">
        <f t="shared" si="110"/>
        <v>0</v>
      </c>
      <c r="U120" s="2">
        <f>AH120</f>
        <v>67.758212</v>
      </c>
      <c r="V120" s="2">
        <f>AI120</f>
        <v>15.3593204</v>
      </c>
      <c r="W120" s="2">
        <f>ROUND(AJ120,2)</f>
        <v>0</v>
      </c>
      <c r="X120" s="2">
        <f>ROUND(AK120,2)</f>
        <v>26253.64</v>
      </c>
      <c r="Y120" s="2">
        <f>ROUND(AL120,2)</f>
        <v>14671.84</v>
      </c>
      <c r="Z120" s="2"/>
      <c r="AA120" s="2"/>
      <c r="AB120" s="2">
        <f>ROUND(SUMIF(AA73:AA118,"=84186534",O73:O118),2)</f>
        <v>119053.26</v>
      </c>
      <c r="AC120" s="2">
        <f>ROUND(SUMIF(AA73:AA118,"=84186534",P73:P118),2)</f>
        <v>74534.429999999993</v>
      </c>
      <c r="AD120" s="2">
        <f>ROUND(SUMIF(AA73:AA118,"=84186534",Q73:Q118),2)</f>
        <v>22634.89</v>
      </c>
      <c r="AE120" s="2">
        <f>ROUND(SUMIF(AA73:AA118,"=84186534",R73:R118),2)</f>
        <v>5368.75</v>
      </c>
      <c r="AF120" s="2">
        <f>ROUND(SUMIF(AA73:AA118,"=84186534",S73:S118),2)</f>
        <v>21883.94</v>
      </c>
      <c r="AG120" s="2">
        <f>ROUND(SUMIF(AA73:AA118,"=84186534",T73:T118),2)</f>
        <v>0</v>
      </c>
      <c r="AH120" s="2">
        <f>SUMIF(AA73:AA118,"=84186534",U73:U118)</f>
        <v>67.758212</v>
      </c>
      <c r="AI120" s="2">
        <f>SUMIF(AA73:AA118,"=84186534",V73:V118)</f>
        <v>15.3593204</v>
      </c>
      <c r="AJ120" s="2">
        <f>ROUND(SUMIF(AA73:AA118,"=84186534",W73:W118),2)</f>
        <v>0</v>
      </c>
      <c r="AK120" s="2">
        <f>ROUND(SUMIF(AA73:AA118,"=84186534",X73:X118),2)</f>
        <v>26253.64</v>
      </c>
      <c r="AL120" s="2">
        <f>ROUND(SUMIF(AA73:AA118,"=84186534",Y73:Y118),2)</f>
        <v>14671.84</v>
      </c>
      <c r="AM120" s="2"/>
      <c r="AN120" s="2"/>
      <c r="AO120" s="2">
        <f t="shared" ref="AO120:BD120" si="111">ROUND(BX120,2)</f>
        <v>0</v>
      </c>
      <c r="AP120" s="2">
        <f t="shared" si="111"/>
        <v>0</v>
      </c>
      <c r="AQ120" s="2">
        <f t="shared" si="111"/>
        <v>0</v>
      </c>
      <c r="AR120" s="2">
        <f t="shared" si="111"/>
        <v>159978.74</v>
      </c>
      <c r="AS120" s="2">
        <f t="shared" si="111"/>
        <v>138489.82999999999</v>
      </c>
      <c r="AT120" s="2">
        <f t="shared" si="111"/>
        <v>10404.65</v>
      </c>
      <c r="AU120" s="2">
        <f t="shared" si="111"/>
        <v>11084.26</v>
      </c>
      <c r="AV120" s="2">
        <f t="shared" si="111"/>
        <v>74534.429999999993</v>
      </c>
      <c r="AW120" s="2">
        <f t="shared" si="111"/>
        <v>74534.429999999993</v>
      </c>
      <c r="AX120" s="2">
        <f t="shared" si="111"/>
        <v>0</v>
      </c>
      <c r="AY120" s="2">
        <f t="shared" si="111"/>
        <v>74534.429999999993</v>
      </c>
      <c r="AZ120" s="2">
        <f t="shared" si="111"/>
        <v>0</v>
      </c>
      <c r="BA120" s="2">
        <f t="shared" si="111"/>
        <v>0</v>
      </c>
      <c r="BB120" s="2">
        <f t="shared" si="111"/>
        <v>0</v>
      </c>
      <c r="BC120" s="2">
        <f t="shared" si="111"/>
        <v>0</v>
      </c>
      <c r="BD120" s="2">
        <f t="shared" si="111"/>
        <v>0</v>
      </c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>
        <f>ROUND(SUMIF(AA73:AA118,"=84186534",FQ73:FQ118),2)</f>
        <v>0</v>
      </c>
      <c r="BY120" s="2">
        <f>ROUND(SUMIF(AA73:AA118,"=84186534",FR73:FR118),2)</f>
        <v>0</v>
      </c>
      <c r="BZ120" s="2">
        <f>ROUND(SUMIF(AA73:AA118,"=84186534",GL73:GL118),2)</f>
        <v>0</v>
      </c>
      <c r="CA120" s="2">
        <f>ROUND(SUMIF(AA73:AA118,"=84186534",GM73:GM118),2)</f>
        <v>159978.74</v>
      </c>
      <c r="CB120" s="2">
        <f>ROUND(SUMIF(AA73:AA118,"=84186534",GN73:GN118),2)</f>
        <v>138489.82999999999</v>
      </c>
      <c r="CC120" s="2">
        <f>ROUND(SUMIF(AA73:AA118,"=84186534",GO73:GO118),2)</f>
        <v>10404.65</v>
      </c>
      <c r="CD120" s="2">
        <f>ROUND(SUMIF(AA73:AA118,"=84186534",GP73:GP118),2)</f>
        <v>11084.26</v>
      </c>
      <c r="CE120" s="2">
        <f>AC120-BX120</f>
        <v>74534.429999999993</v>
      </c>
      <c r="CF120" s="2">
        <f>AC120-BY120</f>
        <v>74534.429999999993</v>
      </c>
      <c r="CG120" s="2">
        <f>BX120-BZ120</f>
        <v>0</v>
      </c>
      <c r="CH120" s="2">
        <f>AC120-BX120-BY120+BZ120</f>
        <v>74534.429999999993</v>
      </c>
      <c r="CI120" s="2">
        <f>BY120-BZ120</f>
        <v>0</v>
      </c>
      <c r="CJ120" s="2">
        <f>ROUND(SUMIF(AA73:AA118,"=84186534",GX73:GX118),2)</f>
        <v>0</v>
      </c>
      <c r="CK120" s="2">
        <f>ROUND(SUMIF(AA73:AA118,"=84186534",GY73:GY118),2)</f>
        <v>0</v>
      </c>
      <c r="CL120" s="2">
        <f>ROUND(SUMIF(AA73:AA118,"=84186534",GZ73:GZ118),2)</f>
        <v>0</v>
      </c>
      <c r="CM120" s="2">
        <f>ROUND(SUMIF(AA73:AA118,"=84186534",HD73:HD118),2)</f>
        <v>0</v>
      </c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>
        <v>0</v>
      </c>
    </row>
    <row r="122" spans="1:245" x14ac:dyDescent="0.2">
      <c r="A122" s="4">
        <v>50</v>
      </c>
      <c r="B122" s="4">
        <v>0</v>
      </c>
      <c r="C122" s="4">
        <v>0</v>
      </c>
      <c r="D122" s="4">
        <v>1</v>
      </c>
      <c r="E122" s="4">
        <v>201</v>
      </c>
      <c r="F122" s="4">
        <f>ROUND(Source!O120,O122)</f>
        <v>119053.26</v>
      </c>
      <c r="G122" s="4" t="s">
        <v>24</v>
      </c>
      <c r="H122" s="4" t="s">
        <v>25</v>
      </c>
      <c r="I122" s="4"/>
      <c r="J122" s="4"/>
      <c r="K122" s="4">
        <v>201</v>
      </c>
      <c r="L122" s="4">
        <v>1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119053.26</v>
      </c>
      <c r="X122" s="4">
        <v>1</v>
      </c>
      <c r="Y122" s="4">
        <v>119053.26</v>
      </c>
      <c r="Z122" s="4"/>
      <c r="AA122" s="4"/>
      <c r="AB122" s="4"/>
    </row>
    <row r="123" spans="1:245" x14ac:dyDescent="0.2">
      <c r="A123" s="4">
        <v>50</v>
      </c>
      <c r="B123" s="4">
        <v>0</v>
      </c>
      <c r="C123" s="4">
        <v>0</v>
      </c>
      <c r="D123" s="4">
        <v>1</v>
      </c>
      <c r="E123" s="4">
        <v>0</v>
      </c>
      <c r="F123" s="4">
        <f>ROUND(Source!P120,O123)</f>
        <v>74534.429999999993</v>
      </c>
      <c r="G123" s="4" t="s">
        <v>26</v>
      </c>
      <c r="H123" s="4" t="s">
        <v>27</v>
      </c>
      <c r="I123" s="4"/>
      <c r="J123" s="4"/>
      <c r="K123" s="4">
        <v>202</v>
      </c>
      <c r="L123" s="4">
        <v>2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74534.429999999993</v>
      </c>
      <c r="X123" s="4">
        <v>1</v>
      </c>
      <c r="Y123" s="4">
        <v>74534.429999999993</v>
      </c>
      <c r="Z123" s="4"/>
      <c r="AA123" s="4"/>
      <c r="AB123" s="4"/>
    </row>
    <row r="124" spans="1:245" x14ac:dyDescent="0.2">
      <c r="A124" s="4">
        <v>50</v>
      </c>
      <c r="B124" s="4">
        <v>0</v>
      </c>
      <c r="C124" s="4">
        <v>0</v>
      </c>
      <c r="D124" s="4">
        <v>1</v>
      </c>
      <c r="E124" s="4">
        <v>222</v>
      </c>
      <c r="F124" s="4">
        <f>ROUND(Source!AO120,O124)</f>
        <v>0</v>
      </c>
      <c r="G124" s="4" t="s">
        <v>28</v>
      </c>
      <c r="H124" s="4" t="s">
        <v>29</v>
      </c>
      <c r="I124" s="4"/>
      <c r="J124" s="4"/>
      <c r="K124" s="4">
        <v>222</v>
      </c>
      <c r="L124" s="4">
        <v>3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45" x14ac:dyDescent="0.2">
      <c r="A125" s="4">
        <v>50</v>
      </c>
      <c r="B125" s="4">
        <v>0</v>
      </c>
      <c r="C125" s="4">
        <v>0</v>
      </c>
      <c r="D125" s="4">
        <v>1</v>
      </c>
      <c r="E125" s="4">
        <v>225</v>
      </c>
      <c r="F125" s="4">
        <f>ROUND(Source!AV120,O125)</f>
        <v>74534.429999999993</v>
      </c>
      <c r="G125" s="4" t="s">
        <v>30</v>
      </c>
      <c r="H125" s="4" t="s">
        <v>31</v>
      </c>
      <c r="I125" s="4"/>
      <c r="J125" s="4"/>
      <c r="K125" s="4">
        <v>225</v>
      </c>
      <c r="L125" s="4">
        <v>4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74534.429999999993</v>
      </c>
      <c r="X125" s="4">
        <v>1</v>
      </c>
      <c r="Y125" s="4">
        <v>74534.429999999993</v>
      </c>
      <c r="Z125" s="4"/>
      <c r="AA125" s="4"/>
      <c r="AB125" s="4"/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226</v>
      </c>
      <c r="F126" s="4">
        <f>ROUND(Source!AW120,O126)</f>
        <v>74534.429999999993</v>
      </c>
      <c r="G126" s="4" t="s">
        <v>32</v>
      </c>
      <c r="H126" s="4" t="s">
        <v>33</v>
      </c>
      <c r="I126" s="4"/>
      <c r="J126" s="4"/>
      <c r="K126" s="4">
        <v>226</v>
      </c>
      <c r="L126" s="4">
        <v>5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74534.429999999993</v>
      </c>
      <c r="X126" s="4">
        <v>1</v>
      </c>
      <c r="Y126" s="4">
        <v>74534.429999999993</v>
      </c>
      <c r="Z126" s="4"/>
      <c r="AA126" s="4"/>
      <c r="AB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227</v>
      </c>
      <c r="F127" s="4">
        <f>ROUND(Source!AX120,O127)</f>
        <v>0</v>
      </c>
      <c r="G127" s="4" t="s">
        <v>34</v>
      </c>
      <c r="H127" s="4" t="s">
        <v>35</v>
      </c>
      <c r="I127" s="4"/>
      <c r="J127" s="4"/>
      <c r="K127" s="4">
        <v>227</v>
      </c>
      <c r="L127" s="4">
        <v>6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0</v>
      </c>
      <c r="X127" s="4">
        <v>1</v>
      </c>
      <c r="Y127" s="4">
        <v>0</v>
      </c>
      <c r="Z127" s="4"/>
      <c r="AA127" s="4"/>
      <c r="AB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228</v>
      </c>
      <c r="F128" s="4">
        <f>ROUND(Source!AY120,O128)</f>
        <v>74534.429999999993</v>
      </c>
      <c r="G128" s="4" t="s">
        <v>36</v>
      </c>
      <c r="H128" s="4" t="s">
        <v>37</v>
      </c>
      <c r="I128" s="4"/>
      <c r="J128" s="4"/>
      <c r="K128" s="4">
        <v>228</v>
      </c>
      <c r="L128" s="4">
        <v>7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74534.429999999993</v>
      </c>
      <c r="X128" s="4">
        <v>1</v>
      </c>
      <c r="Y128" s="4">
        <v>74534.429999999993</v>
      </c>
      <c r="Z128" s="4"/>
      <c r="AA128" s="4"/>
      <c r="AB128" s="4"/>
    </row>
    <row r="129" spans="1:28" x14ac:dyDescent="0.2">
      <c r="A129" s="4">
        <v>50</v>
      </c>
      <c r="B129" s="4">
        <v>0</v>
      </c>
      <c r="C129" s="4">
        <v>0</v>
      </c>
      <c r="D129" s="4">
        <v>1</v>
      </c>
      <c r="E129" s="4">
        <v>216</v>
      </c>
      <c r="F129" s="4">
        <f>ROUND(Source!AP120,O129)</f>
        <v>0</v>
      </c>
      <c r="G129" s="4" t="s">
        <v>38</v>
      </c>
      <c r="H129" s="4" t="s">
        <v>39</v>
      </c>
      <c r="I129" s="4"/>
      <c r="J129" s="4"/>
      <c r="K129" s="4">
        <v>216</v>
      </c>
      <c r="L129" s="4">
        <v>8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8" x14ac:dyDescent="0.2">
      <c r="A130" s="4">
        <v>50</v>
      </c>
      <c r="B130" s="4">
        <v>0</v>
      </c>
      <c r="C130" s="4">
        <v>0</v>
      </c>
      <c r="D130" s="4">
        <v>1</v>
      </c>
      <c r="E130" s="4">
        <v>223</v>
      </c>
      <c r="F130" s="4">
        <f>ROUND(Source!AQ120,O130)</f>
        <v>0</v>
      </c>
      <c r="G130" s="4" t="s">
        <v>40</v>
      </c>
      <c r="H130" s="4" t="s">
        <v>41</v>
      </c>
      <c r="I130" s="4"/>
      <c r="J130" s="4"/>
      <c r="K130" s="4">
        <v>223</v>
      </c>
      <c r="L130" s="4">
        <v>9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8" x14ac:dyDescent="0.2">
      <c r="A131" s="4">
        <v>50</v>
      </c>
      <c r="B131" s="4">
        <v>0</v>
      </c>
      <c r="C131" s="4">
        <v>0</v>
      </c>
      <c r="D131" s="4">
        <v>1</v>
      </c>
      <c r="E131" s="4">
        <v>229</v>
      </c>
      <c r="F131" s="4">
        <f>ROUND(Source!AZ120,O131)</f>
        <v>0</v>
      </c>
      <c r="G131" s="4" t="s">
        <v>42</v>
      </c>
      <c r="H131" s="4" t="s">
        <v>43</v>
      </c>
      <c r="I131" s="4"/>
      <c r="J131" s="4"/>
      <c r="K131" s="4">
        <v>229</v>
      </c>
      <c r="L131" s="4">
        <v>10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8" x14ac:dyDescent="0.2">
      <c r="A132" s="4">
        <v>50</v>
      </c>
      <c r="B132" s="4">
        <v>0</v>
      </c>
      <c r="C132" s="4">
        <v>0</v>
      </c>
      <c r="D132" s="4">
        <v>1</v>
      </c>
      <c r="E132" s="4">
        <v>0</v>
      </c>
      <c r="F132" s="4">
        <f>ROUND(Source!Q120,O132)</f>
        <v>22634.89</v>
      </c>
      <c r="G132" s="4" t="s">
        <v>44</v>
      </c>
      <c r="H132" s="4" t="s">
        <v>45</v>
      </c>
      <c r="I132" s="4"/>
      <c r="J132" s="4"/>
      <c r="K132" s="4">
        <v>203</v>
      </c>
      <c r="L132" s="4">
        <v>11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22634.89</v>
      </c>
      <c r="X132" s="4">
        <v>1</v>
      </c>
      <c r="Y132" s="4">
        <v>22634.89</v>
      </c>
      <c r="Z132" s="4"/>
      <c r="AA132" s="4"/>
      <c r="AB132" s="4"/>
    </row>
    <row r="133" spans="1:28" x14ac:dyDescent="0.2">
      <c r="A133" s="4">
        <v>50</v>
      </c>
      <c r="B133" s="4">
        <v>0</v>
      </c>
      <c r="C133" s="4">
        <v>0</v>
      </c>
      <c r="D133" s="4">
        <v>1</v>
      </c>
      <c r="E133" s="4">
        <v>231</v>
      </c>
      <c r="F133" s="4">
        <f>ROUND(Source!BB120,O133)</f>
        <v>0</v>
      </c>
      <c r="G133" s="4" t="s">
        <v>46</v>
      </c>
      <c r="H133" s="4" t="s">
        <v>47</v>
      </c>
      <c r="I133" s="4"/>
      <c r="J133" s="4"/>
      <c r="K133" s="4">
        <v>231</v>
      </c>
      <c r="L133" s="4">
        <v>12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8" x14ac:dyDescent="0.2">
      <c r="A134" s="4">
        <v>50</v>
      </c>
      <c r="B134" s="4">
        <v>0</v>
      </c>
      <c r="C134" s="4">
        <v>0</v>
      </c>
      <c r="D134" s="4">
        <v>1</v>
      </c>
      <c r="E134" s="4">
        <v>0</v>
      </c>
      <c r="F134" s="4">
        <f>ROUND(Source!R120,O134)</f>
        <v>5368.75</v>
      </c>
      <c r="G134" s="4" t="s">
        <v>48</v>
      </c>
      <c r="H134" s="4" t="s">
        <v>49</v>
      </c>
      <c r="I134" s="4"/>
      <c r="J134" s="4"/>
      <c r="K134" s="4">
        <v>204</v>
      </c>
      <c r="L134" s="4">
        <v>13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5368.75</v>
      </c>
      <c r="X134" s="4">
        <v>1</v>
      </c>
      <c r="Y134" s="4">
        <v>5368.75</v>
      </c>
      <c r="Z134" s="4"/>
      <c r="AA134" s="4"/>
      <c r="AB134" s="4"/>
    </row>
    <row r="135" spans="1:28" x14ac:dyDescent="0.2">
      <c r="A135" s="4">
        <v>50</v>
      </c>
      <c r="B135" s="4">
        <v>0</v>
      </c>
      <c r="C135" s="4">
        <v>0</v>
      </c>
      <c r="D135" s="4">
        <v>1</v>
      </c>
      <c r="E135" s="4">
        <v>0</v>
      </c>
      <c r="F135" s="4">
        <f>ROUND(Source!S120,O135)</f>
        <v>21883.94</v>
      </c>
      <c r="G135" s="4" t="s">
        <v>50</v>
      </c>
      <c r="H135" s="4" t="s">
        <v>51</v>
      </c>
      <c r="I135" s="4"/>
      <c r="J135" s="4"/>
      <c r="K135" s="4">
        <v>205</v>
      </c>
      <c r="L135" s="4">
        <v>14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21883.94</v>
      </c>
      <c r="X135" s="4">
        <v>1</v>
      </c>
      <c r="Y135" s="4">
        <v>21883.94</v>
      </c>
      <c r="Z135" s="4"/>
      <c r="AA135" s="4"/>
      <c r="AB135" s="4"/>
    </row>
    <row r="136" spans="1:28" x14ac:dyDescent="0.2">
      <c r="A136" s="4">
        <v>50</v>
      </c>
      <c r="B136" s="4">
        <v>0</v>
      </c>
      <c r="C136" s="4">
        <v>0</v>
      </c>
      <c r="D136" s="4">
        <v>1</v>
      </c>
      <c r="E136" s="4">
        <v>232</v>
      </c>
      <c r="F136" s="4">
        <f>ROUND(Source!BC120,O136)</f>
        <v>0</v>
      </c>
      <c r="G136" s="4" t="s">
        <v>52</v>
      </c>
      <c r="H136" s="4" t="s">
        <v>53</v>
      </c>
      <c r="I136" s="4"/>
      <c r="J136" s="4"/>
      <c r="K136" s="4">
        <v>232</v>
      </c>
      <c r="L136" s="4">
        <v>15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0</v>
      </c>
      <c r="X136" s="4">
        <v>1</v>
      </c>
      <c r="Y136" s="4">
        <v>0</v>
      </c>
      <c r="Z136" s="4"/>
      <c r="AA136" s="4"/>
      <c r="AB136" s="4"/>
    </row>
    <row r="137" spans="1:28" x14ac:dyDescent="0.2">
      <c r="A137" s="4">
        <v>50</v>
      </c>
      <c r="B137" s="4">
        <v>0</v>
      </c>
      <c r="C137" s="4">
        <v>0</v>
      </c>
      <c r="D137" s="4">
        <v>1</v>
      </c>
      <c r="E137" s="4">
        <v>214</v>
      </c>
      <c r="F137" s="4">
        <f>ROUND(Source!AS120,O137)</f>
        <v>138489.82999999999</v>
      </c>
      <c r="G137" s="4" t="s">
        <v>54</v>
      </c>
      <c r="H137" s="4" t="s">
        <v>55</v>
      </c>
      <c r="I137" s="4"/>
      <c r="J137" s="4"/>
      <c r="K137" s="4">
        <v>214</v>
      </c>
      <c r="L137" s="4">
        <v>16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138489.82999999999</v>
      </c>
      <c r="X137" s="4">
        <v>1</v>
      </c>
      <c r="Y137" s="4">
        <v>138489.82999999999</v>
      </c>
      <c r="Z137" s="4"/>
      <c r="AA137" s="4"/>
      <c r="AB137" s="4"/>
    </row>
    <row r="138" spans="1:28" x14ac:dyDescent="0.2">
      <c r="A138" s="4">
        <v>50</v>
      </c>
      <c r="B138" s="4">
        <v>0</v>
      </c>
      <c r="C138" s="4">
        <v>0</v>
      </c>
      <c r="D138" s="4">
        <v>1</v>
      </c>
      <c r="E138" s="4">
        <v>215</v>
      </c>
      <c r="F138" s="4">
        <f>ROUND(Source!AT120,O138)</f>
        <v>10404.65</v>
      </c>
      <c r="G138" s="4" t="s">
        <v>56</v>
      </c>
      <c r="H138" s="4" t="s">
        <v>57</v>
      </c>
      <c r="I138" s="4"/>
      <c r="J138" s="4"/>
      <c r="K138" s="4">
        <v>215</v>
      </c>
      <c r="L138" s="4">
        <v>17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10404.65</v>
      </c>
      <c r="X138" s="4">
        <v>1</v>
      </c>
      <c r="Y138" s="4">
        <v>10404.65</v>
      </c>
      <c r="Z138" s="4"/>
      <c r="AA138" s="4"/>
      <c r="AB138" s="4"/>
    </row>
    <row r="139" spans="1:28" x14ac:dyDescent="0.2">
      <c r="A139" s="4">
        <v>50</v>
      </c>
      <c r="B139" s="4">
        <v>0</v>
      </c>
      <c r="C139" s="4">
        <v>0</v>
      </c>
      <c r="D139" s="4">
        <v>1</v>
      </c>
      <c r="E139" s="4">
        <v>217</v>
      </c>
      <c r="F139" s="4">
        <f>ROUND(Source!AU120,O139)</f>
        <v>11084.26</v>
      </c>
      <c r="G139" s="4" t="s">
        <v>58</v>
      </c>
      <c r="H139" s="4" t="s">
        <v>59</v>
      </c>
      <c r="I139" s="4"/>
      <c r="J139" s="4"/>
      <c r="K139" s="4">
        <v>217</v>
      </c>
      <c r="L139" s="4">
        <v>18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11084.26</v>
      </c>
      <c r="X139" s="4">
        <v>1</v>
      </c>
      <c r="Y139" s="4">
        <v>11084.26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1</v>
      </c>
      <c r="E140" s="4">
        <v>230</v>
      </c>
      <c r="F140" s="4">
        <f>ROUND(Source!BA120,O140)</f>
        <v>0</v>
      </c>
      <c r="G140" s="4" t="s">
        <v>60</v>
      </c>
      <c r="H140" s="4" t="s">
        <v>61</v>
      </c>
      <c r="I140" s="4"/>
      <c r="J140" s="4"/>
      <c r="K140" s="4">
        <v>230</v>
      </c>
      <c r="L140" s="4">
        <v>19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1</v>
      </c>
      <c r="E141" s="4">
        <v>206</v>
      </c>
      <c r="F141" s="4">
        <f>ROUND(Source!T120,O141)</f>
        <v>0</v>
      </c>
      <c r="G141" s="4" t="s">
        <v>62</v>
      </c>
      <c r="H141" s="4" t="s">
        <v>63</v>
      </c>
      <c r="I141" s="4"/>
      <c r="J141" s="4"/>
      <c r="K141" s="4">
        <v>206</v>
      </c>
      <c r="L141" s="4">
        <v>20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1</v>
      </c>
      <c r="E142" s="4">
        <v>207</v>
      </c>
      <c r="F142" s="4">
        <f>Source!U120</f>
        <v>67.758212</v>
      </c>
      <c r="G142" s="4" t="s">
        <v>64</v>
      </c>
      <c r="H142" s="4" t="s">
        <v>65</v>
      </c>
      <c r="I142" s="4"/>
      <c r="J142" s="4"/>
      <c r="K142" s="4">
        <v>207</v>
      </c>
      <c r="L142" s="4">
        <v>21</v>
      </c>
      <c r="M142" s="4">
        <v>3</v>
      </c>
      <c r="N142" s="4" t="s">
        <v>3</v>
      </c>
      <c r="O142" s="4">
        <v>-1</v>
      </c>
      <c r="P142" s="4"/>
      <c r="Q142" s="4"/>
      <c r="R142" s="4"/>
      <c r="S142" s="4"/>
      <c r="T142" s="4"/>
      <c r="U142" s="4"/>
      <c r="V142" s="4"/>
      <c r="W142" s="4">
        <v>67.758212</v>
      </c>
      <c r="X142" s="4">
        <v>1</v>
      </c>
      <c r="Y142" s="4">
        <v>67.758212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1</v>
      </c>
      <c r="E143" s="4">
        <v>208</v>
      </c>
      <c r="F143" s="4">
        <f>Source!V120</f>
        <v>15.3593204</v>
      </c>
      <c r="G143" s="4" t="s">
        <v>66</v>
      </c>
      <c r="H143" s="4" t="s">
        <v>67</v>
      </c>
      <c r="I143" s="4"/>
      <c r="J143" s="4"/>
      <c r="K143" s="4">
        <v>208</v>
      </c>
      <c r="L143" s="4">
        <v>22</v>
      </c>
      <c r="M143" s="4">
        <v>3</v>
      </c>
      <c r="N143" s="4" t="s">
        <v>3</v>
      </c>
      <c r="O143" s="4">
        <v>-1</v>
      </c>
      <c r="P143" s="4"/>
      <c r="Q143" s="4"/>
      <c r="R143" s="4"/>
      <c r="S143" s="4"/>
      <c r="T143" s="4"/>
      <c r="U143" s="4"/>
      <c r="V143" s="4"/>
      <c r="W143" s="4">
        <v>15.3593204</v>
      </c>
      <c r="X143" s="4">
        <v>1</v>
      </c>
      <c r="Y143" s="4">
        <v>15.3593204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1</v>
      </c>
      <c r="E144" s="4">
        <v>209</v>
      </c>
      <c r="F144" s="4">
        <f>ROUND(Source!W120,O144)</f>
        <v>0</v>
      </c>
      <c r="G144" s="4" t="s">
        <v>68</v>
      </c>
      <c r="H144" s="4" t="s">
        <v>69</v>
      </c>
      <c r="I144" s="4"/>
      <c r="J144" s="4"/>
      <c r="K144" s="4">
        <v>209</v>
      </c>
      <c r="L144" s="4">
        <v>23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88" x14ac:dyDescent="0.2">
      <c r="A145" s="4">
        <v>50</v>
      </c>
      <c r="B145" s="4">
        <v>0</v>
      </c>
      <c r="C145" s="4">
        <v>0</v>
      </c>
      <c r="D145" s="4">
        <v>1</v>
      </c>
      <c r="E145" s="4">
        <v>233</v>
      </c>
      <c r="F145" s="4">
        <f>ROUND(Source!BD120,O145)</f>
        <v>0</v>
      </c>
      <c r="G145" s="4" t="s">
        <v>70</v>
      </c>
      <c r="H145" s="4" t="s">
        <v>71</v>
      </c>
      <c r="I145" s="4"/>
      <c r="J145" s="4"/>
      <c r="K145" s="4">
        <v>233</v>
      </c>
      <c r="L145" s="4">
        <v>24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88" x14ac:dyDescent="0.2">
      <c r="A146" s="4">
        <v>50</v>
      </c>
      <c r="B146" s="4">
        <v>0</v>
      </c>
      <c r="C146" s="4">
        <v>0</v>
      </c>
      <c r="D146" s="4">
        <v>1</v>
      </c>
      <c r="E146" s="4">
        <v>0</v>
      </c>
      <c r="F146" s="4">
        <f>ROUND(Source!X120,O146)</f>
        <v>26253.64</v>
      </c>
      <c r="G146" s="4" t="s">
        <v>72</v>
      </c>
      <c r="H146" s="4" t="s">
        <v>73</v>
      </c>
      <c r="I146" s="4"/>
      <c r="J146" s="4"/>
      <c r="K146" s="4">
        <v>210</v>
      </c>
      <c r="L146" s="4">
        <v>25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26253.64</v>
      </c>
      <c r="X146" s="4">
        <v>1</v>
      </c>
      <c r="Y146" s="4">
        <v>26253.64</v>
      </c>
      <c r="Z146" s="4"/>
      <c r="AA146" s="4"/>
      <c r="AB146" s="4"/>
    </row>
    <row r="147" spans="1:88" x14ac:dyDescent="0.2">
      <c r="A147" s="4">
        <v>50</v>
      </c>
      <c r="B147" s="4">
        <v>0</v>
      </c>
      <c r="C147" s="4">
        <v>0</v>
      </c>
      <c r="D147" s="4">
        <v>1</v>
      </c>
      <c r="E147" s="4">
        <v>0</v>
      </c>
      <c r="F147" s="4">
        <f>ROUND(Source!Y120,O147)</f>
        <v>14671.84</v>
      </c>
      <c r="G147" s="4" t="s">
        <v>74</v>
      </c>
      <c r="H147" s="4" t="s">
        <v>75</v>
      </c>
      <c r="I147" s="4"/>
      <c r="J147" s="4"/>
      <c r="K147" s="4">
        <v>211</v>
      </c>
      <c r="L147" s="4">
        <v>26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14671.84</v>
      </c>
      <c r="X147" s="4">
        <v>1</v>
      </c>
      <c r="Y147" s="4">
        <v>14671.84</v>
      </c>
      <c r="Z147" s="4"/>
      <c r="AA147" s="4"/>
      <c r="AB147" s="4"/>
    </row>
    <row r="148" spans="1:88" x14ac:dyDescent="0.2">
      <c r="A148" s="4">
        <v>50</v>
      </c>
      <c r="B148" s="4">
        <v>0</v>
      </c>
      <c r="C148" s="4">
        <v>0</v>
      </c>
      <c r="D148" s="4">
        <v>1</v>
      </c>
      <c r="E148" s="4">
        <v>224</v>
      </c>
      <c r="F148" s="4">
        <f>ROUND(Source!AR120,O148)</f>
        <v>159978.74</v>
      </c>
      <c r="G148" s="4" t="s">
        <v>76</v>
      </c>
      <c r="H148" s="4" t="s">
        <v>77</v>
      </c>
      <c r="I148" s="4"/>
      <c r="J148" s="4"/>
      <c r="K148" s="4">
        <v>224</v>
      </c>
      <c r="L148" s="4">
        <v>27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159978.74</v>
      </c>
      <c r="X148" s="4">
        <v>1</v>
      </c>
      <c r="Y148" s="4">
        <v>159978.74</v>
      </c>
      <c r="Z148" s="4"/>
      <c r="AA148" s="4"/>
      <c r="AB148" s="4"/>
    </row>
    <row r="149" spans="1:88" x14ac:dyDescent="0.2">
      <c r="A149" s="4">
        <v>50</v>
      </c>
      <c r="B149" s="4">
        <v>1</v>
      </c>
      <c r="C149" s="4">
        <v>0</v>
      </c>
      <c r="D149" s="4">
        <v>2</v>
      </c>
      <c r="E149" s="4">
        <v>205</v>
      </c>
      <c r="F149" s="4">
        <f>ROUND(F135,O149)</f>
        <v>21883.94</v>
      </c>
      <c r="G149" s="4" t="s">
        <v>78</v>
      </c>
      <c r="H149" s="4" t="s">
        <v>50</v>
      </c>
      <c r="I149" s="4"/>
      <c r="J149" s="4"/>
      <c r="K149" s="4">
        <v>212</v>
      </c>
      <c r="L149" s="4">
        <v>28</v>
      </c>
      <c r="M149" s="4">
        <v>0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21883.94</v>
      </c>
      <c r="X149" s="4">
        <v>1</v>
      </c>
      <c r="Y149" s="4">
        <v>21883.94</v>
      </c>
      <c r="Z149" s="4"/>
      <c r="AA149" s="4"/>
      <c r="AB149" s="4"/>
    </row>
    <row r="150" spans="1:88" x14ac:dyDescent="0.2">
      <c r="A150" s="4">
        <v>50</v>
      </c>
      <c r="B150" s="4">
        <v>1</v>
      </c>
      <c r="C150" s="4">
        <v>0</v>
      </c>
      <c r="D150" s="4">
        <v>2</v>
      </c>
      <c r="E150" s="4">
        <v>203</v>
      </c>
      <c r="F150" s="4">
        <f>ROUND(F132,O150)</f>
        <v>22634.89</v>
      </c>
      <c r="G150" s="4" t="s">
        <v>79</v>
      </c>
      <c r="H150" s="4" t="s">
        <v>80</v>
      </c>
      <c r="I150" s="4"/>
      <c r="J150" s="4"/>
      <c r="K150" s="4">
        <v>212</v>
      </c>
      <c r="L150" s="4">
        <v>29</v>
      </c>
      <c r="M150" s="4">
        <v>0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22634.89</v>
      </c>
      <c r="X150" s="4">
        <v>1</v>
      </c>
      <c r="Y150" s="4">
        <v>22634.89</v>
      </c>
      <c r="Z150" s="4"/>
      <c r="AA150" s="4"/>
      <c r="AB150" s="4"/>
    </row>
    <row r="151" spans="1:88" x14ac:dyDescent="0.2">
      <c r="A151" s="4">
        <v>50</v>
      </c>
      <c r="B151" s="4">
        <v>1</v>
      </c>
      <c r="C151" s="4">
        <v>0</v>
      </c>
      <c r="D151" s="4">
        <v>2</v>
      </c>
      <c r="E151" s="4">
        <v>204</v>
      </c>
      <c r="F151" s="4">
        <f>ROUND(F134,O151)</f>
        <v>5368.75</v>
      </c>
      <c r="G151" s="4" t="s">
        <v>81</v>
      </c>
      <c r="H151" s="4" t="s">
        <v>82</v>
      </c>
      <c r="I151" s="4"/>
      <c r="J151" s="4"/>
      <c r="K151" s="4">
        <v>212</v>
      </c>
      <c r="L151" s="4">
        <v>30</v>
      </c>
      <c r="M151" s="4">
        <v>0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5368.75</v>
      </c>
      <c r="X151" s="4">
        <v>1</v>
      </c>
      <c r="Y151" s="4">
        <v>5368.75</v>
      </c>
      <c r="Z151" s="4"/>
      <c r="AA151" s="4"/>
      <c r="AB151" s="4"/>
    </row>
    <row r="152" spans="1:88" x14ac:dyDescent="0.2">
      <c r="A152" s="4">
        <v>50</v>
      </c>
      <c r="B152" s="4">
        <v>1</v>
      </c>
      <c r="C152" s="4">
        <v>0</v>
      </c>
      <c r="D152" s="4">
        <v>2</v>
      </c>
      <c r="E152" s="4">
        <v>202</v>
      </c>
      <c r="F152" s="4">
        <f>ROUND(F123,O152)</f>
        <v>74534.429999999993</v>
      </c>
      <c r="G152" s="4" t="s">
        <v>83</v>
      </c>
      <c r="H152" s="4" t="s">
        <v>84</v>
      </c>
      <c r="I152" s="4"/>
      <c r="J152" s="4"/>
      <c r="K152" s="4">
        <v>212</v>
      </c>
      <c r="L152" s="4">
        <v>31</v>
      </c>
      <c r="M152" s="4">
        <v>0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74534.429999999993</v>
      </c>
      <c r="X152" s="4">
        <v>1</v>
      </c>
      <c r="Y152" s="4">
        <v>74534.429999999993</v>
      </c>
      <c r="Z152" s="4"/>
      <c r="AA152" s="4"/>
      <c r="AB152" s="4"/>
    </row>
    <row r="153" spans="1:88" x14ac:dyDescent="0.2">
      <c r="A153" s="4">
        <v>50</v>
      </c>
      <c r="B153" s="4">
        <v>1</v>
      </c>
      <c r="C153" s="4">
        <v>0</v>
      </c>
      <c r="D153" s="4">
        <v>2</v>
      </c>
      <c r="E153" s="4">
        <v>210</v>
      </c>
      <c r="F153" s="4">
        <f>ROUND(F146,O153)</f>
        <v>26253.64</v>
      </c>
      <c r="G153" s="4" t="s">
        <v>85</v>
      </c>
      <c r="H153" s="4" t="s">
        <v>72</v>
      </c>
      <c r="I153" s="4"/>
      <c r="J153" s="4"/>
      <c r="K153" s="4">
        <v>212</v>
      </c>
      <c r="L153" s="4">
        <v>32</v>
      </c>
      <c r="M153" s="4">
        <v>0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26253.64</v>
      </c>
      <c r="X153" s="4">
        <v>1</v>
      </c>
      <c r="Y153" s="4">
        <v>26253.64</v>
      </c>
      <c r="Z153" s="4"/>
      <c r="AA153" s="4"/>
      <c r="AB153" s="4"/>
    </row>
    <row r="154" spans="1:88" x14ac:dyDescent="0.2">
      <c r="A154" s="4">
        <v>50</v>
      </c>
      <c r="B154" s="4">
        <v>1</v>
      </c>
      <c r="C154" s="4">
        <v>0</v>
      </c>
      <c r="D154" s="4">
        <v>2</v>
      </c>
      <c r="E154" s="4">
        <v>211</v>
      </c>
      <c r="F154" s="4">
        <f>ROUND(F147,O154)</f>
        <v>14671.84</v>
      </c>
      <c r="G154" s="4" t="s">
        <v>86</v>
      </c>
      <c r="H154" s="4" t="s">
        <v>87</v>
      </c>
      <c r="I154" s="4"/>
      <c r="J154" s="4"/>
      <c r="K154" s="4">
        <v>212</v>
      </c>
      <c r="L154" s="4">
        <v>33</v>
      </c>
      <c r="M154" s="4">
        <v>0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14671.84</v>
      </c>
      <c r="X154" s="4">
        <v>1</v>
      </c>
      <c r="Y154" s="4">
        <v>14671.84</v>
      </c>
      <c r="Z154" s="4"/>
      <c r="AA154" s="4"/>
      <c r="AB154" s="4"/>
    </row>
    <row r="155" spans="1:88" x14ac:dyDescent="0.2">
      <c r="A155" s="4">
        <v>50</v>
      </c>
      <c r="B155" s="4">
        <v>1</v>
      </c>
      <c r="C155" s="4">
        <v>0</v>
      </c>
      <c r="D155" s="4">
        <v>2</v>
      </c>
      <c r="E155" s="4">
        <v>213</v>
      </c>
      <c r="F155" s="4">
        <f>ROUND(F149+F150+F152+F153+F154,O155)</f>
        <v>159978.74</v>
      </c>
      <c r="G155" s="4" t="s">
        <v>88</v>
      </c>
      <c r="H155" s="4" t="s">
        <v>89</v>
      </c>
      <c r="I155" s="4"/>
      <c r="J155" s="4"/>
      <c r="K155" s="4">
        <v>212</v>
      </c>
      <c r="L155" s="4">
        <v>34</v>
      </c>
      <c r="M155" s="4">
        <v>0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159978.74</v>
      </c>
      <c r="X155" s="4">
        <v>1</v>
      </c>
      <c r="Y155" s="4">
        <v>159978.74</v>
      </c>
      <c r="Z155" s="4"/>
      <c r="AA155" s="4"/>
      <c r="AB155" s="4"/>
    </row>
    <row r="156" spans="1:88" x14ac:dyDescent="0.2">
      <c r="A156" s="4">
        <v>50</v>
      </c>
      <c r="B156" s="4">
        <v>1</v>
      </c>
      <c r="C156" s="4">
        <v>0</v>
      </c>
      <c r="D156" s="4">
        <v>2</v>
      </c>
      <c r="E156" s="4">
        <v>40729949</v>
      </c>
      <c r="F156" s="4">
        <f>ROUND(F155*0.2,O156)</f>
        <v>31995.75</v>
      </c>
      <c r="G156" s="4" t="s">
        <v>90</v>
      </c>
      <c r="H156" s="4" t="s">
        <v>91</v>
      </c>
      <c r="I156" s="4"/>
      <c r="J156" s="4"/>
      <c r="K156" s="4">
        <v>212</v>
      </c>
      <c r="L156" s="4">
        <v>35</v>
      </c>
      <c r="M156" s="4">
        <v>0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31995.75</v>
      </c>
      <c r="X156" s="4">
        <v>1</v>
      </c>
      <c r="Y156" s="4">
        <v>31995.75</v>
      </c>
      <c r="Z156" s="4"/>
      <c r="AA156" s="4"/>
      <c r="AB156" s="4"/>
    </row>
    <row r="157" spans="1:88" x14ac:dyDescent="0.2">
      <c r="A157" s="4">
        <v>50</v>
      </c>
      <c r="B157" s="4">
        <v>1</v>
      </c>
      <c r="C157" s="4">
        <v>0</v>
      </c>
      <c r="D157" s="4">
        <v>2</v>
      </c>
      <c r="E157" s="4">
        <v>65938917</v>
      </c>
      <c r="F157" s="4">
        <f>ROUND(F155+F156,O157)</f>
        <v>191974.49</v>
      </c>
      <c r="G157" s="4" t="s">
        <v>92</v>
      </c>
      <c r="H157" s="4" t="s">
        <v>93</v>
      </c>
      <c r="I157" s="4"/>
      <c r="J157" s="4"/>
      <c r="K157" s="4">
        <v>212</v>
      </c>
      <c r="L157" s="4">
        <v>36</v>
      </c>
      <c r="M157" s="4">
        <v>0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191974.49</v>
      </c>
      <c r="X157" s="4">
        <v>1</v>
      </c>
      <c r="Y157" s="4">
        <v>191974.49</v>
      </c>
      <c r="Z157" s="4"/>
      <c r="AA157" s="4"/>
      <c r="AB157" s="4"/>
    </row>
    <row r="159" spans="1:88" x14ac:dyDescent="0.2">
      <c r="A159" s="1">
        <v>4</v>
      </c>
      <c r="B159" s="1">
        <v>1</v>
      </c>
      <c r="C159" s="1"/>
      <c r="D159" s="1">
        <f>ROW(A171)</f>
        <v>171</v>
      </c>
      <c r="E159" s="1"/>
      <c r="F159" s="1" t="s">
        <v>12</v>
      </c>
      <c r="G159" s="1" t="s">
        <v>285</v>
      </c>
      <c r="H159" s="1" t="s">
        <v>3</v>
      </c>
      <c r="I159" s="1">
        <v>0</v>
      </c>
      <c r="J159" s="1"/>
      <c r="K159" s="1">
        <v>0</v>
      </c>
      <c r="L159" s="1"/>
      <c r="M159" s="1" t="s">
        <v>3</v>
      </c>
      <c r="N159" s="1"/>
      <c r="O159" s="1"/>
      <c r="P159" s="1"/>
      <c r="Q159" s="1"/>
      <c r="R159" s="1"/>
      <c r="S159" s="1">
        <v>0</v>
      </c>
      <c r="T159" s="1"/>
      <c r="U159" s="1" t="s">
        <v>3</v>
      </c>
      <c r="V159" s="1">
        <v>0</v>
      </c>
      <c r="W159" s="1"/>
      <c r="X159" s="1"/>
      <c r="Y159" s="1"/>
      <c r="Z159" s="1"/>
      <c r="AA159" s="1"/>
      <c r="AB159" s="1" t="s">
        <v>3</v>
      </c>
      <c r="AC159" s="1" t="s">
        <v>3</v>
      </c>
      <c r="AD159" s="1" t="s">
        <v>3</v>
      </c>
      <c r="AE159" s="1" t="s">
        <v>3</v>
      </c>
      <c r="AF159" s="1" t="s">
        <v>3</v>
      </c>
      <c r="AG159" s="1" t="s">
        <v>3</v>
      </c>
      <c r="AH159" s="1"/>
      <c r="AI159" s="1"/>
      <c r="AJ159" s="1"/>
      <c r="AK159" s="1"/>
      <c r="AL159" s="1"/>
      <c r="AM159" s="1"/>
      <c r="AN159" s="1"/>
      <c r="AO159" s="1"/>
      <c r="AP159" s="1" t="s">
        <v>3</v>
      </c>
      <c r="AQ159" s="1" t="s">
        <v>3</v>
      </c>
      <c r="AR159" s="1" t="s">
        <v>3</v>
      </c>
      <c r="AS159" s="1"/>
      <c r="AT159" s="1"/>
      <c r="AU159" s="1"/>
      <c r="AV159" s="1"/>
      <c r="AW159" s="1"/>
      <c r="AX159" s="1"/>
      <c r="AY159" s="1"/>
      <c r="AZ159" s="1" t="s">
        <v>3</v>
      </c>
      <c r="BA159" s="1"/>
      <c r="BB159" s="1" t="s">
        <v>3</v>
      </c>
      <c r="BC159" s="1" t="s">
        <v>3</v>
      </c>
      <c r="BD159" s="1" t="s">
        <v>3</v>
      </c>
      <c r="BE159" s="1" t="s">
        <v>3</v>
      </c>
      <c r="BF159" s="1" t="s">
        <v>3</v>
      </c>
      <c r="BG159" s="1" t="s">
        <v>3</v>
      </c>
      <c r="BH159" s="1" t="s">
        <v>3</v>
      </c>
      <c r="BI159" s="1" t="s">
        <v>3</v>
      </c>
      <c r="BJ159" s="1" t="s">
        <v>3</v>
      </c>
      <c r="BK159" s="1" t="s">
        <v>3</v>
      </c>
      <c r="BL159" s="1" t="s">
        <v>3</v>
      </c>
      <c r="BM159" s="1" t="s">
        <v>3</v>
      </c>
      <c r="BN159" s="1" t="s">
        <v>3</v>
      </c>
      <c r="BO159" s="1" t="s">
        <v>3</v>
      </c>
      <c r="BP159" s="1" t="s">
        <v>3</v>
      </c>
      <c r="BQ159" s="1"/>
      <c r="BR159" s="1"/>
      <c r="BS159" s="1"/>
      <c r="BT159" s="1"/>
      <c r="BU159" s="1"/>
      <c r="BV159" s="1"/>
      <c r="BW159" s="1"/>
      <c r="BX159" s="1">
        <v>0</v>
      </c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>
        <v>0</v>
      </c>
    </row>
    <row r="161" spans="1:245" x14ac:dyDescent="0.2">
      <c r="A161" s="2">
        <v>52</v>
      </c>
      <c r="B161" s="2">
        <f t="shared" ref="B161:G161" si="112">B171</f>
        <v>1</v>
      </c>
      <c r="C161" s="2">
        <f t="shared" si="112"/>
        <v>4</v>
      </c>
      <c r="D161" s="2">
        <f t="shared" si="112"/>
        <v>159</v>
      </c>
      <c r="E161" s="2">
        <f t="shared" si="112"/>
        <v>0</v>
      </c>
      <c r="F161" s="2" t="str">
        <f t="shared" si="112"/>
        <v>Новый раздел</v>
      </c>
      <c r="G161" s="2" t="str">
        <f t="shared" si="112"/>
        <v>Подвеска провода</v>
      </c>
      <c r="H161" s="2"/>
      <c r="I161" s="2"/>
      <c r="J161" s="2"/>
      <c r="K161" s="2"/>
      <c r="L161" s="2"/>
      <c r="M161" s="2"/>
      <c r="N161" s="2"/>
      <c r="O161" s="2">
        <f t="shared" ref="O161:AT161" si="113">O171</f>
        <v>7682.78</v>
      </c>
      <c r="P161" s="2">
        <f t="shared" si="113"/>
        <v>6092.25</v>
      </c>
      <c r="Q161" s="2">
        <f t="shared" si="113"/>
        <v>841.4</v>
      </c>
      <c r="R161" s="2">
        <f t="shared" si="113"/>
        <v>266.5</v>
      </c>
      <c r="S161" s="2">
        <f t="shared" si="113"/>
        <v>749.13</v>
      </c>
      <c r="T161" s="2">
        <f t="shared" si="113"/>
        <v>0</v>
      </c>
      <c r="U161" s="2">
        <f t="shared" si="113"/>
        <v>2.4470000000000001</v>
      </c>
      <c r="V161" s="2">
        <f t="shared" si="113"/>
        <v>0.70950000000000002</v>
      </c>
      <c r="W161" s="2">
        <f t="shared" si="113"/>
        <v>0</v>
      </c>
      <c r="X161" s="2">
        <f t="shared" si="113"/>
        <v>1046.0999999999999</v>
      </c>
      <c r="Y161" s="2">
        <f t="shared" si="113"/>
        <v>609.38</v>
      </c>
      <c r="Z161" s="2">
        <f t="shared" si="113"/>
        <v>0</v>
      </c>
      <c r="AA161" s="2">
        <f t="shared" si="113"/>
        <v>0</v>
      </c>
      <c r="AB161" s="2">
        <f t="shared" si="113"/>
        <v>7682.78</v>
      </c>
      <c r="AC161" s="2">
        <f t="shared" si="113"/>
        <v>6092.25</v>
      </c>
      <c r="AD161" s="2">
        <f t="shared" si="113"/>
        <v>841.4</v>
      </c>
      <c r="AE161" s="2">
        <f t="shared" si="113"/>
        <v>266.5</v>
      </c>
      <c r="AF161" s="2">
        <f t="shared" si="113"/>
        <v>749.13</v>
      </c>
      <c r="AG161" s="2">
        <f t="shared" si="113"/>
        <v>0</v>
      </c>
      <c r="AH161" s="2">
        <f t="shared" si="113"/>
        <v>2.4470000000000001</v>
      </c>
      <c r="AI161" s="2">
        <f t="shared" si="113"/>
        <v>0.70950000000000002</v>
      </c>
      <c r="AJ161" s="2">
        <f t="shared" si="113"/>
        <v>0</v>
      </c>
      <c r="AK161" s="2">
        <f t="shared" si="113"/>
        <v>1046.0999999999999</v>
      </c>
      <c r="AL161" s="2">
        <f t="shared" si="113"/>
        <v>609.38</v>
      </c>
      <c r="AM161" s="2">
        <f t="shared" si="113"/>
        <v>0</v>
      </c>
      <c r="AN161" s="2">
        <f t="shared" si="113"/>
        <v>0</v>
      </c>
      <c r="AO161" s="2">
        <f t="shared" si="113"/>
        <v>0</v>
      </c>
      <c r="AP161" s="2">
        <f t="shared" si="113"/>
        <v>0</v>
      </c>
      <c r="AQ161" s="2">
        <f t="shared" si="113"/>
        <v>0</v>
      </c>
      <c r="AR161" s="2">
        <f t="shared" si="113"/>
        <v>9338.26</v>
      </c>
      <c r="AS161" s="2">
        <f t="shared" si="113"/>
        <v>7218.58</v>
      </c>
      <c r="AT161" s="2">
        <f t="shared" si="113"/>
        <v>2119.6799999999998</v>
      </c>
      <c r="AU161" s="2">
        <f t="shared" ref="AU161:BZ161" si="114">AU171</f>
        <v>0</v>
      </c>
      <c r="AV161" s="2">
        <f t="shared" si="114"/>
        <v>6092.25</v>
      </c>
      <c r="AW161" s="2">
        <f t="shared" si="114"/>
        <v>6092.25</v>
      </c>
      <c r="AX161" s="2">
        <f t="shared" si="114"/>
        <v>0</v>
      </c>
      <c r="AY161" s="2">
        <f t="shared" si="114"/>
        <v>6092.25</v>
      </c>
      <c r="AZ161" s="2">
        <f t="shared" si="114"/>
        <v>0</v>
      </c>
      <c r="BA161" s="2">
        <f t="shared" si="114"/>
        <v>0</v>
      </c>
      <c r="BB161" s="2">
        <f t="shared" si="114"/>
        <v>0</v>
      </c>
      <c r="BC161" s="2">
        <f t="shared" si="114"/>
        <v>0</v>
      </c>
      <c r="BD161" s="2">
        <f t="shared" si="114"/>
        <v>0</v>
      </c>
      <c r="BE161" s="2">
        <f t="shared" si="114"/>
        <v>0</v>
      </c>
      <c r="BF161" s="2">
        <f t="shared" si="114"/>
        <v>0</v>
      </c>
      <c r="BG161" s="2">
        <f t="shared" si="114"/>
        <v>0</v>
      </c>
      <c r="BH161" s="2">
        <f t="shared" si="114"/>
        <v>0</v>
      </c>
      <c r="BI161" s="2">
        <f t="shared" si="114"/>
        <v>0</v>
      </c>
      <c r="BJ161" s="2">
        <f t="shared" si="114"/>
        <v>0</v>
      </c>
      <c r="BK161" s="2">
        <f t="shared" si="114"/>
        <v>0</v>
      </c>
      <c r="BL161" s="2">
        <f t="shared" si="114"/>
        <v>0</v>
      </c>
      <c r="BM161" s="2">
        <f t="shared" si="114"/>
        <v>0</v>
      </c>
      <c r="BN161" s="2">
        <f t="shared" si="114"/>
        <v>0</v>
      </c>
      <c r="BO161" s="2">
        <f t="shared" si="114"/>
        <v>0</v>
      </c>
      <c r="BP161" s="2">
        <f t="shared" si="114"/>
        <v>0</v>
      </c>
      <c r="BQ161" s="2">
        <f t="shared" si="114"/>
        <v>0</v>
      </c>
      <c r="BR161" s="2">
        <f t="shared" si="114"/>
        <v>0</v>
      </c>
      <c r="BS161" s="2">
        <f t="shared" si="114"/>
        <v>0</v>
      </c>
      <c r="BT161" s="2">
        <f t="shared" si="114"/>
        <v>0</v>
      </c>
      <c r="BU161" s="2">
        <f t="shared" si="114"/>
        <v>0</v>
      </c>
      <c r="BV161" s="2">
        <f t="shared" si="114"/>
        <v>0</v>
      </c>
      <c r="BW161" s="2">
        <f t="shared" si="114"/>
        <v>0</v>
      </c>
      <c r="BX161" s="2">
        <f t="shared" si="114"/>
        <v>0</v>
      </c>
      <c r="BY161" s="2">
        <f t="shared" si="114"/>
        <v>0</v>
      </c>
      <c r="BZ161" s="2">
        <f t="shared" si="114"/>
        <v>0</v>
      </c>
      <c r="CA161" s="2">
        <f t="shared" ref="CA161:DF161" si="115">CA171</f>
        <v>9338.26</v>
      </c>
      <c r="CB161" s="2">
        <f t="shared" si="115"/>
        <v>7218.58</v>
      </c>
      <c r="CC161" s="2">
        <f t="shared" si="115"/>
        <v>2119.6799999999998</v>
      </c>
      <c r="CD161" s="2">
        <f t="shared" si="115"/>
        <v>0</v>
      </c>
      <c r="CE161" s="2">
        <f t="shared" si="115"/>
        <v>6092.25</v>
      </c>
      <c r="CF161" s="2">
        <f t="shared" si="115"/>
        <v>6092.25</v>
      </c>
      <c r="CG161" s="2">
        <f t="shared" si="115"/>
        <v>0</v>
      </c>
      <c r="CH161" s="2">
        <f t="shared" si="115"/>
        <v>6092.25</v>
      </c>
      <c r="CI161" s="2">
        <f t="shared" si="115"/>
        <v>0</v>
      </c>
      <c r="CJ161" s="2">
        <f t="shared" si="115"/>
        <v>0</v>
      </c>
      <c r="CK161" s="2">
        <f t="shared" si="115"/>
        <v>0</v>
      </c>
      <c r="CL161" s="2">
        <f t="shared" si="115"/>
        <v>0</v>
      </c>
      <c r="CM161" s="2">
        <f t="shared" si="115"/>
        <v>0</v>
      </c>
      <c r="CN161" s="2">
        <f t="shared" si="115"/>
        <v>0</v>
      </c>
      <c r="CO161" s="2">
        <f t="shared" si="115"/>
        <v>0</v>
      </c>
      <c r="CP161" s="2">
        <f t="shared" si="115"/>
        <v>0</v>
      </c>
      <c r="CQ161" s="2">
        <f t="shared" si="115"/>
        <v>0</v>
      </c>
      <c r="CR161" s="2">
        <f t="shared" si="115"/>
        <v>0</v>
      </c>
      <c r="CS161" s="2">
        <f t="shared" si="115"/>
        <v>0</v>
      </c>
      <c r="CT161" s="2">
        <f t="shared" si="115"/>
        <v>0</v>
      </c>
      <c r="CU161" s="2">
        <f t="shared" si="115"/>
        <v>0</v>
      </c>
      <c r="CV161" s="2">
        <f t="shared" si="115"/>
        <v>0</v>
      </c>
      <c r="CW161" s="2">
        <f t="shared" si="115"/>
        <v>0</v>
      </c>
      <c r="CX161" s="2">
        <f t="shared" si="115"/>
        <v>0</v>
      </c>
      <c r="CY161" s="2">
        <f t="shared" si="115"/>
        <v>0</v>
      </c>
      <c r="CZ161" s="2">
        <f t="shared" si="115"/>
        <v>0</v>
      </c>
      <c r="DA161" s="2">
        <f t="shared" si="115"/>
        <v>0</v>
      </c>
      <c r="DB161" s="2">
        <f t="shared" si="115"/>
        <v>0</v>
      </c>
      <c r="DC161" s="2">
        <f t="shared" si="115"/>
        <v>0</v>
      </c>
      <c r="DD161" s="2">
        <f t="shared" si="115"/>
        <v>0</v>
      </c>
      <c r="DE161" s="2">
        <f t="shared" si="115"/>
        <v>0</v>
      </c>
      <c r="DF161" s="2">
        <f t="shared" si="115"/>
        <v>0</v>
      </c>
      <c r="DG161" s="3">
        <f t="shared" ref="DG161:EL161" si="116">DG171</f>
        <v>0</v>
      </c>
      <c r="DH161" s="3">
        <f t="shared" si="116"/>
        <v>0</v>
      </c>
      <c r="DI161" s="3">
        <f t="shared" si="116"/>
        <v>0</v>
      </c>
      <c r="DJ161" s="3">
        <f t="shared" si="116"/>
        <v>0</v>
      </c>
      <c r="DK161" s="3">
        <f t="shared" si="116"/>
        <v>0</v>
      </c>
      <c r="DL161" s="3">
        <f t="shared" si="116"/>
        <v>0</v>
      </c>
      <c r="DM161" s="3">
        <f t="shared" si="116"/>
        <v>0</v>
      </c>
      <c r="DN161" s="3">
        <f t="shared" si="116"/>
        <v>0</v>
      </c>
      <c r="DO161" s="3">
        <f t="shared" si="116"/>
        <v>0</v>
      </c>
      <c r="DP161" s="3">
        <f t="shared" si="116"/>
        <v>0</v>
      </c>
      <c r="DQ161" s="3">
        <f t="shared" si="116"/>
        <v>0</v>
      </c>
      <c r="DR161" s="3">
        <f t="shared" si="116"/>
        <v>0</v>
      </c>
      <c r="DS161" s="3">
        <f t="shared" si="116"/>
        <v>0</v>
      </c>
      <c r="DT161" s="3">
        <f t="shared" si="116"/>
        <v>0</v>
      </c>
      <c r="DU161" s="3">
        <f t="shared" si="116"/>
        <v>0</v>
      </c>
      <c r="DV161" s="3">
        <f t="shared" si="116"/>
        <v>0</v>
      </c>
      <c r="DW161" s="3">
        <f t="shared" si="116"/>
        <v>0</v>
      </c>
      <c r="DX161" s="3">
        <f t="shared" si="116"/>
        <v>0</v>
      </c>
      <c r="DY161" s="3">
        <f t="shared" si="116"/>
        <v>0</v>
      </c>
      <c r="DZ161" s="3">
        <f t="shared" si="116"/>
        <v>0</v>
      </c>
      <c r="EA161" s="3">
        <f t="shared" si="116"/>
        <v>0</v>
      </c>
      <c r="EB161" s="3">
        <f t="shared" si="116"/>
        <v>0</v>
      </c>
      <c r="EC161" s="3">
        <f t="shared" si="116"/>
        <v>0</v>
      </c>
      <c r="ED161" s="3">
        <f t="shared" si="116"/>
        <v>0</v>
      </c>
      <c r="EE161" s="3">
        <f t="shared" si="116"/>
        <v>0</v>
      </c>
      <c r="EF161" s="3">
        <f t="shared" si="116"/>
        <v>0</v>
      </c>
      <c r="EG161" s="3">
        <f t="shared" si="116"/>
        <v>0</v>
      </c>
      <c r="EH161" s="3">
        <f t="shared" si="116"/>
        <v>0</v>
      </c>
      <c r="EI161" s="3">
        <f t="shared" si="116"/>
        <v>0</v>
      </c>
      <c r="EJ161" s="3">
        <f t="shared" si="116"/>
        <v>0</v>
      </c>
      <c r="EK161" s="3">
        <f t="shared" si="116"/>
        <v>0</v>
      </c>
      <c r="EL161" s="3">
        <f t="shared" si="116"/>
        <v>0</v>
      </c>
      <c r="EM161" s="3">
        <f t="shared" ref="EM161:FR161" si="117">EM171</f>
        <v>0</v>
      </c>
      <c r="EN161" s="3">
        <f t="shared" si="117"/>
        <v>0</v>
      </c>
      <c r="EO161" s="3">
        <f t="shared" si="117"/>
        <v>0</v>
      </c>
      <c r="EP161" s="3">
        <f t="shared" si="117"/>
        <v>0</v>
      </c>
      <c r="EQ161" s="3">
        <f t="shared" si="117"/>
        <v>0</v>
      </c>
      <c r="ER161" s="3">
        <f t="shared" si="117"/>
        <v>0</v>
      </c>
      <c r="ES161" s="3">
        <f t="shared" si="117"/>
        <v>0</v>
      </c>
      <c r="ET161" s="3">
        <f t="shared" si="117"/>
        <v>0</v>
      </c>
      <c r="EU161" s="3">
        <f t="shared" si="117"/>
        <v>0</v>
      </c>
      <c r="EV161" s="3">
        <f t="shared" si="117"/>
        <v>0</v>
      </c>
      <c r="EW161" s="3">
        <f t="shared" si="117"/>
        <v>0</v>
      </c>
      <c r="EX161" s="3">
        <f t="shared" si="117"/>
        <v>0</v>
      </c>
      <c r="EY161" s="3">
        <f t="shared" si="117"/>
        <v>0</v>
      </c>
      <c r="EZ161" s="3">
        <f t="shared" si="117"/>
        <v>0</v>
      </c>
      <c r="FA161" s="3">
        <f t="shared" si="117"/>
        <v>0</v>
      </c>
      <c r="FB161" s="3">
        <f t="shared" si="117"/>
        <v>0</v>
      </c>
      <c r="FC161" s="3">
        <f t="shared" si="117"/>
        <v>0</v>
      </c>
      <c r="FD161" s="3">
        <f t="shared" si="117"/>
        <v>0</v>
      </c>
      <c r="FE161" s="3">
        <f t="shared" si="117"/>
        <v>0</v>
      </c>
      <c r="FF161" s="3">
        <f t="shared" si="117"/>
        <v>0</v>
      </c>
      <c r="FG161" s="3">
        <f t="shared" si="117"/>
        <v>0</v>
      </c>
      <c r="FH161" s="3">
        <f t="shared" si="117"/>
        <v>0</v>
      </c>
      <c r="FI161" s="3">
        <f t="shared" si="117"/>
        <v>0</v>
      </c>
      <c r="FJ161" s="3">
        <f t="shared" si="117"/>
        <v>0</v>
      </c>
      <c r="FK161" s="3">
        <f t="shared" si="117"/>
        <v>0</v>
      </c>
      <c r="FL161" s="3">
        <f t="shared" si="117"/>
        <v>0</v>
      </c>
      <c r="FM161" s="3">
        <f t="shared" si="117"/>
        <v>0</v>
      </c>
      <c r="FN161" s="3">
        <f t="shared" si="117"/>
        <v>0</v>
      </c>
      <c r="FO161" s="3">
        <f t="shared" si="117"/>
        <v>0</v>
      </c>
      <c r="FP161" s="3">
        <f t="shared" si="117"/>
        <v>0</v>
      </c>
      <c r="FQ161" s="3">
        <f t="shared" si="117"/>
        <v>0</v>
      </c>
      <c r="FR161" s="3">
        <f t="shared" si="117"/>
        <v>0</v>
      </c>
      <c r="FS161" s="3">
        <f t="shared" ref="FS161:GX161" si="118">FS171</f>
        <v>0</v>
      </c>
      <c r="FT161" s="3">
        <f t="shared" si="118"/>
        <v>0</v>
      </c>
      <c r="FU161" s="3">
        <f t="shared" si="118"/>
        <v>0</v>
      </c>
      <c r="FV161" s="3">
        <f t="shared" si="118"/>
        <v>0</v>
      </c>
      <c r="FW161" s="3">
        <f t="shared" si="118"/>
        <v>0</v>
      </c>
      <c r="FX161" s="3">
        <f t="shared" si="118"/>
        <v>0</v>
      </c>
      <c r="FY161" s="3">
        <f t="shared" si="118"/>
        <v>0</v>
      </c>
      <c r="FZ161" s="3">
        <f t="shared" si="118"/>
        <v>0</v>
      </c>
      <c r="GA161" s="3">
        <f t="shared" si="118"/>
        <v>0</v>
      </c>
      <c r="GB161" s="3">
        <f t="shared" si="118"/>
        <v>0</v>
      </c>
      <c r="GC161" s="3">
        <f t="shared" si="118"/>
        <v>0</v>
      </c>
      <c r="GD161" s="3">
        <f t="shared" si="118"/>
        <v>0</v>
      </c>
      <c r="GE161" s="3">
        <f t="shared" si="118"/>
        <v>0</v>
      </c>
      <c r="GF161" s="3">
        <f t="shared" si="118"/>
        <v>0</v>
      </c>
      <c r="GG161" s="3">
        <f t="shared" si="118"/>
        <v>0</v>
      </c>
      <c r="GH161" s="3">
        <f t="shared" si="118"/>
        <v>0</v>
      </c>
      <c r="GI161" s="3">
        <f t="shared" si="118"/>
        <v>0</v>
      </c>
      <c r="GJ161" s="3">
        <f t="shared" si="118"/>
        <v>0</v>
      </c>
      <c r="GK161" s="3">
        <f t="shared" si="118"/>
        <v>0</v>
      </c>
      <c r="GL161" s="3">
        <f t="shared" si="118"/>
        <v>0</v>
      </c>
      <c r="GM161" s="3">
        <f t="shared" si="118"/>
        <v>0</v>
      </c>
      <c r="GN161" s="3">
        <f t="shared" si="118"/>
        <v>0</v>
      </c>
      <c r="GO161" s="3">
        <f t="shared" si="118"/>
        <v>0</v>
      </c>
      <c r="GP161" s="3">
        <f t="shared" si="118"/>
        <v>0</v>
      </c>
      <c r="GQ161" s="3">
        <f t="shared" si="118"/>
        <v>0</v>
      </c>
      <c r="GR161" s="3">
        <f t="shared" si="118"/>
        <v>0</v>
      </c>
      <c r="GS161" s="3">
        <f t="shared" si="118"/>
        <v>0</v>
      </c>
      <c r="GT161" s="3">
        <f t="shared" si="118"/>
        <v>0</v>
      </c>
      <c r="GU161" s="3">
        <f t="shared" si="118"/>
        <v>0</v>
      </c>
      <c r="GV161" s="3">
        <f t="shared" si="118"/>
        <v>0</v>
      </c>
      <c r="GW161" s="3">
        <f t="shared" si="118"/>
        <v>0</v>
      </c>
      <c r="GX161" s="3">
        <f t="shared" si="118"/>
        <v>0</v>
      </c>
    </row>
    <row r="163" spans="1:245" x14ac:dyDescent="0.2">
      <c r="A163">
        <v>17</v>
      </c>
      <c r="B163">
        <v>1</v>
      </c>
      <c r="C163">
        <f>ROW(SmtRes!A102)</f>
        <v>102</v>
      </c>
      <c r="D163">
        <f>ROW(EtalonRes!A102)</f>
        <v>102</v>
      </c>
      <c r="E163" t="s">
        <v>286</v>
      </c>
      <c r="F163" t="s">
        <v>287</v>
      </c>
      <c r="G163" t="s">
        <v>288</v>
      </c>
      <c r="H163" t="s">
        <v>289</v>
      </c>
      <c r="I163">
        <f>ROUND((43+7)/1000,9)</f>
        <v>0.05</v>
      </c>
      <c r="J163">
        <v>0</v>
      </c>
      <c r="K163">
        <f>ROUND((43+7)/1000,9)</f>
        <v>0.05</v>
      </c>
      <c r="O163">
        <f t="shared" ref="O163:O169" si="119">ROUND(CP163,2)</f>
        <v>1763.67</v>
      </c>
      <c r="P163">
        <f t="shared" ref="P163:P169" si="120">ROUND(CQ163*I163,2)</f>
        <v>173.14</v>
      </c>
      <c r="Q163">
        <f t="shared" ref="Q163:Q169" si="121">ROUND(CR163*I163,2)</f>
        <v>841.4</v>
      </c>
      <c r="R163">
        <f t="shared" ref="R163:R169" si="122">ROUND(CS163*I163,2)</f>
        <v>266.5</v>
      </c>
      <c r="S163">
        <f t="shared" ref="S163:S169" si="123">ROUND(CT163*I163,2)</f>
        <v>749.13</v>
      </c>
      <c r="T163">
        <f t="shared" ref="T163:T169" si="124">ROUND(CU163*I163,2)</f>
        <v>0</v>
      </c>
      <c r="U163">
        <f t="shared" ref="U163:U169" si="125">CV163*I163</f>
        <v>2.4470000000000001</v>
      </c>
      <c r="V163">
        <f t="shared" ref="V163:V169" si="126">CW163*I163</f>
        <v>0.70950000000000002</v>
      </c>
      <c r="W163">
        <f t="shared" ref="W163:W169" si="127">ROUND(CX163*I163,2)</f>
        <v>0</v>
      </c>
      <c r="X163">
        <f t="shared" ref="X163:Y169" si="128">ROUND(CY163,2)</f>
        <v>1046.0999999999999</v>
      </c>
      <c r="Y163">
        <f t="shared" si="128"/>
        <v>609.38</v>
      </c>
      <c r="AA163">
        <v>84186534</v>
      </c>
      <c r="AB163">
        <f t="shared" ref="AB163:AB169" si="129">ROUND((AC163+AD163+AF163),2)</f>
        <v>2096.8200000000002</v>
      </c>
      <c r="AC163">
        <f t="shared" ref="AC163:AC169" si="130">ROUND((ES163),2)</f>
        <v>333.28</v>
      </c>
      <c r="AD163">
        <f t="shared" ref="AD163:AD169" si="131">ROUND((((ET163)-(EU163))+AE163),2)</f>
        <v>1338.74</v>
      </c>
      <c r="AE163">
        <f t="shared" ref="AE163:AF169" si="132">ROUND((EU163),2)</f>
        <v>151.12</v>
      </c>
      <c r="AF163">
        <f t="shared" si="132"/>
        <v>424.8</v>
      </c>
      <c r="AG163">
        <f t="shared" ref="AG163:AG169" si="133">ROUND((AP163),2)</f>
        <v>0</v>
      </c>
      <c r="AH163">
        <f t="shared" ref="AH163:AI169" si="134">(EW163)</f>
        <v>48.94</v>
      </c>
      <c r="AI163">
        <f t="shared" si="134"/>
        <v>14.19</v>
      </c>
      <c r="AJ163">
        <f t="shared" ref="AJ163:AJ169" si="135">(AS163)</f>
        <v>0</v>
      </c>
      <c r="AK163">
        <v>2096.8200000000002</v>
      </c>
      <c r="AL163">
        <v>333.28</v>
      </c>
      <c r="AM163">
        <v>1338.74</v>
      </c>
      <c r="AN163">
        <v>151.12</v>
      </c>
      <c r="AO163">
        <v>424.8</v>
      </c>
      <c r="AP163">
        <v>0</v>
      </c>
      <c r="AQ163">
        <v>48.94</v>
      </c>
      <c r="AR163">
        <v>14.19</v>
      </c>
      <c r="AS163">
        <v>0</v>
      </c>
      <c r="AT163">
        <v>103</v>
      </c>
      <c r="AU163">
        <v>60</v>
      </c>
      <c r="AV163">
        <v>1</v>
      </c>
      <c r="AW163">
        <v>1</v>
      </c>
      <c r="AZ163">
        <v>1</v>
      </c>
      <c r="BA163">
        <v>35.270000000000003</v>
      </c>
      <c r="BB163">
        <v>12.57</v>
      </c>
      <c r="BC163">
        <v>10.39</v>
      </c>
      <c r="BD163" t="s">
        <v>3</v>
      </c>
      <c r="BE163" t="s">
        <v>3</v>
      </c>
      <c r="BF163" t="s">
        <v>3</v>
      </c>
      <c r="BG163" t="s">
        <v>3</v>
      </c>
      <c r="BH163">
        <v>0</v>
      </c>
      <c r="BI163">
        <v>1</v>
      </c>
      <c r="BJ163" t="s">
        <v>290</v>
      </c>
      <c r="BM163">
        <v>33001</v>
      </c>
      <c r="BN163">
        <v>0</v>
      </c>
      <c r="BO163" t="s">
        <v>287</v>
      </c>
      <c r="BP163">
        <v>1</v>
      </c>
      <c r="BQ163">
        <v>2</v>
      </c>
      <c r="BR163">
        <v>0</v>
      </c>
      <c r="BS163">
        <v>35.270000000000003</v>
      </c>
      <c r="BT163">
        <v>1</v>
      </c>
      <c r="BU163">
        <v>1</v>
      </c>
      <c r="BV163">
        <v>1</v>
      </c>
      <c r="BW163">
        <v>1</v>
      </c>
      <c r="BX163">
        <v>1</v>
      </c>
      <c r="BY163" t="s">
        <v>3</v>
      </c>
      <c r="BZ163">
        <v>103</v>
      </c>
      <c r="CA163">
        <v>60</v>
      </c>
      <c r="CB163" t="s">
        <v>3</v>
      </c>
      <c r="CE163">
        <v>0</v>
      </c>
      <c r="CF163">
        <v>0</v>
      </c>
      <c r="CG163">
        <v>0</v>
      </c>
      <c r="CM163">
        <v>0</v>
      </c>
      <c r="CN163" t="s">
        <v>3</v>
      </c>
      <c r="CO163">
        <v>0</v>
      </c>
      <c r="CP163">
        <f t="shared" ref="CP163:CP169" si="136">(P163+Q163+S163)</f>
        <v>1763.67</v>
      </c>
      <c r="CQ163">
        <f t="shared" ref="CQ163:CQ169" si="137">AC163*BC163</f>
        <v>3462.7791999999999</v>
      </c>
      <c r="CR163">
        <f t="shared" ref="CR163:CR169" si="138">(((ET163)*BB163-(EU163)*BS163)+AE163*BS163)</f>
        <v>16827.961800000001</v>
      </c>
      <c r="CS163">
        <f t="shared" ref="CS163:CS169" si="139">AE163*BS163</f>
        <v>5330.0024000000003</v>
      </c>
      <c r="CT163">
        <f t="shared" ref="CT163:CT169" si="140">AF163*BA163</f>
        <v>14982.696000000002</v>
      </c>
      <c r="CU163">
        <f t="shared" ref="CU163:CX169" si="141">AG163</f>
        <v>0</v>
      </c>
      <c r="CV163">
        <f t="shared" si="141"/>
        <v>48.94</v>
      </c>
      <c r="CW163">
        <f t="shared" si="141"/>
        <v>14.19</v>
      </c>
      <c r="CX163">
        <f t="shared" si="141"/>
        <v>0</v>
      </c>
      <c r="CY163">
        <f>(((S163+R163)*AT163)/100)</f>
        <v>1046.0989</v>
      </c>
      <c r="CZ163">
        <f>(((S163+R163)*AU163)/100)</f>
        <v>609.37800000000004</v>
      </c>
      <c r="DC163" t="s">
        <v>3</v>
      </c>
      <c r="DD163" t="s">
        <v>3</v>
      </c>
      <c r="DE163" t="s">
        <v>3</v>
      </c>
      <c r="DF163" t="s">
        <v>3</v>
      </c>
      <c r="DG163" t="s">
        <v>3</v>
      </c>
      <c r="DH163" t="s">
        <v>3</v>
      </c>
      <c r="DI163" t="s">
        <v>3</v>
      </c>
      <c r="DJ163" t="s">
        <v>3</v>
      </c>
      <c r="DK163" t="s">
        <v>3</v>
      </c>
      <c r="DL163" t="s">
        <v>3</v>
      </c>
      <c r="DM163" t="s">
        <v>3</v>
      </c>
      <c r="DN163">
        <v>0</v>
      </c>
      <c r="DO163">
        <v>0</v>
      </c>
      <c r="DP163">
        <v>1</v>
      </c>
      <c r="DQ163">
        <v>1</v>
      </c>
      <c r="DU163">
        <v>1013</v>
      </c>
      <c r="DV163" t="s">
        <v>289</v>
      </c>
      <c r="DW163" t="s">
        <v>289</v>
      </c>
      <c r="DX163">
        <v>1</v>
      </c>
      <c r="DZ163" t="s">
        <v>3</v>
      </c>
      <c r="EA163" t="s">
        <v>3</v>
      </c>
      <c r="EB163" t="s">
        <v>3</v>
      </c>
      <c r="EC163" t="s">
        <v>3</v>
      </c>
      <c r="EE163">
        <v>79401925</v>
      </c>
      <c r="EF163">
        <v>2</v>
      </c>
      <c r="EG163" t="s">
        <v>19</v>
      </c>
      <c r="EH163">
        <v>27</v>
      </c>
      <c r="EI163" t="s">
        <v>20</v>
      </c>
      <c r="EJ163">
        <v>1</v>
      </c>
      <c r="EK163">
        <v>33001</v>
      </c>
      <c r="EL163" t="s">
        <v>20</v>
      </c>
      <c r="EM163" t="s">
        <v>21</v>
      </c>
      <c r="EO163" t="s">
        <v>3</v>
      </c>
      <c r="EQ163">
        <v>0</v>
      </c>
      <c r="ER163">
        <v>2096.8200000000002</v>
      </c>
      <c r="ES163">
        <v>333.28</v>
      </c>
      <c r="ET163">
        <v>1338.74</v>
      </c>
      <c r="EU163">
        <v>151.12</v>
      </c>
      <c r="EV163">
        <v>424.8</v>
      </c>
      <c r="EW163">
        <v>48.94</v>
      </c>
      <c r="EX163">
        <v>14.19</v>
      </c>
      <c r="EY163">
        <v>0</v>
      </c>
      <c r="FQ163">
        <v>0</v>
      </c>
      <c r="FR163">
        <f t="shared" ref="FR163:FR169" si="142">ROUND(IF(BI163=3,GM163,0),2)</f>
        <v>0</v>
      </c>
      <c r="FS163">
        <v>0</v>
      </c>
      <c r="FX163">
        <v>103</v>
      </c>
      <c r="FY163">
        <v>60</v>
      </c>
      <c r="GA163" t="s">
        <v>3</v>
      </c>
      <c r="GD163">
        <v>1</v>
      </c>
      <c r="GF163">
        <v>936132017</v>
      </c>
      <c r="GG163">
        <v>2</v>
      </c>
      <c r="GH163">
        <v>1</v>
      </c>
      <c r="GI163">
        <v>2</v>
      </c>
      <c r="GJ163">
        <v>0</v>
      </c>
      <c r="GK163">
        <v>0</v>
      </c>
      <c r="GL163">
        <f t="shared" ref="GL163:GL169" si="143">ROUND(IF(AND(BH163=3,BI163=3,FS163&lt;&gt;0),P163,0),2)</f>
        <v>0</v>
      </c>
      <c r="GM163">
        <f t="shared" ref="GM163:GM169" si="144">ROUND(O163+X163+Y163,2)+GX163</f>
        <v>3419.15</v>
      </c>
      <c r="GN163">
        <f t="shared" ref="GN163:GN169" si="145">IF(OR(BI163=0,BI163=1),GM163,0)</f>
        <v>3419.15</v>
      </c>
      <c r="GO163">
        <f t="shared" ref="GO163:GO169" si="146">IF(BI163=2,GM163,0)</f>
        <v>0</v>
      </c>
      <c r="GP163">
        <f t="shared" ref="GP163:GP169" si="147">IF(BI163=4,GM163+GX163,0)</f>
        <v>0</v>
      </c>
      <c r="GR163">
        <v>0</v>
      </c>
      <c r="GS163">
        <v>3</v>
      </c>
      <c r="GT163">
        <v>0</v>
      </c>
      <c r="GU163" t="s">
        <v>3</v>
      </c>
      <c r="GV163">
        <f t="shared" ref="GV163:GV169" si="148">ROUND((GT163),2)</f>
        <v>0</v>
      </c>
      <c r="GW163">
        <v>1</v>
      </c>
      <c r="GX163">
        <f t="shared" ref="GX163:GX169" si="149">ROUND(HC163*I163,2)</f>
        <v>0</v>
      </c>
      <c r="HA163">
        <v>0</v>
      </c>
      <c r="HB163">
        <v>0</v>
      </c>
      <c r="HC163">
        <f t="shared" ref="HC163:HC169" si="150">GV163*GW163</f>
        <v>0</v>
      </c>
      <c r="HE163" t="s">
        <v>3</v>
      </c>
      <c r="HF163" t="s">
        <v>3</v>
      </c>
      <c r="HM163" t="s">
        <v>3</v>
      </c>
      <c r="HN163" t="s">
        <v>22</v>
      </c>
      <c r="HO163" t="s">
        <v>23</v>
      </c>
      <c r="HP163" t="s">
        <v>20</v>
      </c>
      <c r="HQ163" t="s">
        <v>20</v>
      </c>
      <c r="IK163">
        <v>0</v>
      </c>
    </row>
    <row r="164" spans="1:245" x14ac:dyDescent="0.2">
      <c r="A164">
        <v>18</v>
      </c>
      <c r="B164">
        <v>1</v>
      </c>
      <c r="C164">
        <v>98</v>
      </c>
      <c r="E164" t="s">
        <v>291</v>
      </c>
      <c r="F164" t="s">
        <v>292</v>
      </c>
      <c r="G164" t="s">
        <v>293</v>
      </c>
      <c r="H164" t="s">
        <v>117</v>
      </c>
      <c r="I164">
        <f>I163*J164</f>
        <v>0</v>
      </c>
      <c r="J164">
        <v>0</v>
      </c>
      <c r="K164">
        <v>0</v>
      </c>
      <c r="O164">
        <f t="shared" si="119"/>
        <v>0</v>
      </c>
      <c r="P164">
        <f t="shared" si="120"/>
        <v>0</v>
      </c>
      <c r="Q164">
        <f t="shared" si="121"/>
        <v>0</v>
      </c>
      <c r="R164">
        <f t="shared" si="122"/>
        <v>0</v>
      </c>
      <c r="S164">
        <f t="shared" si="123"/>
        <v>0</v>
      </c>
      <c r="T164">
        <f t="shared" si="124"/>
        <v>0</v>
      </c>
      <c r="U164">
        <f t="shared" si="125"/>
        <v>0</v>
      </c>
      <c r="V164">
        <f t="shared" si="126"/>
        <v>0</v>
      </c>
      <c r="W164">
        <f t="shared" si="127"/>
        <v>0</v>
      </c>
      <c r="X164">
        <f t="shared" si="128"/>
        <v>0</v>
      </c>
      <c r="Y164">
        <f t="shared" si="128"/>
        <v>0</v>
      </c>
      <c r="AA164">
        <v>84186534</v>
      </c>
      <c r="AB164">
        <f t="shared" si="129"/>
        <v>0</v>
      </c>
      <c r="AC164">
        <f t="shared" si="130"/>
        <v>0</v>
      </c>
      <c r="AD164">
        <f t="shared" si="131"/>
        <v>0</v>
      </c>
      <c r="AE164">
        <f t="shared" si="132"/>
        <v>0</v>
      </c>
      <c r="AF164">
        <f t="shared" si="132"/>
        <v>0</v>
      </c>
      <c r="AG164">
        <f t="shared" si="133"/>
        <v>0</v>
      </c>
      <c r="AH164">
        <f t="shared" si="134"/>
        <v>0</v>
      </c>
      <c r="AI164">
        <f t="shared" si="134"/>
        <v>0</v>
      </c>
      <c r="AJ164">
        <f t="shared" si="135"/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103</v>
      </c>
      <c r="AU164">
        <v>60</v>
      </c>
      <c r="AV164">
        <v>1</v>
      </c>
      <c r="AW164">
        <v>1</v>
      </c>
      <c r="AZ164">
        <v>1</v>
      </c>
      <c r="BA164">
        <v>1</v>
      </c>
      <c r="BB164">
        <v>1</v>
      </c>
      <c r="BC164">
        <v>1</v>
      </c>
      <c r="BD164" t="s">
        <v>3</v>
      </c>
      <c r="BE164" t="s">
        <v>3</v>
      </c>
      <c r="BF164" t="s">
        <v>3</v>
      </c>
      <c r="BG164" t="s">
        <v>3</v>
      </c>
      <c r="BH164">
        <v>3</v>
      </c>
      <c r="BI164">
        <v>1</v>
      </c>
      <c r="BJ164" t="s">
        <v>294</v>
      </c>
      <c r="BM164">
        <v>33001</v>
      </c>
      <c r="BN164">
        <v>0</v>
      </c>
      <c r="BO164" t="s">
        <v>3</v>
      </c>
      <c r="BP164">
        <v>0</v>
      </c>
      <c r="BQ164">
        <v>2</v>
      </c>
      <c r="BR164">
        <v>0</v>
      </c>
      <c r="BS164">
        <v>1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103</v>
      </c>
      <c r="CA164">
        <v>60</v>
      </c>
      <c r="CB164" t="s">
        <v>3</v>
      </c>
      <c r="CE164">
        <v>0</v>
      </c>
      <c r="CF164">
        <v>0</v>
      </c>
      <c r="CG164">
        <v>0</v>
      </c>
      <c r="CM164">
        <v>0</v>
      </c>
      <c r="CN164" t="s">
        <v>3</v>
      </c>
      <c r="CO164">
        <v>0</v>
      </c>
      <c r="CP164">
        <f t="shared" si="136"/>
        <v>0</v>
      </c>
      <c r="CQ164">
        <f t="shared" si="137"/>
        <v>0</v>
      </c>
      <c r="CR164">
        <f t="shared" si="138"/>
        <v>0</v>
      </c>
      <c r="CS164">
        <f t="shared" si="139"/>
        <v>0</v>
      </c>
      <c r="CT164">
        <f t="shared" si="140"/>
        <v>0</v>
      </c>
      <c r="CU164">
        <f t="shared" si="141"/>
        <v>0</v>
      </c>
      <c r="CV164">
        <f t="shared" si="141"/>
        <v>0</v>
      </c>
      <c r="CW164">
        <f t="shared" si="141"/>
        <v>0</v>
      </c>
      <c r="CX164">
        <f t="shared" si="141"/>
        <v>0</v>
      </c>
      <c r="CY164">
        <f>(((S164+R164)*AT164)/100)</f>
        <v>0</v>
      </c>
      <c r="CZ164">
        <f>(((S164+R164)*AU164)/100)</f>
        <v>0</v>
      </c>
      <c r="DC164" t="s">
        <v>3</v>
      </c>
      <c r="DD164" t="s">
        <v>3</v>
      </c>
      <c r="DE164" t="s">
        <v>3</v>
      </c>
      <c r="DF164" t="s">
        <v>3</v>
      </c>
      <c r="DG164" t="s">
        <v>3</v>
      </c>
      <c r="DH164" t="s">
        <v>3</v>
      </c>
      <c r="DI164" t="s">
        <v>3</v>
      </c>
      <c r="DJ164" t="s">
        <v>3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1009</v>
      </c>
      <c r="DV164" t="s">
        <v>117</v>
      </c>
      <c r="DW164" t="s">
        <v>117</v>
      </c>
      <c r="DX164">
        <v>1000</v>
      </c>
      <c r="DZ164" t="s">
        <v>3</v>
      </c>
      <c r="EA164" t="s">
        <v>3</v>
      </c>
      <c r="EB164" t="s">
        <v>3</v>
      </c>
      <c r="EC164" t="s">
        <v>3</v>
      </c>
      <c r="EE164">
        <v>79401925</v>
      </c>
      <c r="EF164">
        <v>2</v>
      </c>
      <c r="EG164" t="s">
        <v>19</v>
      </c>
      <c r="EH164">
        <v>27</v>
      </c>
      <c r="EI164" t="s">
        <v>20</v>
      </c>
      <c r="EJ164">
        <v>1</v>
      </c>
      <c r="EK164">
        <v>33001</v>
      </c>
      <c r="EL164" t="s">
        <v>20</v>
      </c>
      <c r="EM164" t="s">
        <v>21</v>
      </c>
      <c r="EO164" t="s">
        <v>3</v>
      </c>
      <c r="EQ164">
        <v>0</v>
      </c>
      <c r="ER164">
        <v>0</v>
      </c>
      <c r="ES164">
        <v>0</v>
      </c>
      <c r="ET164">
        <v>0</v>
      </c>
      <c r="EU164">
        <v>0</v>
      </c>
      <c r="EV164">
        <v>0</v>
      </c>
      <c r="EW164">
        <v>0</v>
      </c>
      <c r="EX164">
        <v>0</v>
      </c>
      <c r="FQ164">
        <v>0</v>
      </c>
      <c r="FR164">
        <f t="shared" si="142"/>
        <v>0</v>
      </c>
      <c r="FS164">
        <v>0</v>
      </c>
      <c r="FX164">
        <v>103</v>
      </c>
      <c r="FY164">
        <v>60</v>
      </c>
      <c r="GA164" t="s">
        <v>3</v>
      </c>
      <c r="GD164">
        <v>1</v>
      </c>
      <c r="GF164">
        <v>-1855669986</v>
      </c>
      <c r="GG164">
        <v>2</v>
      </c>
      <c r="GH164">
        <v>1</v>
      </c>
      <c r="GI164">
        <v>-2</v>
      </c>
      <c r="GJ164">
        <v>0</v>
      </c>
      <c r="GK164">
        <v>0</v>
      </c>
      <c r="GL164">
        <f t="shared" si="143"/>
        <v>0</v>
      </c>
      <c r="GM164">
        <f t="shared" si="144"/>
        <v>0</v>
      </c>
      <c r="GN164">
        <f t="shared" si="145"/>
        <v>0</v>
      </c>
      <c r="GO164">
        <f t="shared" si="146"/>
        <v>0</v>
      </c>
      <c r="GP164">
        <f t="shared" si="147"/>
        <v>0</v>
      </c>
      <c r="GR164">
        <v>0</v>
      </c>
      <c r="GS164">
        <v>3</v>
      </c>
      <c r="GT164">
        <v>0</v>
      </c>
      <c r="GU164" t="s">
        <v>3</v>
      </c>
      <c r="GV164">
        <f t="shared" si="148"/>
        <v>0</v>
      </c>
      <c r="GW164">
        <v>1</v>
      </c>
      <c r="GX164">
        <f t="shared" si="149"/>
        <v>0</v>
      </c>
      <c r="HA164">
        <v>0</v>
      </c>
      <c r="HB164">
        <v>0</v>
      </c>
      <c r="HC164">
        <f t="shared" si="150"/>
        <v>0</v>
      </c>
      <c r="HE164" t="s">
        <v>3</v>
      </c>
      <c r="HF164" t="s">
        <v>3</v>
      </c>
      <c r="HM164" t="s">
        <v>3</v>
      </c>
      <c r="HN164" t="s">
        <v>22</v>
      </c>
      <c r="HO164" t="s">
        <v>23</v>
      </c>
      <c r="HP164" t="s">
        <v>20</v>
      </c>
      <c r="HQ164" t="s">
        <v>20</v>
      </c>
      <c r="IK164">
        <v>0</v>
      </c>
    </row>
    <row r="165" spans="1:245" x14ac:dyDescent="0.2">
      <c r="A165">
        <v>18</v>
      </c>
      <c r="B165">
        <v>1</v>
      </c>
      <c r="C165">
        <v>99</v>
      </c>
      <c r="E165" t="s">
        <v>295</v>
      </c>
      <c r="F165" t="s">
        <v>296</v>
      </c>
      <c r="G165" t="s">
        <v>297</v>
      </c>
      <c r="H165" t="s">
        <v>117</v>
      </c>
      <c r="I165">
        <f>I163*J165</f>
        <v>0</v>
      </c>
      <c r="J165">
        <v>0</v>
      </c>
      <c r="K165">
        <v>0</v>
      </c>
      <c r="O165">
        <f t="shared" si="119"/>
        <v>0</v>
      </c>
      <c r="P165">
        <f t="shared" si="120"/>
        <v>0</v>
      </c>
      <c r="Q165">
        <f t="shared" si="121"/>
        <v>0</v>
      </c>
      <c r="R165">
        <f t="shared" si="122"/>
        <v>0</v>
      </c>
      <c r="S165">
        <f t="shared" si="123"/>
        <v>0</v>
      </c>
      <c r="T165">
        <f t="shared" si="124"/>
        <v>0</v>
      </c>
      <c r="U165">
        <f t="shared" si="125"/>
        <v>0</v>
      </c>
      <c r="V165">
        <f t="shared" si="126"/>
        <v>0</v>
      </c>
      <c r="W165">
        <f t="shared" si="127"/>
        <v>0</v>
      </c>
      <c r="X165">
        <f t="shared" si="128"/>
        <v>0</v>
      </c>
      <c r="Y165">
        <f t="shared" si="128"/>
        <v>0</v>
      </c>
      <c r="AA165">
        <v>84186534</v>
      </c>
      <c r="AB165">
        <f t="shared" si="129"/>
        <v>0</v>
      </c>
      <c r="AC165">
        <f t="shared" si="130"/>
        <v>0</v>
      </c>
      <c r="AD165">
        <f t="shared" si="131"/>
        <v>0</v>
      </c>
      <c r="AE165">
        <f t="shared" si="132"/>
        <v>0</v>
      </c>
      <c r="AF165">
        <f t="shared" si="132"/>
        <v>0</v>
      </c>
      <c r="AG165">
        <f t="shared" si="133"/>
        <v>0</v>
      </c>
      <c r="AH165">
        <f t="shared" si="134"/>
        <v>0</v>
      </c>
      <c r="AI165">
        <f t="shared" si="134"/>
        <v>0</v>
      </c>
      <c r="AJ165">
        <f t="shared" si="135"/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103</v>
      </c>
      <c r="AU165">
        <v>60</v>
      </c>
      <c r="AV165">
        <v>1</v>
      </c>
      <c r="AW165">
        <v>1</v>
      </c>
      <c r="AZ165">
        <v>1</v>
      </c>
      <c r="BA165">
        <v>1</v>
      </c>
      <c r="BB165">
        <v>1</v>
      </c>
      <c r="BC165">
        <v>1</v>
      </c>
      <c r="BD165" t="s">
        <v>3</v>
      </c>
      <c r="BE165" t="s">
        <v>3</v>
      </c>
      <c r="BF165" t="s">
        <v>3</v>
      </c>
      <c r="BG165" t="s">
        <v>3</v>
      </c>
      <c r="BH165">
        <v>3</v>
      </c>
      <c r="BI165">
        <v>1</v>
      </c>
      <c r="BJ165" t="s">
        <v>298</v>
      </c>
      <c r="BM165">
        <v>33001</v>
      </c>
      <c r="BN165">
        <v>0</v>
      </c>
      <c r="BO165" t="s">
        <v>3</v>
      </c>
      <c r="BP165">
        <v>0</v>
      </c>
      <c r="BQ165">
        <v>2</v>
      </c>
      <c r="BR165">
        <v>0</v>
      </c>
      <c r="BS165">
        <v>1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103</v>
      </c>
      <c r="CA165">
        <v>60</v>
      </c>
      <c r="CB165" t="s">
        <v>3</v>
      </c>
      <c r="CE165">
        <v>0</v>
      </c>
      <c r="CF165">
        <v>0</v>
      </c>
      <c r="CG165">
        <v>0</v>
      </c>
      <c r="CM165">
        <v>0</v>
      </c>
      <c r="CN165" t="s">
        <v>3</v>
      </c>
      <c r="CO165">
        <v>0</v>
      </c>
      <c r="CP165">
        <f t="shared" si="136"/>
        <v>0</v>
      </c>
      <c r="CQ165">
        <f t="shared" si="137"/>
        <v>0</v>
      </c>
      <c r="CR165">
        <f t="shared" si="138"/>
        <v>0</v>
      </c>
      <c r="CS165">
        <f t="shared" si="139"/>
        <v>0</v>
      </c>
      <c r="CT165">
        <f t="shared" si="140"/>
        <v>0</v>
      </c>
      <c r="CU165">
        <f t="shared" si="141"/>
        <v>0</v>
      </c>
      <c r="CV165">
        <f t="shared" si="141"/>
        <v>0</v>
      </c>
      <c r="CW165">
        <f t="shared" si="141"/>
        <v>0</v>
      </c>
      <c r="CX165">
        <f t="shared" si="141"/>
        <v>0</v>
      </c>
      <c r="CY165">
        <f>(((S165+R165)*AT165)/100)</f>
        <v>0</v>
      </c>
      <c r="CZ165">
        <f>(((S165+R165)*AU165)/100)</f>
        <v>0</v>
      </c>
      <c r="DC165" t="s">
        <v>3</v>
      </c>
      <c r="DD165" t="s">
        <v>3</v>
      </c>
      <c r="DE165" t="s">
        <v>3</v>
      </c>
      <c r="DF165" t="s">
        <v>3</v>
      </c>
      <c r="DG165" t="s">
        <v>3</v>
      </c>
      <c r="DH165" t="s">
        <v>3</v>
      </c>
      <c r="DI165" t="s">
        <v>3</v>
      </c>
      <c r="DJ165" t="s">
        <v>3</v>
      </c>
      <c r="DK165" t="s">
        <v>3</v>
      </c>
      <c r="DL165" t="s">
        <v>3</v>
      </c>
      <c r="DM165" t="s">
        <v>3</v>
      </c>
      <c r="DN165">
        <v>0</v>
      </c>
      <c r="DO165">
        <v>0</v>
      </c>
      <c r="DP165">
        <v>1</v>
      </c>
      <c r="DQ165">
        <v>1</v>
      </c>
      <c r="DU165">
        <v>1009</v>
      </c>
      <c r="DV165" t="s">
        <v>117</v>
      </c>
      <c r="DW165" t="s">
        <v>117</v>
      </c>
      <c r="DX165">
        <v>1000</v>
      </c>
      <c r="DZ165" t="s">
        <v>3</v>
      </c>
      <c r="EA165" t="s">
        <v>3</v>
      </c>
      <c r="EB165" t="s">
        <v>3</v>
      </c>
      <c r="EC165" t="s">
        <v>3</v>
      </c>
      <c r="EE165">
        <v>79401925</v>
      </c>
      <c r="EF165">
        <v>2</v>
      </c>
      <c r="EG165" t="s">
        <v>19</v>
      </c>
      <c r="EH165">
        <v>27</v>
      </c>
      <c r="EI165" t="s">
        <v>20</v>
      </c>
      <c r="EJ165">
        <v>1</v>
      </c>
      <c r="EK165">
        <v>33001</v>
      </c>
      <c r="EL165" t="s">
        <v>20</v>
      </c>
      <c r="EM165" t="s">
        <v>21</v>
      </c>
      <c r="EO165" t="s">
        <v>3</v>
      </c>
      <c r="EQ165">
        <v>0</v>
      </c>
      <c r="ER165">
        <v>0</v>
      </c>
      <c r="ES165">
        <v>0</v>
      </c>
      <c r="ET165">
        <v>0</v>
      </c>
      <c r="EU165">
        <v>0</v>
      </c>
      <c r="EV165">
        <v>0</v>
      </c>
      <c r="EW165">
        <v>0</v>
      </c>
      <c r="EX165">
        <v>0</v>
      </c>
      <c r="FQ165">
        <v>0</v>
      </c>
      <c r="FR165">
        <f t="shared" si="142"/>
        <v>0</v>
      </c>
      <c r="FS165">
        <v>0</v>
      </c>
      <c r="FX165">
        <v>103</v>
      </c>
      <c r="FY165">
        <v>60</v>
      </c>
      <c r="GA165" t="s">
        <v>3</v>
      </c>
      <c r="GD165">
        <v>1</v>
      </c>
      <c r="GF165">
        <v>-1609352925</v>
      </c>
      <c r="GG165">
        <v>2</v>
      </c>
      <c r="GH165">
        <v>1</v>
      </c>
      <c r="GI165">
        <v>-2</v>
      </c>
      <c r="GJ165">
        <v>0</v>
      </c>
      <c r="GK165">
        <v>0</v>
      </c>
      <c r="GL165">
        <f t="shared" si="143"/>
        <v>0</v>
      </c>
      <c r="GM165">
        <f t="shared" si="144"/>
        <v>0</v>
      </c>
      <c r="GN165">
        <f t="shared" si="145"/>
        <v>0</v>
      </c>
      <c r="GO165">
        <f t="shared" si="146"/>
        <v>0</v>
      </c>
      <c r="GP165">
        <f t="shared" si="147"/>
        <v>0</v>
      </c>
      <c r="GR165">
        <v>0</v>
      </c>
      <c r="GS165">
        <v>3</v>
      </c>
      <c r="GT165">
        <v>0</v>
      </c>
      <c r="GU165" t="s">
        <v>3</v>
      </c>
      <c r="GV165">
        <f t="shared" si="148"/>
        <v>0</v>
      </c>
      <c r="GW165">
        <v>1</v>
      </c>
      <c r="GX165">
        <f t="shared" si="149"/>
        <v>0</v>
      </c>
      <c r="HA165">
        <v>0</v>
      </c>
      <c r="HB165">
        <v>0</v>
      </c>
      <c r="HC165">
        <f t="shared" si="150"/>
        <v>0</v>
      </c>
      <c r="HE165" t="s">
        <v>3</v>
      </c>
      <c r="HF165" t="s">
        <v>3</v>
      </c>
      <c r="HM165" t="s">
        <v>3</v>
      </c>
      <c r="HN165" t="s">
        <v>22</v>
      </c>
      <c r="HO165" t="s">
        <v>23</v>
      </c>
      <c r="HP165" t="s">
        <v>20</v>
      </c>
      <c r="HQ165" t="s">
        <v>20</v>
      </c>
      <c r="IK165">
        <v>0</v>
      </c>
    </row>
    <row r="166" spans="1:245" x14ac:dyDescent="0.2">
      <c r="A166">
        <v>18</v>
      </c>
      <c r="B166">
        <v>1</v>
      </c>
      <c r="C166">
        <v>100</v>
      </c>
      <c r="E166" t="s">
        <v>299</v>
      </c>
      <c r="F166" t="s">
        <v>300</v>
      </c>
      <c r="G166" t="s">
        <v>301</v>
      </c>
      <c r="H166" t="s">
        <v>117</v>
      </c>
      <c r="I166">
        <f>I163*J166</f>
        <v>0</v>
      </c>
      <c r="J166">
        <v>0</v>
      </c>
      <c r="K166">
        <v>0</v>
      </c>
      <c r="O166">
        <f t="shared" si="119"/>
        <v>0</v>
      </c>
      <c r="P166">
        <f t="shared" si="120"/>
        <v>0</v>
      </c>
      <c r="Q166">
        <f t="shared" si="121"/>
        <v>0</v>
      </c>
      <c r="R166">
        <f t="shared" si="122"/>
        <v>0</v>
      </c>
      <c r="S166">
        <f t="shared" si="123"/>
        <v>0</v>
      </c>
      <c r="T166">
        <f t="shared" si="124"/>
        <v>0</v>
      </c>
      <c r="U166">
        <f t="shared" si="125"/>
        <v>0</v>
      </c>
      <c r="V166">
        <f t="shared" si="126"/>
        <v>0</v>
      </c>
      <c r="W166">
        <f t="shared" si="127"/>
        <v>0</v>
      </c>
      <c r="X166">
        <f t="shared" si="128"/>
        <v>0</v>
      </c>
      <c r="Y166">
        <f t="shared" si="128"/>
        <v>0</v>
      </c>
      <c r="AA166">
        <v>84186534</v>
      </c>
      <c r="AB166">
        <f t="shared" si="129"/>
        <v>0</v>
      </c>
      <c r="AC166">
        <f t="shared" si="130"/>
        <v>0</v>
      </c>
      <c r="AD166">
        <f t="shared" si="131"/>
        <v>0</v>
      </c>
      <c r="AE166">
        <f t="shared" si="132"/>
        <v>0</v>
      </c>
      <c r="AF166">
        <f t="shared" si="132"/>
        <v>0</v>
      </c>
      <c r="AG166">
        <f t="shared" si="133"/>
        <v>0</v>
      </c>
      <c r="AH166">
        <f t="shared" si="134"/>
        <v>0</v>
      </c>
      <c r="AI166">
        <f t="shared" si="134"/>
        <v>0</v>
      </c>
      <c r="AJ166">
        <f t="shared" si="135"/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103</v>
      </c>
      <c r="AU166">
        <v>60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1</v>
      </c>
      <c r="BD166" t="s">
        <v>3</v>
      </c>
      <c r="BE166" t="s">
        <v>3</v>
      </c>
      <c r="BF166" t="s">
        <v>3</v>
      </c>
      <c r="BG166" t="s">
        <v>3</v>
      </c>
      <c r="BH166">
        <v>3</v>
      </c>
      <c r="BI166">
        <v>1</v>
      </c>
      <c r="BJ166" t="s">
        <v>302</v>
      </c>
      <c r="BM166">
        <v>33001</v>
      </c>
      <c r="BN166">
        <v>0</v>
      </c>
      <c r="BO166" t="s">
        <v>3</v>
      </c>
      <c r="BP166">
        <v>0</v>
      </c>
      <c r="BQ166">
        <v>2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103</v>
      </c>
      <c r="CA166">
        <v>60</v>
      </c>
      <c r="CB166" t="s">
        <v>3</v>
      </c>
      <c r="CE166">
        <v>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 t="shared" si="136"/>
        <v>0</v>
      </c>
      <c r="CQ166">
        <f t="shared" si="137"/>
        <v>0</v>
      </c>
      <c r="CR166">
        <f t="shared" si="138"/>
        <v>0</v>
      </c>
      <c r="CS166">
        <f t="shared" si="139"/>
        <v>0</v>
      </c>
      <c r="CT166">
        <f t="shared" si="140"/>
        <v>0</v>
      </c>
      <c r="CU166">
        <f t="shared" si="141"/>
        <v>0</v>
      </c>
      <c r="CV166">
        <f t="shared" si="141"/>
        <v>0</v>
      </c>
      <c r="CW166">
        <f t="shared" si="141"/>
        <v>0</v>
      </c>
      <c r="CX166">
        <f t="shared" si="141"/>
        <v>0</v>
      </c>
      <c r="CY166">
        <f>(((S166+R166)*AT166)/100)</f>
        <v>0</v>
      </c>
      <c r="CZ166">
        <f>(((S166+R166)*AU166)/100)</f>
        <v>0</v>
      </c>
      <c r="DC166" t="s">
        <v>3</v>
      </c>
      <c r="DD166" t="s">
        <v>3</v>
      </c>
      <c r="DE166" t="s">
        <v>3</v>
      </c>
      <c r="DF166" t="s">
        <v>3</v>
      </c>
      <c r="DG166" t="s">
        <v>3</v>
      </c>
      <c r="DH166" t="s">
        <v>3</v>
      </c>
      <c r="DI166" t="s">
        <v>3</v>
      </c>
      <c r="DJ166" t="s">
        <v>3</v>
      </c>
      <c r="DK166" t="s">
        <v>3</v>
      </c>
      <c r="DL166" t="s">
        <v>3</v>
      </c>
      <c r="DM166" t="s">
        <v>3</v>
      </c>
      <c r="DN166">
        <v>0</v>
      </c>
      <c r="DO166">
        <v>0</v>
      </c>
      <c r="DP166">
        <v>1</v>
      </c>
      <c r="DQ166">
        <v>1</v>
      </c>
      <c r="DU166">
        <v>1009</v>
      </c>
      <c r="DV166" t="s">
        <v>117</v>
      </c>
      <c r="DW166" t="s">
        <v>117</v>
      </c>
      <c r="DX166">
        <v>1000</v>
      </c>
      <c r="DZ166" t="s">
        <v>3</v>
      </c>
      <c r="EA166" t="s">
        <v>3</v>
      </c>
      <c r="EB166" t="s">
        <v>3</v>
      </c>
      <c r="EC166" t="s">
        <v>3</v>
      </c>
      <c r="EE166">
        <v>79401925</v>
      </c>
      <c r="EF166">
        <v>2</v>
      </c>
      <c r="EG166" t="s">
        <v>19</v>
      </c>
      <c r="EH166">
        <v>27</v>
      </c>
      <c r="EI166" t="s">
        <v>20</v>
      </c>
      <c r="EJ166">
        <v>1</v>
      </c>
      <c r="EK166">
        <v>33001</v>
      </c>
      <c r="EL166" t="s">
        <v>20</v>
      </c>
      <c r="EM166" t="s">
        <v>21</v>
      </c>
      <c r="EO166" t="s">
        <v>3</v>
      </c>
      <c r="EQ166">
        <v>0</v>
      </c>
      <c r="ER166">
        <v>0</v>
      </c>
      <c r="ES166">
        <v>0</v>
      </c>
      <c r="ET166">
        <v>0</v>
      </c>
      <c r="EU166">
        <v>0</v>
      </c>
      <c r="EV166">
        <v>0</v>
      </c>
      <c r="EW166">
        <v>0</v>
      </c>
      <c r="EX166">
        <v>0</v>
      </c>
      <c r="FQ166">
        <v>0</v>
      </c>
      <c r="FR166">
        <f t="shared" si="142"/>
        <v>0</v>
      </c>
      <c r="FS166">
        <v>0</v>
      </c>
      <c r="FX166">
        <v>103</v>
      </c>
      <c r="FY166">
        <v>60</v>
      </c>
      <c r="GA166" t="s">
        <v>3</v>
      </c>
      <c r="GD166">
        <v>1</v>
      </c>
      <c r="GF166">
        <v>533926792</v>
      </c>
      <c r="GG166">
        <v>2</v>
      </c>
      <c r="GH166">
        <v>1</v>
      </c>
      <c r="GI166">
        <v>-2</v>
      </c>
      <c r="GJ166">
        <v>0</v>
      </c>
      <c r="GK166">
        <v>0</v>
      </c>
      <c r="GL166">
        <f t="shared" si="143"/>
        <v>0</v>
      </c>
      <c r="GM166">
        <f t="shared" si="144"/>
        <v>0</v>
      </c>
      <c r="GN166">
        <f t="shared" si="145"/>
        <v>0</v>
      </c>
      <c r="GO166">
        <f t="shared" si="146"/>
        <v>0</v>
      </c>
      <c r="GP166">
        <f t="shared" si="147"/>
        <v>0</v>
      </c>
      <c r="GR166">
        <v>0</v>
      </c>
      <c r="GS166">
        <v>3</v>
      </c>
      <c r="GT166">
        <v>0</v>
      </c>
      <c r="GU166" t="s">
        <v>3</v>
      </c>
      <c r="GV166">
        <f t="shared" si="148"/>
        <v>0</v>
      </c>
      <c r="GW166">
        <v>1</v>
      </c>
      <c r="GX166">
        <f t="shared" si="149"/>
        <v>0</v>
      </c>
      <c r="HA166">
        <v>0</v>
      </c>
      <c r="HB166">
        <v>0</v>
      </c>
      <c r="HC166">
        <f t="shared" si="150"/>
        <v>0</v>
      </c>
      <c r="HE166" t="s">
        <v>3</v>
      </c>
      <c r="HF166" t="s">
        <v>3</v>
      </c>
      <c r="HM166" t="s">
        <v>3</v>
      </c>
      <c r="HN166" t="s">
        <v>22</v>
      </c>
      <c r="HO166" t="s">
        <v>23</v>
      </c>
      <c r="HP166" t="s">
        <v>20</v>
      </c>
      <c r="HQ166" t="s">
        <v>20</v>
      </c>
      <c r="IK166">
        <v>0</v>
      </c>
    </row>
    <row r="167" spans="1:245" x14ac:dyDescent="0.2">
      <c r="A167">
        <v>17</v>
      </c>
      <c r="B167">
        <v>1</v>
      </c>
      <c r="E167" t="s">
        <v>303</v>
      </c>
      <c r="F167" t="s">
        <v>304</v>
      </c>
      <c r="G167" t="s">
        <v>305</v>
      </c>
      <c r="H167" t="s">
        <v>126</v>
      </c>
      <c r="I167">
        <v>3</v>
      </c>
      <c r="J167">
        <v>0</v>
      </c>
      <c r="K167">
        <v>3</v>
      </c>
      <c r="O167">
        <f t="shared" si="119"/>
        <v>221.79</v>
      </c>
      <c r="P167">
        <f t="shared" si="120"/>
        <v>221.79</v>
      </c>
      <c r="Q167">
        <f t="shared" si="121"/>
        <v>0</v>
      </c>
      <c r="R167">
        <f t="shared" si="122"/>
        <v>0</v>
      </c>
      <c r="S167">
        <f t="shared" si="123"/>
        <v>0</v>
      </c>
      <c r="T167">
        <f t="shared" si="124"/>
        <v>0</v>
      </c>
      <c r="U167">
        <f t="shared" si="125"/>
        <v>0</v>
      </c>
      <c r="V167">
        <f t="shared" si="126"/>
        <v>0</v>
      </c>
      <c r="W167">
        <f t="shared" si="127"/>
        <v>0</v>
      </c>
      <c r="X167">
        <f t="shared" si="128"/>
        <v>0</v>
      </c>
      <c r="Y167">
        <f t="shared" si="128"/>
        <v>0</v>
      </c>
      <c r="AA167">
        <v>84186534</v>
      </c>
      <c r="AB167">
        <f t="shared" si="129"/>
        <v>6.89</v>
      </c>
      <c r="AC167">
        <f t="shared" si="130"/>
        <v>6.89</v>
      </c>
      <c r="AD167">
        <f t="shared" si="131"/>
        <v>0</v>
      </c>
      <c r="AE167">
        <f t="shared" si="132"/>
        <v>0</v>
      </c>
      <c r="AF167">
        <f t="shared" si="132"/>
        <v>0</v>
      </c>
      <c r="AG167">
        <f t="shared" si="133"/>
        <v>0</v>
      </c>
      <c r="AH167">
        <f t="shared" si="134"/>
        <v>0</v>
      </c>
      <c r="AI167">
        <f t="shared" si="134"/>
        <v>0</v>
      </c>
      <c r="AJ167">
        <f t="shared" si="135"/>
        <v>0</v>
      </c>
      <c r="AK167">
        <v>6.89</v>
      </c>
      <c r="AL167">
        <v>6.89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10.73</v>
      </c>
      <c r="BD167" t="s">
        <v>3</v>
      </c>
      <c r="BE167" t="s">
        <v>3</v>
      </c>
      <c r="BF167" t="s">
        <v>3</v>
      </c>
      <c r="BG167" t="s">
        <v>3</v>
      </c>
      <c r="BH167">
        <v>3</v>
      </c>
      <c r="BI167">
        <v>2</v>
      </c>
      <c r="BJ167" t="s">
        <v>306</v>
      </c>
      <c r="BM167">
        <v>500002</v>
      </c>
      <c r="BN167">
        <v>0</v>
      </c>
      <c r="BO167" t="s">
        <v>304</v>
      </c>
      <c r="BP167">
        <v>1</v>
      </c>
      <c r="BQ167">
        <v>12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0</v>
      </c>
      <c r="CA167">
        <v>0</v>
      </c>
      <c r="CB167" t="s">
        <v>3</v>
      </c>
      <c r="CE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 t="shared" si="136"/>
        <v>221.79</v>
      </c>
      <c r="CQ167">
        <f t="shared" si="137"/>
        <v>73.929699999999997</v>
      </c>
      <c r="CR167">
        <f t="shared" si="138"/>
        <v>0</v>
      </c>
      <c r="CS167">
        <f t="shared" si="139"/>
        <v>0</v>
      </c>
      <c r="CT167">
        <f t="shared" si="140"/>
        <v>0</v>
      </c>
      <c r="CU167">
        <f t="shared" si="141"/>
        <v>0</v>
      </c>
      <c r="CV167">
        <f t="shared" si="141"/>
        <v>0</v>
      </c>
      <c r="CW167">
        <f t="shared" si="141"/>
        <v>0</v>
      </c>
      <c r="CX167">
        <f t="shared" si="141"/>
        <v>0</v>
      </c>
      <c r="CY167">
        <f>0</f>
        <v>0</v>
      </c>
      <c r="CZ167">
        <f>0</f>
        <v>0</v>
      </c>
      <c r="DC167" t="s">
        <v>3</v>
      </c>
      <c r="DD167" t="s">
        <v>3</v>
      </c>
      <c r="DE167" t="s">
        <v>3</v>
      </c>
      <c r="DF167" t="s">
        <v>3</v>
      </c>
      <c r="DG167" t="s">
        <v>3</v>
      </c>
      <c r="DH167" t="s">
        <v>3</v>
      </c>
      <c r="DI167" t="s">
        <v>3</v>
      </c>
      <c r="DJ167" t="s">
        <v>3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1010</v>
      </c>
      <c r="DV167" t="s">
        <v>126</v>
      </c>
      <c r="DW167" t="s">
        <v>126</v>
      </c>
      <c r="DX167">
        <v>1</v>
      </c>
      <c r="DZ167" t="s">
        <v>3</v>
      </c>
      <c r="EA167" t="s">
        <v>3</v>
      </c>
      <c r="EB167" t="s">
        <v>3</v>
      </c>
      <c r="EC167" t="s">
        <v>3</v>
      </c>
      <c r="EE167">
        <v>79401763</v>
      </c>
      <c r="EF167">
        <v>12</v>
      </c>
      <c r="EG167" t="s">
        <v>180</v>
      </c>
      <c r="EH167">
        <v>0</v>
      </c>
      <c r="EI167" t="s">
        <v>3</v>
      </c>
      <c r="EJ167">
        <v>2</v>
      </c>
      <c r="EK167">
        <v>500002</v>
      </c>
      <c r="EL167" t="s">
        <v>181</v>
      </c>
      <c r="EM167" t="s">
        <v>182</v>
      </c>
      <c r="EO167" t="s">
        <v>3</v>
      </c>
      <c r="EQ167">
        <v>0</v>
      </c>
      <c r="ER167">
        <v>6.89</v>
      </c>
      <c r="ES167">
        <v>6.89</v>
      </c>
      <c r="ET167">
        <v>0</v>
      </c>
      <c r="EU167">
        <v>0</v>
      </c>
      <c r="EV167">
        <v>0</v>
      </c>
      <c r="EW167">
        <v>0</v>
      </c>
      <c r="EX167">
        <v>0</v>
      </c>
      <c r="EY167">
        <v>0</v>
      </c>
      <c r="FQ167">
        <v>0</v>
      </c>
      <c r="FR167">
        <f t="shared" si="142"/>
        <v>0</v>
      </c>
      <c r="FS167">
        <v>0</v>
      </c>
      <c r="FX167">
        <v>0</v>
      </c>
      <c r="FY167">
        <v>0</v>
      </c>
      <c r="GA167" t="s">
        <v>3</v>
      </c>
      <c r="GD167">
        <v>1</v>
      </c>
      <c r="GF167">
        <v>-939521780</v>
      </c>
      <c r="GG167">
        <v>2</v>
      </c>
      <c r="GH167">
        <v>1</v>
      </c>
      <c r="GI167">
        <v>2</v>
      </c>
      <c r="GJ167">
        <v>0</v>
      </c>
      <c r="GK167">
        <v>0</v>
      </c>
      <c r="GL167">
        <f t="shared" si="143"/>
        <v>0</v>
      </c>
      <c r="GM167">
        <f t="shared" si="144"/>
        <v>221.79</v>
      </c>
      <c r="GN167">
        <f t="shared" si="145"/>
        <v>0</v>
      </c>
      <c r="GO167">
        <f t="shared" si="146"/>
        <v>221.79</v>
      </c>
      <c r="GP167">
        <f t="shared" si="147"/>
        <v>0</v>
      </c>
      <c r="GR167">
        <v>0</v>
      </c>
      <c r="GS167">
        <v>3</v>
      </c>
      <c r="GT167">
        <v>0</v>
      </c>
      <c r="GU167" t="s">
        <v>3</v>
      </c>
      <c r="GV167">
        <f t="shared" si="148"/>
        <v>0</v>
      </c>
      <c r="GW167">
        <v>1</v>
      </c>
      <c r="GX167">
        <f t="shared" si="149"/>
        <v>0</v>
      </c>
      <c r="HA167">
        <v>0</v>
      </c>
      <c r="HB167">
        <v>0</v>
      </c>
      <c r="HC167">
        <f t="shared" si="150"/>
        <v>0</v>
      </c>
      <c r="HE167" t="s">
        <v>3</v>
      </c>
      <c r="HF167" t="s">
        <v>3</v>
      </c>
      <c r="HM167" t="s">
        <v>3</v>
      </c>
      <c r="HN167" t="s">
        <v>3</v>
      </c>
      <c r="HO167" t="s">
        <v>3</v>
      </c>
      <c r="HP167" t="s">
        <v>3</v>
      </c>
      <c r="HQ167" t="s">
        <v>3</v>
      </c>
      <c r="IK167">
        <v>0</v>
      </c>
    </row>
    <row r="168" spans="1:245" x14ac:dyDescent="0.2">
      <c r="A168">
        <v>17</v>
      </c>
      <c r="B168">
        <v>1</v>
      </c>
      <c r="E168" t="s">
        <v>307</v>
      </c>
      <c r="F168" t="s">
        <v>308</v>
      </c>
      <c r="G168" t="s">
        <v>309</v>
      </c>
      <c r="H168" t="s">
        <v>310</v>
      </c>
      <c r="I168">
        <f>ROUND(21/1000,9)</f>
        <v>2.1000000000000001E-2</v>
      </c>
      <c r="J168">
        <v>0</v>
      </c>
      <c r="K168">
        <f>ROUND(21/1000,9)</f>
        <v>2.1000000000000001E-2</v>
      </c>
      <c r="O168">
        <f t="shared" si="119"/>
        <v>1897.89</v>
      </c>
      <c r="P168">
        <f t="shared" si="120"/>
        <v>1897.89</v>
      </c>
      <c r="Q168">
        <f t="shared" si="121"/>
        <v>0</v>
      </c>
      <c r="R168">
        <f t="shared" si="122"/>
        <v>0</v>
      </c>
      <c r="S168">
        <f t="shared" si="123"/>
        <v>0</v>
      </c>
      <c r="T168">
        <f t="shared" si="124"/>
        <v>0</v>
      </c>
      <c r="U168">
        <f t="shared" si="125"/>
        <v>0</v>
      </c>
      <c r="V168">
        <f t="shared" si="126"/>
        <v>0</v>
      </c>
      <c r="W168">
        <f t="shared" si="127"/>
        <v>0</v>
      </c>
      <c r="X168">
        <f t="shared" si="128"/>
        <v>0</v>
      </c>
      <c r="Y168">
        <f t="shared" si="128"/>
        <v>0</v>
      </c>
      <c r="AA168">
        <v>84186534</v>
      </c>
      <c r="AB168">
        <f t="shared" si="129"/>
        <v>23908.94</v>
      </c>
      <c r="AC168">
        <f t="shared" si="130"/>
        <v>23908.94</v>
      </c>
      <c r="AD168">
        <f t="shared" si="131"/>
        <v>0</v>
      </c>
      <c r="AE168">
        <f t="shared" si="132"/>
        <v>0</v>
      </c>
      <c r="AF168">
        <f t="shared" si="132"/>
        <v>0</v>
      </c>
      <c r="AG168">
        <f t="shared" si="133"/>
        <v>0</v>
      </c>
      <c r="AH168">
        <f t="shared" si="134"/>
        <v>0</v>
      </c>
      <c r="AI168">
        <f t="shared" si="134"/>
        <v>0</v>
      </c>
      <c r="AJ168">
        <f t="shared" si="135"/>
        <v>0</v>
      </c>
      <c r="AK168">
        <v>23908.94</v>
      </c>
      <c r="AL168">
        <v>23908.94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1</v>
      </c>
      <c r="AW168">
        <v>1</v>
      </c>
      <c r="AZ168">
        <v>1</v>
      </c>
      <c r="BA168">
        <v>1</v>
      </c>
      <c r="BB168">
        <v>1</v>
      </c>
      <c r="BC168">
        <v>3.78</v>
      </c>
      <c r="BD168" t="s">
        <v>3</v>
      </c>
      <c r="BE168" t="s">
        <v>3</v>
      </c>
      <c r="BF168" t="s">
        <v>3</v>
      </c>
      <c r="BG168" t="s">
        <v>3</v>
      </c>
      <c r="BH168">
        <v>3</v>
      </c>
      <c r="BI168">
        <v>2</v>
      </c>
      <c r="BJ168" t="s">
        <v>311</v>
      </c>
      <c r="BM168">
        <v>500002</v>
      </c>
      <c r="BN168">
        <v>0</v>
      </c>
      <c r="BO168" t="s">
        <v>308</v>
      </c>
      <c r="BP168">
        <v>1</v>
      </c>
      <c r="BQ168">
        <v>12</v>
      </c>
      <c r="BR168">
        <v>0</v>
      </c>
      <c r="BS168">
        <v>1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3</v>
      </c>
      <c r="BZ168">
        <v>0</v>
      </c>
      <c r="CA168">
        <v>0</v>
      </c>
      <c r="CB168" t="s">
        <v>3</v>
      </c>
      <c r="CE168">
        <v>0</v>
      </c>
      <c r="CF168">
        <v>0</v>
      </c>
      <c r="CG168">
        <v>0</v>
      </c>
      <c r="CM168">
        <v>0</v>
      </c>
      <c r="CN168" t="s">
        <v>3</v>
      </c>
      <c r="CO168">
        <v>0</v>
      </c>
      <c r="CP168">
        <f t="shared" si="136"/>
        <v>1897.89</v>
      </c>
      <c r="CQ168">
        <f t="shared" si="137"/>
        <v>90375.793199999986</v>
      </c>
      <c r="CR168">
        <f t="shared" si="138"/>
        <v>0</v>
      </c>
      <c r="CS168">
        <f t="shared" si="139"/>
        <v>0</v>
      </c>
      <c r="CT168">
        <f t="shared" si="140"/>
        <v>0</v>
      </c>
      <c r="CU168">
        <f t="shared" si="141"/>
        <v>0</v>
      </c>
      <c r="CV168">
        <f t="shared" si="141"/>
        <v>0</v>
      </c>
      <c r="CW168">
        <f t="shared" si="141"/>
        <v>0</v>
      </c>
      <c r="CX168">
        <f t="shared" si="141"/>
        <v>0</v>
      </c>
      <c r="CY168">
        <f>0</f>
        <v>0</v>
      </c>
      <c r="CZ168">
        <f>0</f>
        <v>0</v>
      </c>
      <c r="DC168" t="s">
        <v>3</v>
      </c>
      <c r="DD168" t="s">
        <v>3</v>
      </c>
      <c r="DE168" t="s">
        <v>3</v>
      </c>
      <c r="DF168" t="s">
        <v>3</v>
      </c>
      <c r="DG168" t="s">
        <v>3</v>
      </c>
      <c r="DH168" t="s">
        <v>3</v>
      </c>
      <c r="DI168" t="s">
        <v>3</v>
      </c>
      <c r="DJ168" t="s">
        <v>3</v>
      </c>
      <c r="DK168" t="s">
        <v>3</v>
      </c>
      <c r="DL168" t="s">
        <v>3</v>
      </c>
      <c r="DM168" t="s">
        <v>3</v>
      </c>
      <c r="DN168">
        <v>0</v>
      </c>
      <c r="DO168">
        <v>0</v>
      </c>
      <c r="DP168">
        <v>1</v>
      </c>
      <c r="DQ168">
        <v>1</v>
      </c>
      <c r="DU168">
        <v>1013</v>
      </c>
      <c r="DV168" t="s">
        <v>310</v>
      </c>
      <c r="DW168" t="s">
        <v>312</v>
      </c>
      <c r="DX168">
        <v>1</v>
      </c>
      <c r="DZ168" t="s">
        <v>3</v>
      </c>
      <c r="EA168" t="s">
        <v>3</v>
      </c>
      <c r="EB168" t="s">
        <v>3</v>
      </c>
      <c r="EC168" t="s">
        <v>3</v>
      </c>
      <c r="EE168">
        <v>79401763</v>
      </c>
      <c r="EF168">
        <v>12</v>
      </c>
      <c r="EG168" t="s">
        <v>180</v>
      </c>
      <c r="EH168">
        <v>0</v>
      </c>
      <c r="EI168" t="s">
        <v>3</v>
      </c>
      <c r="EJ168">
        <v>2</v>
      </c>
      <c r="EK168">
        <v>500002</v>
      </c>
      <c r="EL168" t="s">
        <v>181</v>
      </c>
      <c r="EM168" t="s">
        <v>182</v>
      </c>
      <c r="EO168" t="s">
        <v>3</v>
      </c>
      <c r="EQ168">
        <v>0</v>
      </c>
      <c r="ER168">
        <v>23908.94</v>
      </c>
      <c r="ES168">
        <v>23908.94</v>
      </c>
      <c r="ET168">
        <v>0</v>
      </c>
      <c r="EU168">
        <v>0</v>
      </c>
      <c r="EV168">
        <v>0</v>
      </c>
      <c r="EW168">
        <v>0</v>
      </c>
      <c r="EX168">
        <v>0</v>
      </c>
      <c r="EY168">
        <v>0</v>
      </c>
      <c r="FQ168">
        <v>0</v>
      </c>
      <c r="FR168">
        <f t="shared" si="142"/>
        <v>0</v>
      </c>
      <c r="FS168">
        <v>0</v>
      </c>
      <c r="FX168">
        <v>0</v>
      </c>
      <c r="FY168">
        <v>0</v>
      </c>
      <c r="GA168" t="s">
        <v>3</v>
      </c>
      <c r="GD168">
        <v>1</v>
      </c>
      <c r="GF168">
        <v>-497340706</v>
      </c>
      <c r="GG168">
        <v>2</v>
      </c>
      <c r="GH168">
        <v>1</v>
      </c>
      <c r="GI168">
        <v>2</v>
      </c>
      <c r="GJ168">
        <v>0</v>
      </c>
      <c r="GK168">
        <v>0</v>
      </c>
      <c r="GL168">
        <f t="shared" si="143"/>
        <v>0</v>
      </c>
      <c r="GM168">
        <f t="shared" si="144"/>
        <v>1897.89</v>
      </c>
      <c r="GN168">
        <f t="shared" si="145"/>
        <v>0</v>
      </c>
      <c r="GO168">
        <f t="shared" si="146"/>
        <v>1897.89</v>
      </c>
      <c r="GP168">
        <f t="shared" si="147"/>
        <v>0</v>
      </c>
      <c r="GR168">
        <v>0</v>
      </c>
      <c r="GS168">
        <v>3</v>
      </c>
      <c r="GT168">
        <v>0</v>
      </c>
      <c r="GU168" t="s">
        <v>3</v>
      </c>
      <c r="GV168">
        <f t="shared" si="148"/>
        <v>0</v>
      </c>
      <c r="GW168">
        <v>1</v>
      </c>
      <c r="GX168">
        <f t="shared" si="149"/>
        <v>0</v>
      </c>
      <c r="HA168">
        <v>0</v>
      </c>
      <c r="HB168">
        <v>0</v>
      </c>
      <c r="HC168">
        <f t="shared" si="150"/>
        <v>0</v>
      </c>
      <c r="HE168" t="s">
        <v>3</v>
      </c>
      <c r="HF168" t="s">
        <v>3</v>
      </c>
      <c r="HM168" t="s">
        <v>3</v>
      </c>
      <c r="HN168" t="s">
        <v>3</v>
      </c>
      <c r="HO168" t="s">
        <v>3</v>
      </c>
      <c r="HP168" t="s">
        <v>3</v>
      </c>
      <c r="HQ168" t="s">
        <v>3</v>
      </c>
      <c r="IK168">
        <v>0</v>
      </c>
    </row>
    <row r="169" spans="1:245" x14ac:dyDescent="0.2">
      <c r="A169">
        <v>17</v>
      </c>
      <c r="B169">
        <v>1</v>
      </c>
      <c r="E169" t="s">
        <v>313</v>
      </c>
      <c r="F169" t="s">
        <v>314</v>
      </c>
      <c r="G169" t="s">
        <v>315</v>
      </c>
      <c r="H169" t="s">
        <v>126</v>
      </c>
      <c r="I169">
        <v>6</v>
      </c>
      <c r="J169">
        <v>0</v>
      </c>
      <c r="K169">
        <v>6</v>
      </c>
      <c r="O169">
        <f t="shared" si="119"/>
        <v>3799.43</v>
      </c>
      <c r="P169">
        <f t="shared" si="120"/>
        <v>3799.43</v>
      </c>
      <c r="Q169">
        <f t="shared" si="121"/>
        <v>0</v>
      </c>
      <c r="R169">
        <f t="shared" si="122"/>
        <v>0</v>
      </c>
      <c r="S169">
        <f t="shared" si="123"/>
        <v>0</v>
      </c>
      <c r="T169">
        <f t="shared" si="124"/>
        <v>0</v>
      </c>
      <c r="U169">
        <f t="shared" si="125"/>
        <v>0</v>
      </c>
      <c r="V169">
        <f t="shared" si="126"/>
        <v>0</v>
      </c>
      <c r="W169">
        <f t="shared" si="127"/>
        <v>0</v>
      </c>
      <c r="X169">
        <f t="shared" si="128"/>
        <v>0</v>
      </c>
      <c r="Y169">
        <f t="shared" si="128"/>
        <v>0</v>
      </c>
      <c r="AA169">
        <v>84186534</v>
      </c>
      <c r="AB169">
        <f t="shared" si="129"/>
        <v>57.83</v>
      </c>
      <c r="AC169">
        <f t="shared" si="130"/>
        <v>57.83</v>
      </c>
      <c r="AD169">
        <f t="shared" si="131"/>
        <v>0</v>
      </c>
      <c r="AE169">
        <f t="shared" si="132"/>
        <v>0</v>
      </c>
      <c r="AF169">
        <f t="shared" si="132"/>
        <v>0</v>
      </c>
      <c r="AG169">
        <f t="shared" si="133"/>
        <v>0</v>
      </c>
      <c r="AH169">
        <f t="shared" si="134"/>
        <v>0</v>
      </c>
      <c r="AI169">
        <f t="shared" si="134"/>
        <v>0</v>
      </c>
      <c r="AJ169">
        <f t="shared" si="135"/>
        <v>0</v>
      </c>
      <c r="AK169">
        <v>57.83</v>
      </c>
      <c r="AL169">
        <v>57.83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1</v>
      </c>
      <c r="AW169">
        <v>1</v>
      </c>
      <c r="AZ169">
        <v>1</v>
      </c>
      <c r="BA169">
        <v>1</v>
      </c>
      <c r="BB169">
        <v>1</v>
      </c>
      <c r="BC169">
        <v>10.95</v>
      </c>
      <c r="BD169" t="s">
        <v>3</v>
      </c>
      <c r="BE169" t="s">
        <v>3</v>
      </c>
      <c r="BF169" t="s">
        <v>3</v>
      </c>
      <c r="BG169" t="s">
        <v>3</v>
      </c>
      <c r="BH169">
        <v>3</v>
      </c>
      <c r="BI169">
        <v>1</v>
      </c>
      <c r="BJ169" t="s">
        <v>316</v>
      </c>
      <c r="BM169">
        <v>500001</v>
      </c>
      <c r="BN169">
        <v>0</v>
      </c>
      <c r="BO169" t="s">
        <v>314</v>
      </c>
      <c r="BP169">
        <v>1</v>
      </c>
      <c r="BQ169">
        <v>8</v>
      </c>
      <c r="BR169">
        <v>0</v>
      </c>
      <c r="BS169">
        <v>1</v>
      </c>
      <c r="BT169">
        <v>1</v>
      </c>
      <c r="BU169">
        <v>1</v>
      </c>
      <c r="BV169">
        <v>1</v>
      </c>
      <c r="BW169">
        <v>1</v>
      </c>
      <c r="BX169">
        <v>1</v>
      </c>
      <c r="BY169" t="s">
        <v>3</v>
      </c>
      <c r="BZ169">
        <v>0</v>
      </c>
      <c r="CA169">
        <v>0</v>
      </c>
      <c r="CB169" t="s">
        <v>3</v>
      </c>
      <c r="CE169">
        <v>0</v>
      </c>
      <c r="CF169">
        <v>0</v>
      </c>
      <c r="CG169">
        <v>0</v>
      </c>
      <c r="CM169">
        <v>0</v>
      </c>
      <c r="CN169" t="s">
        <v>3</v>
      </c>
      <c r="CO169">
        <v>0</v>
      </c>
      <c r="CP169">
        <f t="shared" si="136"/>
        <v>3799.43</v>
      </c>
      <c r="CQ169">
        <f t="shared" si="137"/>
        <v>633.23849999999993</v>
      </c>
      <c r="CR169">
        <f t="shared" si="138"/>
        <v>0</v>
      </c>
      <c r="CS169">
        <f t="shared" si="139"/>
        <v>0</v>
      </c>
      <c r="CT169">
        <f t="shared" si="140"/>
        <v>0</v>
      </c>
      <c r="CU169">
        <f t="shared" si="141"/>
        <v>0</v>
      </c>
      <c r="CV169">
        <f t="shared" si="141"/>
        <v>0</v>
      </c>
      <c r="CW169">
        <f t="shared" si="141"/>
        <v>0</v>
      </c>
      <c r="CX169">
        <f t="shared" si="141"/>
        <v>0</v>
      </c>
      <c r="CY169">
        <f>0</f>
        <v>0</v>
      </c>
      <c r="CZ169">
        <f>0</f>
        <v>0</v>
      </c>
      <c r="DC169" t="s">
        <v>3</v>
      </c>
      <c r="DD169" t="s">
        <v>3</v>
      </c>
      <c r="DE169" t="s">
        <v>3</v>
      </c>
      <c r="DF169" t="s">
        <v>3</v>
      </c>
      <c r="DG169" t="s">
        <v>3</v>
      </c>
      <c r="DH169" t="s">
        <v>3</v>
      </c>
      <c r="DI169" t="s">
        <v>3</v>
      </c>
      <c r="DJ169" t="s">
        <v>3</v>
      </c>
      <c r="DK169" t="s">
        <v>3</v>
      </c>
      <c r="DL169" t="s">
        <v>3</v>
      </c>
      <c r="DM169" t="s">
        <v>3</v>
      </c>
      <c r="DN169">
        <v>0</v>
      </c>
      <c r="DO169">
        <v>0</v>
      </c>
      <c r="DP169">
        <v>1</v>
      </c>
      <c r="DQ169">
        <v>1</v>
      </c>
      <c r="DU169">
        <v>1010</v>
      </c>
      <c r="DV169" t="s">
        <v>126</v>
      </c>
      <c r="DW169" t="s">
        <v>126</v>
      </c>
      <c r="DX169">
        <v>1</v>
      </c>
      <c r="DZ169" t="s">
        <v>3</v>
      </c>
      <c r="EA169" t="s">
        <v>3</v>
      </c>
      <c r="EB169" t="s">
        <v>3</v>
      </c>
      <c r="EC169" t="s">
        <v>3</v>
      </c>
      <c r="EE169">
        <v>79401762</v>
      </c>
      <c r="EF169">
        <v>8</v>
      </c>
      <c r="EG169" t="s">
        <v>157</v>
      </c>
      <c r="EH169">
        <v>0</v>
      </c>
      <c r="EI169" t="s">
        <v>3</v>
      </c>
      <c r="EJ169">
        <v>1</v>
      </c>
      <c r="EK169">
        <v>500001</v>
      </c>
      <c r="EL169" t="s">
        <v>158</v>
      </c>
      <c r="EM169" t="s">
        <v>159</v>
      </c>
      <c r="EO169" t="s">
        <v>3</v>
      </c>
      <c r="EQ169">
        <v>0</v>
      </c>
      <c r="ER169">
        <v>57.83</v>
      </c>
      <c r="ES169">
        <v>57.83</v>
      </c>
      <c r="ET169">
        <v>0</v>
      </c>
      <c r="EU169">
        <v>0</v>
      </c>
      <c r="EV169">
        <v>0</v>
      </c>
      <c r="EW169">
        <v>0</v>
      </c>
      <c r="EX169">
        <v>0</v>
      </c>
      <c r="EY169">
        <v>0</v>
      </c>
      <c r="FQ169">
        <v>0</v>
      </c>
      <c r="FR169">
        <f t="shared" si="142"/>
        <v>0</v>
      </c>
      <c r="FS169">
        <v>0</v>
      </c>
      <c r="FX169">
        <v>0</v>
      </c>
      <c r="FY169">
        <v>0</v>
      </c>
      <c r="GA169" t="s">
        <v>3</v>
      </c>
      <c r="GD169">
        <v>1</v>
      </c>
      <c r="GF169">
        <v>1527325796</v>
      </c>
      <c r="GG169">
        <v>2</v>
      </c>
      <c r="GH169">
        <v>1</v>
      </c>
      <c r="GI169">
        <v>2</v>
      </c>
      <c r="GJ169">
        <v>0</v>
      </c>
      <c r="GK169">
        <v>0</v>
      </c>
      <c r="GL169">
        <f t="shared" si="143"/>
        <v>0</v>
      </c>
      <c r="GM169">
        <f t="shared" si="144"/>
        <v>3799.43</v>
      </c>
      <c r="GN169">
        <f t="shared" si="145"/>
        <v>3799.43</v>
      </c>
      <c r="GO169">
        <f t="shared" si="146"/>
        <v>0</v>
      </c>
      <c r="GP169">
        <f t="shared" si="147"/>
        <v>0</v>
      </c>
      <c r="GR169">
        <v>0</v>
      </c>
      <c r="GS169">
        <v>3</v>
      </c>
      <c r="GT169">
        <v>0</v>
      </c>
      <c r="GU169" t="s">
        <v>3</v>
      </c>
      <c r="GV169">
        <f t="shared" si="148"/>
        <v>0</v>
      </c>
      <c r="GW169">
        <v>1</v>
      </c>
      <c r="GX169">
        <f t="shared" si="149"/>
        <v>0</v>
      </c>
      <c r="HA169">
        <v>0</v>
      </c>
      <c r="HB169">
        <v>0</v>
      </c>
      <c r="HC169">
        <f t="shared" si="150"/>
        <v>0</v>
      </c>
      <c r="HE169" t="s">
        <v>3</v>
      </c>
      <c r="HF169" t="s">
        <v>3</v>
      </c>
      <c r="HM169" t="s">
        <v>3</v>
      </c>
      <c r="HN169" t="s">
        <v>3</v>
      </c>
      <c r="HO169" t="s">
        <v>3</v>
      </c>
      <c r="HP169" t="s">
        <v>3</v>
      </c>
      <c r="HQ169" t="s">
        <v>3</v>
      </c>
      <c r="IK169">
        <v>0</v>
      </c>
    </row>
    <row r="171" spans="1:245" x14ac:dyDescent="0.2">
      <c r="A171" s="2">
        <v>51</v>
      </c>
      <c r="B171" s="2">
        <f>B159</f>
        <v>1</v>
      </c>
      <c r="C171" s="2">
        <f>A159</f>
        <v>4</v>
      </c>
      <c r="D171" s="2">
        <f>ROW(A159)</f>
        <v>159</v>
      </c>
      <c r="E171" s="2"/>
      <c r="F171" s="2" t="str">
        <f>IF(F159&lt;&gt;"",F159,"")</f>
        <v>Новый раздел</v>
      </c>
      <c r="G171" s="2" t="str">
        <f>IF(G159&lt;&gt;"",G159,"")</f>
        <v>Подвеска провода</v>
      </c>
      <c r="H171" s="2">
        <v>0</v>
      </c>
      <c r="I171" s="2"/>
      <c r="J171" s="2"/>
      <c r="K171" s="2"/>
      <c r="L171" s="2"/>
      <c r="M171" s="2"/>
      <c r="N171" s="2"/>
      <c r="O171" s="2">
        <f t="shared" ref="O171:T171" si="151">ROUND(AB171,2)</f>
        <v>7682.78</v>
      </c>
      <c r="P171" s="2">
        <f t="shared" si="151"/>
        <v>6092.25</v>
      </c>
      <c r="Q171" s="2">
        <f t="shared" si="151"/>
        <v>841.4</v>
      </c>
      <c r="R171" s="2">
        <f t="shared" si="151"/>
        <v>266.5</v>
      </c>
      <c r="S171" s="2">
        <f t="shared" si="151"/>
        <v>749.13</v>
      </c>
      <c r="T171" s="2">
        <f t="shared" si="151"/>
        <v>0</v>
      </c>
      <c r="U171" s="2">
        <f>AH171</f>
        <v>2.4470000000000001</v>
      </c>
      <c r="V171" s="2">
        <f>AI171</f>
        <v>0.70950000000000002</v>
      </c>
      <c r="W171" s="2">
        <f>ROUND(AJ171,2)</f>
        <v>0</v>
      </c>
      <c r="X171" s="2">
        <f>ROUND(AK171,2)</f>
        <v>1046.0999999999999</v>
      </c>
      <c r="Y171" s="2">
        <f>ROUND(AL171,2)</f>
        <v>609.38</v>
      </c>
      <c r="Z171" s="2"/>
      <c r="AA171" s="2"/>
      <c r="AB171" s="2">
        <f>ROUND(SUMIF(AA163:AA169,"=84186534",O163:O169),2)</f>
        <v>7682.78</v>
      </c>
      <c r="AC171" s="2">
        <f>ROUND(SUMIF(AA163:AA169,"=84186534",P163:P169),2)</f>
        <v>6092.25</v>
      </c>
      <c r="AD171" s="2">
        <f>ROUND(SUMIF(AA163:AA169,"=84186534",Q163:Q169),2)</f>
        <v>841.4</v>
      </c>
      <c r="AE171" s="2">
        <f>ROUND(SUMIF(AA163:AA169,"=84186534",R163:R169),2)</f>
        <v>266.5</v>
      </c>
      <c r="AF171" s="2">
        <f>ROUND(SUMIF(AA163:AA169,"=84186534",S163:S169),2)</f>
        <v>749.13</v>
      </c>
      <c r="AG171" s="2">
        <f>ROUND(SUMIF(AA163:AA169,"=84186534",T163:T169),2)</f>
        <v>0</v>
      </c>
      <c r="AH171" s="2">
        <f>SUMIF(AA163:AA169,"=84186534",U163:U169)</f>
        <v>2.4470000000000001</v>
      </c>
      <c r="AI171" s="2">
        <f>SUMIF(AA163:AA169,"=84186534",V163:V169)</f>
        <v>0.70950000000000002</v>
      </c>
      <c r="AJ171" s="2">
        <f>ROUND(SUMIF(AA163:AA169,"=84186534",W163:W169),2)</f>
        <v>0</v>
      </c>
      <c r="AK171" s="2">
        <f>ROUND(SUMIF(AA163:AA169,"=84186534",X163:X169),2)</f>
        <v>1046.0999999999999</v>
      </c>
      <c r="AL171" s="2">
        <f>ROUND(SUMIF(AA163:AA169,"=84186534",Y163:Y169),2)</f>
        <v>609.38</v>
      </c>
      <c r="AM171" s="2"/>
      <c r="AN171" s="2"/>
      <c r="AO171" s="2">
        <f t="shared" ref="AO171:BD171" si="152">ROUND(BX171,2)</f>
        <v>0</v>
      </c>
      <c r="AP171" s="2">
        <f t="shared" si="152"/>
        <v>0</v>
      </c>
      <c r="AQ171" s="2">
        <f t="shared" si="152"/>
        <v>0</v>
      </c>
      <c r="AR171" s="2">
        <f t="shared" si="152"/>
        <v>9338.26</v>
      </c>
      <c r="AS171" s="2">
        <f t="shared" si="152"/>
        <v>7218.58</v>
      </c>
      <c r="AT171" s="2">
        <f t="shared" si="152"/>
        <v>2119.6799999999998</v>
      </c>
      <c r="AU171" s="2">
        <f t="shared" si="152"/>
        <v>0</v>
      </c>
      <c r="AV171" s="2">
        <f t="shared" si="152"/>
        <v>6092.25</v>
      </c>
      <c r="AW171" s="2">
        <f t="shared" si="152"/>
        <v>6092.25</v>
      </c>
      <c r="AX171" s="2">
        <f t="shared" si="152"/>
        <v>0</v>
      </c>
      <c r="AY171" s="2">
        <f t="shared" si="152"/>
        <v>6092.25</v>
      </c>
      <c r="AZ171" s="2">
        <f t="shared" si="152"/>
        <v>0</v>
      </c>
      <c r="BA171" s="2">
        <f t="shared" si="152"/>
        <v>0</v>
      </c>
      <c r="BB171" s="2">
        <f t="shared" si="152"/>
        <v>0</v>
      </c>
      <c r="BC171" s="2">
        <f t="shared" si="152"/>
        <v>0</v>
      </c>
      <c r="BD171" s="2">
        <f t="shared" si="152"/>
        <v>0</v>
      </c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>
        <f>ROUND(SUMIF(AA163:AA169,"=84186534",FQ163:FQ169),2)</f>
        <v>0</v>
      </c>
      <c r="BY171" s="2">
        <f>ROUND(SUMIF(AA163:AA169,"=84186534",FR163:FR169),2)</f>
        <v>0</v>
      </c>
      <c r="BZ171" s="2">
        <f>ROUND(SUMIF(AA163:AA169,"=84186534",GL163:GL169),2)</f>
        <v>0</v>
      </c>
      <c r="CA171" s="2">
        <f>ROUND(SUMIF(AA163:AA169,"=84186534",GM163:GM169),2)</f>
        <v>9338.26</v>
      </c>
      <c r="CB171" s="2">
        <f>ROUND(SUMIF(AA163:AA169,"=84186534",GN163:GN169),2)</f>
        <v>7218.58</v>
      </c>
      <c r="CC171" s="2">
        <f>ROUND(SUMIF(AA163:AA169,"=84186534",GO163:GO169),2)</f>
        <v>2119.6799999999998</v>
      </c>
      <c r="CD171" s="2">
        <f>ROUND(SUMIF(AA163:AA169,"=84186534",GP163:GP169),2)</f>
        <v>0</v>
      </c>
      <c r="CE171" s="2">
        <f>AC171-BX171</f>
        <v>6092.25</v>
      </c>
      <c r="CF171" s="2">
        <f>AC171-BY171</f>
        <v>6092.25</v>
      </c>
      <c r="CG171" s="2">
        <f>BX171-BZ171</f>
        <v>0</v>
      </c>
      <c r="CH171" s="2">
        <f>AC171-BX171-BY171+BZ171</f>
        <v>6092.25</v>
      </c>
      <c r="CI171" s="2">
        <f>BY171-BZ171</f>
        <v>0</v>
      </c>
      <c r="CJ171" s="2">
        <f>ROUND(SUMIF(AA163:AA169,"=84186534",GX163:GX169),2)</f>
        <v>0</v>
      </c>
      <c r="CK171" s="2">
        <f>ROUND(SUMIF(AA163:AA169,"=84186534",GY163:GY169),2)</f>
        <v>0</v>
      </c>
      <c r="CL171" s="2">
        <f>ROUND(SUMIF(AA163:AA169,"=84186534",GZ163:GZ169),2)</f>
        <v>0</v>
      </c>
      <c r="CM171" s="2">
        <f>ROUND(SUMIF(AA163:AA169,"=84186534",HD163:HD169),2)</f>
        <v>0</v>
      </c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>
        <v>0</v>
      </c>
    </row>
    <row r="173" spans="1:245" x14ac:dyDescent="0.2">
      <c r="A173" s="4">
        <v>50</v>
      </c>
      <c r="B173" s="4">
        <v>0</v>
      </c>
      <c r="C173" s="4">
        <v>0</v>
      </c>
      <c r="D173" s="4">
        <v>1</v>
      </c>
      <c r="E173" s="4">
        <v>201</v>
      </c>
      <c r="F173" s="4">
        <f>ROUND(Source!O171,O173)</f>
        <v>7682.78</v>
      </c>
      <c r="G173" s="4" t="s">
        <v>24</v>
      </c>
      <c r="H173" s="4" t="s">
        <v>25</v>
      </c>
      <c r="I173" s="4"/>
      <c r="J173" s="4"/>
      <c r="K173" s="4">
        <v>201</v>
      </c>
      <c r="L173" s="4">
        <v>1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7682.78</v>
      </c>
      <c r="X173" s="4">
        <v>1</v>
      </c>
      <c r="Y173" s="4">
        <v>7682.78</v>
      </c>
      <c r="Z173" s="4"/>
      <c r="AA173" s="4"/>
      <c r="AB173" s="4"/>
    </row>
    <row r="174" spans="1:245" x14ac:dyDescent="0.2">
      <c r="A174" s="4">
        <v>50</v>
      </c>
      <c r="B174" s="4">
        <v>0</v>
      </c>
      <c r="C174" s="4">
        <v>0</v>
      </c>
      <c r="D174" s="4">
        <v>1</v>
      </c>
      <c r="E174" s="4">
        <v>0</v>
      </c>
      <c r="F174" s="4">
        <f>ROUND(Source!P171,O174)</f>
        <v>6092.25</v>
      </c>
      <c r="G174" s="4" t="s">
        <v>26</v>
      </c>
      <c r="H174" s="4" t="s">
        <v>27</v>
      </c>
      <c r="I174" s="4"/>
      <c r="J174" s="4"/>
      <c r="K174" s="4">
        <v>202</v>
      </c>
      <c r="L174" s="4">
        <v>2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6092.25</v>
      </c>
      <c r="X174" s="4">
        <v>1</v>
      </c>
      <c r="Y174" s="4">
        <v>6092.25</v>
      </c>
      <c r="Z174" s="4"/>
      <c r="AA174" s="4"/>
      <c r="AB174" s="4"/>
    </row>
    <row r="175" spans="1:245" x14ac:dyDescent="0.2">
      <c r="A175" s="4">
        <v>50</v>
      </c>
      <c r="B175" s="4">
        <v>0</v>
      </c>
      <c r="C175" s="4">
        <v>0</v>
      </c>
      <c r="D175" s="4">
        <v>1</v>
      </c>
      <c r="E175" s="4">
        <v>222</v>
      </c>
      <c r="F175" s="4">
        <f>ROUND(Source!AO171,O175)</f>
        <v>0</v>
      </c>
      <c r="G175" s="4" t="s">
        <v>28</v>
      </c>
      <c r="H175" s="4" t="s">
        <v>29</v>
      </c>
      <c r="I175" s="4"/>
      <c r="J175" s="4"/>
      <c r="K175" s="4">
        <v>222</v>
      </c>
      <c r="L175" s="4">
        <v>3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45" x14ac:dyDescent="0.2">
      <c r="A176" s="4">
        <v>50</v>
      </c>
      <c r="B176" s="4">
        <v>0</v>
      </c>
      <c r="C176" s="4">
        <v>0</v>
      </c>
      <c r="D176" s="4">
        <v>1</v>
      </c>
      <c r="E176" s="4">
        <v>225</v>
      </c>
      <c r="F176" s="4">
        <f>ROUND(Source!AV171,O176)</f>
        <v>6092.25</v>
      </c>
      <c r="G176" s="4" t="s">
        <v>30</v>
      </c>
      <c r="H176" s="4" t="s">
        <v>31</v>
      </c>
      <c r="I176" s="4"/>
      <c r="J176" s="4"/>
      <c r="K176" s="4">
        <v>225</v>
      </c>
      <c r="L176" s="4">
        <v>4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6092.25</v>
      </c>
      <c r="X176" s="4">
        <v>1</v>
      </c>
      <c r="Y176" s="4">
        <v>6092.25</v>
      </c>
      <c r="Z176" s="4"/>
      <c r="AA176" s="4"/>
      <c r="AB176" s="4"/>
    </row>
    <row r="177" spans="1:28" x14ac:dyDescent="0.2">
      <c r="A177" s="4">
        <v>50</v>
      </c>
      <c r="B177" s="4">
        <v>0</v>
      </c>
      <c r="C177" s="4">
        <v>0</v>
      </c>
      <c r="D177" s="4">
        <v>1</v>
      </c>
      <c r="E177" s="4">
        <v>226</v>
      </c>
      <c r="F177" s="4">
        <f>ROUND(Source!AW171,O177)</f>
        <v>6092.25</v>
      </c>
      <c r="G177" s="4" t="s">
        <v>32</v>
      </c>
      <c r="H177" s="4" t="s">
        <v>33</v>
      </c>
      <c r="I177" s="4"/>
      <c r="J177" s="4"/>
      <c r="K177" s="4">
        <v>226</v>
      </c>
      <c r="L177" s="4">
        <v>5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6092.25</v>
      </c>
      <c r="X177" s="4">
        <v>1</v>
      </c>
      <c r="Y177" s="4">
        <v>6092.25</v>
      </c>
      <c r="Z177" s="4"/>
      <c r="AA177" s="4"/>
      <c r="AB177" s="4"/>
    </row>
    <row r="178" spans="1:28" x14ac:dyDescent="0.2">
      <c r="A178" s="4">
        <v>50</v>
      </c>
      <c r="B178" s="4">
        <v>0</v>
      </c>
      <c r="C178" s="4">
        <v>0</v>
      </c>
      <c r="D178" s="4">
        <v>1</v>
      </c>
      <c r="E178" s="4">
        <v>227</v>
      </c>
      <c r="F178" s="4">
        <f>ROUND(Source!AX171,O178)</f>
        <v>0</v>
      </c>
      <c r="G178" s="4" t="s">
        <v>34</v>
      </c>
      <c r="H178" s="4" t="s">
        <v>35</v>
      </c>
      <c r="I178" s="4"/>
      <c r="J178" s="4"/>
      <c r="K178" s="4">
        <v>227</v>
      </c>
      <c r="L178" s="4">
        <v>6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8" x14ac:dyDescent="0.2">
      <c r="A179" s="4">
        <v>50</v>
      </c>
      <c r="B179" s="4">
        <v>0</v>
      </c>
      <c r="C179" s="4">
        <v>0</v>
      </c>
      <c r="D179" s="4">
        <v>1</v>
      </c>
      <c r="E179" s="4">
        <v>228</v>
      </c>
      <c r="F179" s="4">
        <f>ROUND(Source!AY171,O179)</f>
        <v>6092.25</v>
      </c>
      <c r="G179" s="4" t="s">
        <v>36</v>
      </c>
      <c r="H179" s="4" t="s">
        <v>37</v>
      </c>
      <c r="I179" s="4"/>
      <c r="J179" s="4"/>
      <c r="K179" s="4">
        <v>228</v>
      </c>
      <c r="L179" s="4">
        <v>7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6092.25</v>
      </c>
      <c r="X179" s="4">
        <v>1</v>
      </c>
      <c r="Y179" s="4">
        <v>6092.25</v>
      </c>
      <c r="Z179" s="4"/>
      <c r="AA179" s="4"/>
      <c r="AB179" s="4"/>
    </row>
    <row r="180" spans="1:28" x14ac:dyDescent="0.2">
      <c r="A180" s="4">
        <v>50</v>
      </c>
      <c r="B180" s="4">
        <v>0</v>
      </c>
      <c r="C180" s="4">
        <v>0</v>
      </c>
      <c r="D180" s="4">
        <v>1</v>
      </c>
      <c r="E180" s="4">
        <v>216</v>
      </c>
      <c r="F180" s="4">
        <f>ROUND(Source!AP171,O180)</f>
        <v>0</v>
      </c>
      <c r="G180" s="4" t="s">
        <v>38</v>
      </c>
      <c r="H180" s="4" t="s">
        <v>39</v>
      </c>
      <c r="I180" s="4"/>
      <c r="J180" s="4"/>
      <c r="K180" s="4">
        <v>216</v>
      </c>
      <c r="L180" s="4">
        <v>8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8" x14ac:dyDescent="0.2">
      <c r="A181" s="4">
        <v>50</v>
      </c>
      <c r="B181" s="4">
        <v>0</v>
      </c>
      <c r="C181" s="4">
        <v>0</v>
      </c>
      <c r="D181" s="4">
        <v>1</v>
      </c>
      <c r="E181" s="4">
        <v>223</v>
      </c>
      <c r="F181" s="4">
        <f>ROUND(Source!AQ171,O181)</f>
        <v>0</v>
      </c>
      <c r="G181" s="4" t="s">
        <v>40</v>
      </c>
      <c r="H181" s="4" t="s">
        <v>41</v>
      </c>
      <c r="I181" s="4"/>
      <c r="J181" s="4"/>
      <c r="K181" s="4">
        <v>223</v>
      </c>
      <c r="L181" s="4">
        <v>9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8" x14ac:dyDescent="0.2">
      <c r="A182" s="4">
        <v>50</v>
      </c>
      <c r="B182" s="4">
        <v>0</v>
      </c>
      <c r="C182" s="4">
        <v>0</v>
      </c>
      <c r="D182" s="4">
        <v>1</v>
      </c>
      <c r="E182" s="4">
        <v>229</v>
      </c>
      <c r="F182" s="4">
        <f>ROUND(Source!AZ171,O182)</f>
        <v>0</v>
      </c>
      <c r="G182" s="4" t="s">
        <v>42</v>
      </c>
      <c r="H182" s="4" t="s">
        <v>43</v>
      </c>
      <c r="I182" s="4"/>
      <c r="J182" s="4"/>
      <c r="K182" s="4">
        <v>229</v>
      </c>
      <c r="L182" s="4">
        <v>10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8" x14ac:dyDescent="0.2">
      <c r="A183" s="4">
        <v>50</v>
      </c>
      <c r="B183" s="4">
        <v>0</v>
      </c>
      <c r="C183" s="4">
        <v>0</v>
      </c>
      <c r="D183" s="4">
        <v>1</v>
      </c>
      <c r="E183" s="4">
        <v>0</v>
      </c>
      <c r="F183" s="4">
        <f>ROUND(Source!Q171,O183)</f>
        <v>841.4</v>
      </c>
      <c r="G183" s="4" t="s">
        <v>44</v>
      </c>
      <c r="H183" s="4" t="s">
        <v>45</v>
      </c>
      <c r="I183" s="4"/>
      <c r="J183" s="4"/>
      <c r="K183" s="4">
        <v>203</v>
      </c>
      <c r="L183" s="4">
        <v>11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841.4</v>
      </c>
      <c r="X183" s="4">
        <v>1</v>
      </c>
      <c r="Y183" s="4">
        <v>841.4</v>
      </c>
      <c r="Z183" s="4"/>
      <c r="AA183" s="4"/>
      <c r="AB183" s="4"/>
    </row>
    <row r="184" spans="1:28" x14ac:dyDescent="0.2">
      <c r="A184" s="4">
        <v>50</v>
      </c>
      <c r="B184" s="4">
        <v>0</v>
      </c>
      <c r="C184" s="4">
        <v>0</v>
      </c>
      <c r="D184" s="4">
        <v>1</v>
      </c>
      <c r="E184" s="4">
        <v>231</v>
      </c>
      <c r="F184" s="4">
        <f>ROUND(Source!BB171,O184)</f>
        <v>0</v>
      </c>
      <c r="G184" s="4" t="s">
        <v>46</v>
      </c>
      <c r="H184" s="4" t="s">
        <v>47</v>
      </c>
      <c r="I184" s="4"/>
      <c r="J184" s="4"/>
      <c r="K184" s="4">
        <v>231</v>
      </c>
      <c r="L184" s="4">
        <v>12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8" x14ac:dyDescent="0.2">
      <c r="A185" s="4">
        <v>50</v>
      </c>
      <c r="B185" s="4">
        <v>0</v>
      </c>
      <c r="C185" s="4">
        <v>0</v>
      </c>
      <c r="D185" s="4">
        <v>1</v>
      </c>
      <c r="E185" s="4">
        <v>0</v>
      </c>
      <c r="F185" s="4">
        <f>ROUND(Source!R171,O185)</f>
        <v>266.5</v>
      </c>
      <c r="G185" s="4" t="s">
        <v>48</v>
      </c>
      <c r="H185" s="4" t="s">
        <v>49</v>
      </c>
      <c r="I185" s="4"/>
      <c r="J185" s="4"/>
      <c r="K185" s="4">
        <v>204</v>
      </c>
      <c r="L185" s="4">
        <v>13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266.5</v>
      </c>
      <c r="X185" s="4">
        <v>1</v>
      </c>
      <c r="Y185" s="4">
        <v>266.5</v>
      </c>
      <c r="Z185" s="4"/>
      <c r="AA185" s="4"/>
      <c r="AB185" s="4"/>
    </row>
    <row r="186" spans="1:28" x14ac:dyDescent="0.2">
      <c r="A186" s="4">
        <v>50</v>
      </c>
      <c r="B186" s="4">
        <v>0</v>
      </c>
      <c r="C186" s="4">
        <v>0</v>
      </c>
      <c r="D186" s="4">
        <v>1</v>
      </c>
      <c r="E186" s="4">
        <v>0</v>
      </c>
      <c r="F186" s="4">
        <f>ROUND(Source!S171,O186)</f>
        <v>749.13</v>
      </c>
      <c r="G186" s="4" t="s">
        <v>50</v>
      </c>
      <c r="H186" s="4" t="s">
        <v>51</v>
      </c>
      <c r="I186" s="4"/>
      <c r="J186" s="4"/>
      <c r="K186" s="4">
        <v>205</v>
      </c>
      <c r="L186" s="4">
        <v>14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749.13</v>
      </c>
      <c r="X186" s="4">
        <v>1</v>
      </c>
      <c r="Y186" s="4">
        <v>749.13</v>
      </c>
      <c r="Z186" s="4"/>
      <c r="AA186" s="4"/>
      <c r="AB186" s="4"/>
    </row>
    <row r="187" spans="1:28" x14ac:dyDescent="0.2">
      <c r="A187" s="4">
        <v>50</v>
      </c>
      <c r="B187" s="4">
        <v>0</v>
      </c>
      <c r="C187" s="4">
        <v>0</v>
      </c>
      <c r="D187" s="4">
        <v>1</v>
      </c>
      <c r="E187" s="4">
        <v>232</v>
      </c>
      <c r="F187" s="4">
        <f>ROUND(Source!BC171,O187)</f>
        <v>0</v>
      </c>
      <c r="G187" s="4" t="s">
        <v>52</v>
      </c>
      <c r="H187" s="4" t="s">
        <v>53</v>
      </c>
      <c r="I187" s="4"/>
      <c r="J187" s="4"/>
      <c r="K187" s="4">
        <v>232</v>
      </c>
      <c r="L187" s="4">
        <v>15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8" x14ac:dyDescent="0.2">
      <c r="A188" s="4">
        <v>50</v>
      </c>
      <c r="B188" s="4">
        <v>0</v>
      </c>
      <c r="C188" s="4">
        <v>0</v>
      </c>
      <c r="D188" s="4">
        <v>1</v>
      </c>
      <c r="E188" s="4">
        <v>214</v>
      </c>
      <c r="F188" s="4">
        <f>ROUND(Source!AS171,O188)</f>
        <v>7218.58</v>
      </c>
      <c r="G188" s="4" t="s">
        <v>54</v>
      </c>
      <c r="H188" s="4" t="s">
        <v>55</v>
      </c>
      <c r="I188" s="4"/>
      <c r="J188" s="4"/>
      <c r="K188" s="4">
        <v>214</v>
      </c>
      <c r="L188" s="4">
        <v>16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7218.58</v>
      </c>
      <c r="X188" s="4">
        <v>1</v>
      </c>
      <c r="Y188" s="4">
        <v>7218.58</v>
      </c>
      <c r="Z188" s="4"/>
      <c r="AA188" s="4"/>
      <c r="AB188" s="4"/>
    </row>
    <row r="189" spans="1:28" x14ac:dyDescent="0.2">
      <c r="A189" s="4">
        <v>50</v>
      </c>
      <c r="B189" s="4">
        <v>0</v>
      </c>
      <c r="C189" s="4">
        <v>0</v>
      </c>
      <c r="D189" s="4">
        <v>1</v>
      </c>
      <c r="E189" s="4">
        <v>215</v>
      </c>
      <c r="F189" s="4">
        <f>ROUND(Source!AT171,O189)</f>
        <v>2119.6799999999998</v>
      </c>
      <c r="G189" s="4" t="s">
        <v>56</v>
      </c>
      <c r="H189" s="4" t="s">
        <v>57</v>
      </c>
      <c r="I189" s="4"/>
      <c r="J189" s="4"/>
      <c r="K189" s="4">
        <v>215</v>
      </c>
      <c r="L189" s="4">
        <v>17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2119.6799999999998</v>
      </c>
      <c r="X189" s="4">
        <v>1</v>
      </c>
      <c r="Y189" s="4">
        <v>2119.6799999999998</v>
      </c>
      <c r="Z189" s="4"/>
      <c r="AA189" s="4"/>
      <c r="AB189" s="4"/>
    </row>
    <row r="190" spans="1:28" x14ac:dyDescent="0.2">
      <c r="A190" s="4">
        <v>50</v>
      </c>
      <c r="B190" s="4">
        <v>0</v>
      </c>
      <c r="C190" s="4">
        <v>0</v>
      </c>
      <c r="D190" s="4">
        <v>1</v>
      </c>
      <c r="E190" s="4">
        <v>217</v>
      </c>
      <c r="F190" s="4">
        <f>ROUND(Source!AU171,O190)</f>
        <v>0</v>
      </c>
      <c r="G190" s="4" t="s">
        <v>58</v>
      </c>
      <c r="H190" s="4" t="s">
        <v>59</v>
      </c>
      <c r="I190" s="4"/>
      <c r="J190" s="4"/>
      <c r="K190" s="4">
        <v>217</v>
      </c>
      <c r="L190" s="4">
        <v>18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8" x14ac:dyDescent="0.2">
      <c r="A191" s="4">
        <v>50</v>
      </c>
      <c r="B191" s="4">
        <v>0</v>
      </c>
      <c r="C191" s="4">
        <v>0</v>
      </c>
      <c r="D191" s="4">
        <v>1</v>
      </c>
      <c r="E191" s="4">
        <v>230</v>
      </c>
      <c r="F191" s="4">
        <f>ROUND(Source!BA171,O191)</f>
        <v>0</v>
      </c>
      <c r="G191" s="4" t="s">
        <v>60</v>
      </c>
      <c r="H191" s="4" t="s">
        <v>61</v>
      </c>
      <c r="I191" s="4"/>
      <c r="J191" s="4"/>
      <c r="K191" s="4">
        <v>230</v>
      </c>
      <c r="L191" s="4">
        <v>19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8" x14ac:dyDescent="0.2">
      <c r="A192" s="4">
        <v>50</v>
      </c>
      <c r="B192" s="4">
        <v>0</v>
      </c>
      <c r="C192" s="4">
        <v>0</v>
      </c>
      <c r="D192" s="4">
        <v>1</v>
      </c>
      <c r="E192" s="4">
        <v>206</v>
      </c>
      <c r="F192" s="4">
        <f>ROUND(Source!T171,O192)</f>
        <v>0</v>
      </c>
      <c r="G192" s="4" t="s">
        <v>62</v>
      </c>
      <c r="H192" s="4" t="s">
        <v>63</v>
      </c>
      <c r="I192" s="4"/>
      <c r="J192" s="4"/>
      <c r="K192" s="4">
        <v>206</v>
      </c>
      <c r="L192" s="4">
        <v>20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207</v>
      </c>
      <c r="F193" s="4">
        <f>Source!U171</f>
        <v>2.4470000000000001</v>
      </c>
      <c r="G193" s="4" t="s">
        <v>64</v>
      </c>
      <c r="H193" s="4" t="s">
        <v>65</v>
      </c>
      <c r="I193" s="4"/>
      <c r="J193" s="4"/>
      <c r="K193" s="4">
        <v>207</v>
      </c>
      <c r="L193" s="4">
        <v>21</v>
      </c>
      <c r="M193" s="4">
        <v>3</v>
      </c>
      <c r="N193" s="4" t="s">
        <v>3</v>
      </c>
      <c r="O193" s="4">
        <v>-1</v>
      </c>
      <c r="P193" s="4"/>
      <c r="Q193" s="4"/>
      <c r="R193" s="4"/>
      <c r="S193" s="4"/>
      <c r="T193" s="4"/>
      <c r="U193" s="4"/>
      <c r="V193" s="4"/>
      <c r="W193" s="4">
        <v>2.4470000000000001</v>
      </c>
      <c r="X193" s="4">
        <v>1</v>
      </c>
      <c r="Y193" s="4">
        <v>2.4470000000000001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208</v>
      </c>
      <c r="F194" s="4">
        <f>Source!V171</f>
        <v>0.70950000000000002</v>
      </c>
      <c r="G194" s="4" t="s">
        <v>66</v>
      </c>
      <c r="H194" s="4" t="s">
        <v>67</v>
      </c>
      <c r="I194" s="4"/>
      <c r="J194" s="4"/>
      <c r="K194" s="4">
        <v>208</v>
      </c>
      <c r="L194" s="4">
        <v>22</v>
      </c>
      <c r="M194" s="4">
        <v>3</v>
      </c>
      <c r="N194" s="4" t="s">
        <v>3</v>
      </c>
      <c r="O194" s="4">
        <v>-1</v>
      </c>
      <c r="P194" s="4"/>
      <c r="Q194" s="4"/>
      <c r="R194" s="4"/>
      <c r="S194" s="4"/>
      <c r="T194" s="4"/>
      <c r="U194" s="4"/>
      <c r="V194" s="4"/>
      <c r="W194" s="4">
        <v>0.70950000000000002</v>
      </c>
      <c r="X194" s="4">
        <v>1</v>
      </c>
      <c r="Y194" s="4">
        <v>0.70950000000000002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209</v>
      </c>
      <c r="F195" s="4">
        <f>ROUND(Source!W171,O195)</f>
        <v>0</v>
      </c>
      <c r="G195" s="4" t="s">
        <v>68</v>
      </c>
      <c r="H195" s="4" t="s">
        <v>69</v>
      </c>
      <c r="I195" s="4"/>
      <c r="J195" s="4"/>
      <c r="K195" s="4">
        <v>209</v>
      </c>
      <c r="L195" s="4">
        <v>23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233</v>
      </c>
      <c r="F196" s="4">
        <f>ROUND(Source!BD171,O196)</f>
        <v>0</v>
      </c>
      <c r="G196" s="4" t="s">
        <v>70</v>
      </c>
      <c r="H196" s="4" t="s">
        <v>71</v>
      </c>
      <c r="I196" s="4"/>
      <c r="J196" s="4"/>
      <c r="K196" s="4">
        <v>233</v>
      </c>
      <c r="L196" s="4">
        <v>24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0</v>
      </c>
      <c r="F197" s="4">
        <f>ROUND(Source!X171,O197)</f>
        <v>1046.0999999999999</v>
      </c>
      <c r="G197" s="4" t="s">
        <v>72</v>
      </c>
      <c r="H197" s="4" t="s">
        <v>73</v>
      </c>
      <c r="I197" s="4"/>
      <c r="J197" s="4"/>
      <c r="K197" s="4">
        <v>210</v>
      </c>
      <c r="L197" s="4">
        <v>25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1046.0999999999999</v>
      </c>
      <c r="X197" s="4">
        <v>1</v>
      </c>
      <c r="Y197" s="4">
        <v>1046.0999999999999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0</v>
      </c>
      <c r="F198" s="4">
        <f>ROUND(Source!Y171,O198)</f>
        <v>609.38</v>
      </c>
      <c r="G198" s="4" t="s">
        <v>74</v>
      </c>
      <c r="H198" s="4" t="s">
        <v>75</v>
      </c>
      <c r="I198" s="4"/>
      <c r="J198" s="4"/>
      <c r="K198" s="4">
        <v>211</v>
      </c>
      <c r="L198" s="4">
        <v>26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609.38</v>
      </c>
      <c r="X198" s="4">
        <v>1</v>
      </c>
      <c r="Y198" s="4">
        <v>609.38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224</v>
      </c>
      <c r="F199" s="4">
        <f>ROUND(Source!AR171,O199)</f>
        <v>9338.26</v>
      </c>
      <c r="G199" s="4" t="s">
        <v>76</v>
      </c>
      <c r="H199" s="4" t="s">
        <v>77</v>
      </c>
      <c r="I199" s="4"/>
      <c r="J199" s="4"/>
      <c r="K199" s="4">
        <v>224</v>
      </c>
      <c r="L199" s="4">
        <v>27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9338.26</v>
      </c>
      <c r="X199" s="4">
        <v>1</v>
      </c>
      <c r="Y199" s="4">
        <v>9338.26</v>
      </c>
      <c r="Z199" s="4"/>
      <c r="AA199" s="4"/>
      <c r="AB199" s="4"/>
    </row>
    <row r="200" spans="1:28" x14ac:dyDescent="0.2">
      <c r="A200" s="4">
        <v>50</v>
      </c>
      <c r="B200" s="4">
        <v>1</v>
      </c>
      <c r="C200" s="4">
        <v>0</v>
      </c>
      <c r="D200" s="4">
        <v>2</v>
      </c>
      <c r="E200" s="4">
        <v>205</v>
      </c>
      <c r="F200" s="4">
        <f>ROUND(F186,O200)</f>
        <v>749.13</v>
      </c>
      <c r="G200" s="4" t="s">
        <v>78</v>
      </c>
      <c r="H200" s="4" t="s">
        <v>50</v>
      </c>
      <c r="I200" s="4"/>
      <c r="J200" s="4"/>
      <c r="K200" s="4">
        <v>212</v>
      </c>
      <c r="L200" s="4">
        <v>28</v>
      </c>
      <c r="M200" s="4">
        <v>0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749.13</v>
      </c>
      <c r="X200" s="4">
        <v>1</v>
      </c>
      <c r="Y200" s="4">
        <v>749.13</v>
      </c>
      <c r="Z200" s="4"/>
      <c r="AA200" s="4"/>
      <c r="AB200" s="4"/>
    </row>
    <row r="201" spans="1:28" x14ac:dyDescent="0.2">
      <c r="A201" s="4">
        <v>50</v>
      </c>
      <c r="B201" s="4">
        <v>1</v>
      </c>
      <c r="C201" s="4">
        <v>0</v>
      </c>
      <c r="D201" s="4">
        <v>2</v>
      </c>
      <c r="E201" s="4">
        <v>203</v>
      </c>
      <c r="F201" s="4">
        <f>ROUND(F183,O201)</f>
        <v>841.4</v>
      </c>
      <c r="G201" s="4" t="s">
        <v>79</v>
      </c>
      <c r="H201" s="4" t="s">
        <v>80</v>
      </c>
      <c r="I201" s="4"/>
      <c r="J201" s="4"/>
      <c r="K201" s="4">
        <v>212</v>
      </c>
      <c r="L201" s="4">
        <v>29</v>
      </c>
      <c r="M201" s="4">
        <v>0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841.4</v>
      </c>
      <c r="X201" s="4">
        <v>1</v>
      </c>
      <c r="Y201" s="4">
        <v>841.4</v>
      </c>
      <c r="Z201" s="4"/>
      <c r="AA201" s="4"/>
      <c r="AB201" s="4"/>
    </row>
    <row r="202" spans="1:28" x14ac:dyDescent="0.2">
      <c r="A202" s="4">
        <v>50</v>
      </c>
      <c r="B202" s="4">
        <v>1</v>
      </c>
      <c r="C202" s="4">
        <v>0</v>
      </c>
      <c r="D202" s="4">
        <v>2</v>
      </c>
      <c r="E202" s="4">
        <v>204</v>
      </c>
      <c r="F202" s="4">
        <f>ROUND(F185,O202)</f>
        <v>266.5</v>
      </c>
      <c r="G202" s="4" t="s">
        <v>81</v>
      </c>
      <c r="H202" s="4" t="s">
        <v>82</v>
      </c>
      <c r="I202" s="4"/>
      <c r="J202" s="4"/>
      <c r="K202" s="4">
        <v>212</v>
      </c>
      <c r="L202" s="4">
        <v>30</v>
      </c>
      <c r="M202" s="4">
        <v>0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266.5</v>
      </c>
      <c r="X202" s="4">
        <v>1</v>
      </c>
      <c r="Y202" s="4">
        <v>266.5</v>
      </c>
      <c r="Z202" s="4"/>
      <c r="AA202" s="4"/>
      <c r="AB202" s="4"/>
    </row>
    <row r="203" spans="1:28" x14ac:dyDescent="0.2">
      <c r="A203" s="4">
        <v>50</v>
      </c>
      <c r="B203" s="4">
        <v>1</v>
      </c>
      <c r="C203" s="4">
        <v>0</v>
      </c>
      <c r="D203" s="4">
        <v>2</v>
      </c>
      <c r="E203" s="4">
        <v>202</v>
      </c>
      <c r="F203" s="4">
        <f>ROUND(F174,O203)</f>
        <v>6092.25</v>
      </c>
      <c r="G203" s="4" t="s">
        <v>83</v>
      </c>
      <c r="H203" s="4" t="s">
        <v>84</v>
      </c>
      <c r="I203" s="4"/>
      <c r="J203" s="4"/>
      <c r="K203" s="4">
        <v>212</v>
      </c>
      <c r="L203" s="4">
        <v>31</v>
      </c>
      <c r="M203" s="4">
        <v>0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6092.25</v>
      </c>
      <c r="X203" s="4">
        <v>1</v>
      </c>
      <c r="Y203" s="4">
        <v>6092.25</v>
      </c>
      <c r="Z203" s="4"/>
      <c r="AA203" s="4"/>
      <c r="AB203" s="4"/>
    </row>
    <row r="204" spans="1:28" x14ac:dyDescent="0.2">
      <c r="A204" s="4">
        <v>50</v>
      </c>
      <c r="B204" s="4">
        <v>1</v>
      </c>
      <c r="C204" s="4">
        <v>0</v>
      </c>
      <c r="D204" s="4">
        <v>2</v>
      </c>
      <c r="E204" s="4">
        <v>210</v>
      </c>
      <c r="F204" s="4">
        <f>ROUND(F197,O204)</f>
        <v>1046.0999999999999</v>
      </c>
      <c r="G204" s="4" t="s">
        <v>85</v>
      </c>
      <c r="H204" s="4" t="s">
        <v>72</v>
      </c>
      <c r="I204" s="4"/>
      <c r="J204" s="4"/>
      <c r="K204" s="4">
        <v>212</v>
      </c>
      <c r="L204" s="4">
        <v>32</v>
      </c>
      <c r="M204" s="4">
        <v>0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1046.0999999999999</v>
      </c>
      <c r="X204" s="4">
        <v>1</v>
      </c>
      <c r="Y204" s="4">
        <v>1046.0999999999999</v>
      </c>
      <c r="Z204" s="4"/>
      <c r="AA204" s="4"/>
      <c r="AB204" s="4"/>
    </row>
    <row r="205" spans="1:28" x14ac:dyDescent="0.2">
      <c r="A205" s="4">
        <v>50</v>
      </c>
      <c r="B205" s="4">
        <v>1</v>
      </c>
      <c r="C205" s="4">
        <v>0</v>
      </c>
      <c r="D205" s="4">
        <v>2</v>
      </c>
      <c r="E205" s="4">
        <v>211</v>
      </c>
      <c r="F205" s="4">
        <f>ROUND(F198,O205)</f>
        <v>609.38</v>
      </c>
      <c r="G205" s="4" t="s">
        <v>86</v>
      </c>
      <c r="H205" s="4" t="s">
        <v>87</v>
      </c>
      <c r="I205" s="4"/>
      <c r="J205" s="4"/>
      <c r="K205" s="4">
        <v>212</v>
      </c>
      <c r="L205" s="4">
        <v>33</v>
      </c>
      <c r="M205" s="4">
        <v>0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609.38</v>
      </c>
      <c r="X205" s="4">
        <v>1</v>
      </c>
      <c r="Y205" s="4">
        <v>609.38</v>
      </c>
      <c r="Z205" s="4"/>
      <c r="AA205" s="4"/>
      <c r="AB205" s="4"/>
    </row>
    <row r="206" spans="1:28" x14ac:dyDescent="0.2">
      <c r="A206" s="4">
        <v>50</v>
      </c>
      <c r="B206" s="4">
        <v>1</v>
      </c>
      <c r="C206" s="4">
        <v>0</v>
      </c>
      <c r="D206" s="4">
        <v>2</v>
      </c>
      <c r="E206" s="4">
        <v>213</v>
      </c>
      <c r="F206" s="4">
        <f>ROUND(F200+F201+F203+F204+F205,O206)</f>
        <v>9338.26</v>
      </c>
      <c r="G206" s="4" t="s">
        <v>88</v>
      </c>
      <c r="H206" s="4" t="s">
        <v>89</v>
      </c>
      <c r="I206" s="4"/>
      <c r="J206" s="4"/>
      <c r="K206" s="4">
        <v>212</v>
      </c>
      <c r="L206" s="4">
        <v>34</v>
      </c>
      <c r="M206" s="4">
        <v>0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9338.26</v>
      </c>
      <c r="X206" s="4">
        <v>1</v>
      </c>
      <c r="Y206" s="4">
        <v>9338.26</v>
      </c>
      <c r="Z206" s="4"/>
      <c r="AA206" s="4"/>
      <c r="AB206" s="4"/>
    </row>
    <row r="207" spans="1:28" x14ac:dyDescent="0.2">
      <c r="A207" s="4">
        <v>50</v>
      </c>
      <c r="B207" s="4">
        <v>1</v>
      </c>
      <c r="C207" s="4">
        <v>0</v>
      </c>
      <c r="D207" s="4">
        <v>2</v>
      </c>
      <c r="E207" s="4">
        <v>40729949</v>
      </c>
      <c r="F207" s="4">
        <f>ROUND(F206*0.2,O207)</f>
        <v>1867.65</v>
      </c>
      <c r="G207" s="4" t="s">
        <v>90</v>
      </c>
      <c r="H207" s="4" t="s">
        <v>91</v>
      </c>
      <c r="I207" s="4"/>
      <c r="J207" s="4"/>
      <c r="K207" s="4">
        <v>212</v>
      </c>
      <c r="L207" s="4">
        <v>35</v>
      </c>
      <c r="M207" s="4">
        <v>0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1867.65</v>
      </c>
      <c r="X207" s="4">
        <v>1</v>
      </c>
      <c r="Y207" s="4">
        <v>1867.65</v>
      </c>
      <c r="Z207" s="4"/>
      <c r="AA207" s="4"/>
      <c r="AB207" s="4"/>
    </row>
    <row r="208" spans="1:28" x14ac:dyDescent="0.2">
      <c r="A208" s="4">
        <v>50</v>
      </c>
      <c r="B208" s="4">
        <v>1</v>
      </c>
      <c r="C208" s="4">
        <v>0</v>
      </c>
      <c r="D208" s="4">
        <v>2</v>
      </c>
      <c r="E208" s="4">
        <v>65938917</v>
      </c>
      <c r="F208" s="4">
        <f>ROUND(F206+F207,O208)</f>
        <v>11205.91</v>
      </c>
      <c r="G208" s="4" t="s">
        <v>92</v>
      </c>
      <c r="H208" s="4" t="s">
        <v>93</v>
      </c>
      <c r="I208" s="4"/>
      <c r="J208" s="4"/>
      <c r="K208" s="4">
        <v>212</v>
      </c>
      <c r="L208" s="4">
        <v>36</v>
      </c>
      <c r="M208" s="4">
        <v>0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11205.91</v>
      </c>
      <c r="X208" s="4">
        <v>1</v>
      </c>
      <c r="Y208" s="4">
        <v>11205.91</v>
      </c>
      <c r="Z208" s="4"/>
      <c r="AA208" s="4"/>
      <c r="AB208" s="4"/>
    </row>
    <row r="210" spans="1:206" x14ac:dyDescent="0.2">
      <c r="A210" s="2">
        <v>51</v>
      </c>
      <c r="B210" s="2">
        <f>B20</f>
        <v>1</v>
      </c>
      <c r="C210" s="2">
        <f>A20</f>
        <v>3</v>
      </c>
      <c r="D210" s="2">
        <f>ROW(A20)</f>
        <v>20</v>
      </c>
      <c r="E210" s="2"/>
      <c r="F210" s="2" t="str">
        <f>IF(F20&lt;&gt;"",F20,"")</f>
        <v/>
      </c>
      <c r="G210" s="2" t="str">
        <f>IF(G20&lt;&gt;"",G20,"")</f>
        <v/>
      </c>
      <c r="H210" s="2">
        <v>0</v>
      </c>
      <c r="I210" s="2"/>
      <c r="J210" s="2"/>
      <c r="K210" s="2"/>
      <c r="L210" s="2"/>
      <c r="M210" s="2"/>
      <c r="N210" s="2"/>
      <c r="O210" s="2">
        <f t="shared" ref="O210:T210" si="153">ROUND(O30+O120+O171+AB210,2)</f>
        <v>127841.54</v>
      </c>
      <c r="P210" s="2">
        <f t="shared" si="153"/>
        <v>80626.679999999993</v>
      </c>
      <c r="Q210" s="2">
        <f t="shared" si="153"/>
        <v>24011.119999999999</v>
      </c>
      <c r="R210" s="2">
        <f t="shared" si="153"/>
        <v>5778.09</v>
      </c>
      <c r="S210" s="2">
        <f t="shared" si="153"/>
        <v>23203.74</v>
      </c>
      <c r="T210" s="2">
        <f t="shared" si="153"/>
        <v>0</v>
      </c>
      <c r="U210" s="2">
        <f>U30+U120+U171+AH210</f>
        <v>72.235212000000004</v>
      </c>
      <c r="V210" s="2">
        <f>V30+V120+V171+AI210</f>
        <v>16.518820399999999</v>
      </c>
      <c r="W210" s="2">
        <f>ROUND(W30+W120+W171+AJ210,2)</f>
        <v>0</v>
      </c>
      <c r="X210" s="2">
        <f>ROUND(X30+X120+X171+AK210,2)</f>
        <v>28034.66</v>
      </c>
      <c r="Y210" s="2">
        <f>ROUND(Y30+Y120+Y171+AL210,2)</f>
        <v>15709.33</v>
      </c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>
        <f t="shared" ref="AO210:BD210" si="154">ROUND(AO30+AO120+AO171+BX210,2)</f>
        <v>0</v>
      </c>
      <c r="AP210" s="2">
        <f t="shared" si="154"/>
        <v>0</v>
      </c>
      <c r="AQ210" s="2">
        <f t="shared" si="154"/>
        <v>0</v>
      </c>
      <c r="AR210" s="2">
        <f t="shared" si="154"/>
        <v>171585.53</v>
      </c>
      <c r="AS210" s="2">
        <f t="shared" si="154"/>
        <v>147976.94</v>
      </c>
      <c r="AT210" s="2">
        <f t="shared" si="154"/>
        <v>12524.33</v>
      </c>
      <c r="AU210" s="2">
        <f t="shared" si="154"/>
        <v>11084.26</v>
      </c>
      <c r="AV210" s="2">
        <f t="shared" si="154"/>
        <v>80626.679999999993</v>
      </c>
      <c r="AW210" s="2">
        <f t="shared" si="154"/>
        <v>80626.679999999993</v>
      </c>
      <c r="AX210" s="2">
        <f t="shared" si="154"/>
        <v>0</v>
      </c>
      <c r="AY210" s="2">
        <f t="shared" si="154"/>
        <v>80626.679999999993</v>
      </c>
      <c r="AZ210" s="2">
        <f t="shared" si="154"/>
        <v>0</v>
      </c>
      <c r="BA210" s="2">
        <f t="shared" si="154"/>
        <v>0</v>
      </c>
      <c r="BB210" s="2">
        <f t="shared" si="154"/>
        <v>0</v>
      </c>
      <c r="BC210" s="2">
        <f t="shared" si="154"/>
        <v>0</v>
      </c>
      <c r="BD210" s="2">
        <f t="shared" si="154"/>
        <v>0</v>
      </c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3"/>
      <c r="DH210" s="3"/>
      <c r="DI210" s="3"/>
      <c r="DJ210" s="3"/>
      <c r="DK210" s="3"/>
      <c r="DL210" s="3"/>
      <c r="DM210" s="3"/>
      <c r="DN210" s="3"/>
      <c r="DO210" s="3"/>
      <c r="DP210" s="3"/>
      <c r="DQ210" s="3"/>
      <c r="DR210" s="3"/>
      <c r="DS210" s="3"/>
      <c r="DT210" s="3"/>
      <c r="DU210" s="3"/>
      <c r="DV210" s="3"/>
      <c r="DW210" s="3"/>
      <c r="DX210" s="3"/>
      <c r="DY210" s="3"/>
      <c r="DZ210" s="3"/>
      <c r="EA210" s="3"/>
      <c r="EB210" s="3"/>
      <c r="EC210" s="3"/>
      <c r="ED210" s="3"/>
      <c r="EE210" s="3"/>
      <c r="EF210" s="3"/>
      <c r="EG210" s="3"/>
      <c r="EH210" s="3"/>
      <c r="EI210" s="3"/>
      <c r="EJ210" s="3"/>
      <c r="EK210" s="3"/>
      <c r="EL210" s="3"/>
      <c r="EM210" s="3"/>
      <c r="EN210" s="3"/>
      <c r="EO210" s="3"/>
      <c r="EP210" s="3"/>
      <c r="EQ210" s="3"/>
      <c r="ER210" s="3"/>
      <c r="ES210" s="3"/>
      <c r="ET210" s="3"/>
      <c r="EU210" s="3"/>
      <c r="EV210" s="3"/>
      <c r="EW210" s="3"/>
      <c r="EX210" s="3"/>
      <c r="EY210" s="3"/>
      <c r="EZ210" s="3"/>
      <c r="FA210" s="3"/>
      <c r="FB210" s="3"/>
      <c r="FC210" s="3"/>
      <c r="FD210" s="3"/>
      <c r="FE210" s="3"/>
      <c r="FF210" s="3"/>
      <c r="FG210" s="3"/>
      <c r="FH210" s="3"/>
      <c r="FI210" s="3"/>
      <c r="FJ210" s="3"/>
      <c r="FK210" s="3"/>
      <c r="FL210" s="3"/>
      <c r="FM210" s="3"/>
      <c r="FN210" s="3"/>
      <c r="FO210" s="3"/>
      <c r="FP210" s="3"/>
      <c r="FQ210" s="3"/>
      <c r="FR210" s="3"/>
      <c r="FS210" s="3"/>
      <c r="FT210" s="3"/>
      <c r="FU210" s="3"/>
      <c r="FV210" s="3"/>
      <c r="FW210" s="3"/>
      <c r="FX210" s="3"/>
      <c r="FY210" s="3"/>
      <c r="FZ210" s="3"/>
      <c r="GA210" s="3"/>
      <c r="GB210" s="3"/>
      <c r="GC210" s="3"/>
      <c r="GD210" s="3"/>
      <c r="GE210" s="3"/>
      <c r="GF210" s="3"/>
      <c r="GG210" s="3"/>
      <c r="GH210" s="3"/>
      <c r="GI210" s="3"/>
      <c r="GJ210" s="3"/>
      <c r="GK210" s="3"/>
      <c r="GL210" s="3"/>
      <c r="GM210" s="3"/>
      <c r="GN210" s="3"/>
      <c r="GO210" s="3"/>
      <c r="GP210" s="3"/>
      <c r="GQ210" s="3"/>
      <c r="GR210" s="3"/>
      <c r="GS210" s="3"/>
      <c r="GT210" s="3"/>
      <c r="GU210" s="3"/>
      <c r="GV210" s="3"/>
      <c r="GW210" s="3"/>
      <c r="GX210" s="3">
        <v>0</v>
      </c>
    </row>
    <row r="212" spans="1:206" x14ac:dyDescent="0.2">
      <c r="A212" s="4">
        <v>50</v>
      </c>
      <c r="B212" s="4">
        <v>0</v>
      </c>
      <c r="C212" s="4">
        <v>0</v>
      </c>
      <c r="D212" s="4">
        <v>1</v>
      </c>
      <c r="E212" s="4">
        <v>201</v>
      </c>
      <c r="F212" s="4">
        <f>ROUND(Source!O210,O212)</f>
        <v>127841.54</v>
      </c>
      <c r="G212" s="4" t="s">
        <v>24</v>
      </c>
      <c r="H212" s="4" t="s">
        <v>25</v>
      </c>
      <c r="I212" s="4"/>
      <c r="J212" s="4"/>
      <c r="K212" s="4">
        <v>201</v>
      </c>
      <c r="L212" s="4">
        <v>1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127841.54</v>
      </c>
      <c r="X212" s="4">
        <v>1</v>
      </c>
      <c r="Y212" s="4">
        <v>127841.54</v>
      </c>
      <c r="Z212" s="4"/>
      <c r="AA212" s="4"/>
      <c r="AB212" s="4"/>
    </row>
    <row r="213" spans="1:206" x14ac:dyDescent="0.2">
      <c r="A213" s="4">
        <v>50</v>
      </c>
      <c r="B213" s="4">
        <v>0</v>
      </c>
      <c r="C213" s="4">
        <v>0</v>
      </c>
      <c r="D213" s="4">
        <v>1</v>
      </c>
      <c r="E213" s="4">
        <v>0</v>
      </c>
      <c r="F213" s="4">
        <f>ROUND(Source!P210,O213)</f>
        <v>80626.679999999993</v>
      </c>
      <c r="G213" s="4" t="s">
        <v>26</v>
      </c>
      <c r="H213" s="4" t="s">
        <v>27</v>
      </c>
      <c r="I213" s="4"/>
      <c r="J213" s="4"/>
      <c r="K213" s="4">
        <v>202</v>
      </c>
      <c r="L213" s="4">
        <v>2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80626.679999999993</v>
      </c>
      <c r="X213" s="4">
        <v>1</v>
      </c>
      <c r="Y213" s="4">
        <v>80626.679999999993</v>
      </c>
      <c r="Z213" s="4"/>
      <c r="AA213" s="4"/>
      <c r="AB213" s="4"/>
    </row>
    <row r="214" spans="1:206" x14ac:dyDescent="0.2">
      <c r="A214" s="4">
        <v>50</v>
      </c>
      <c r="B214" s="4">
        <v>0</v>
      </c>
      <c r="C214" s="4">
        <v>0</v>
      </c>
      <c r="D214" s="4">
        <v>1</v>
      </c>
      <c r="E214" s="4">
        <v>222</v>
      </c>
      <c r="F214" s="4">
        <f>ROUND(Source!AO210,O214)</f>
        <v>0</v>
      </c>
      <c r="G214" s="4" t="s">
        <v>28</v>
      </c>
      <c r="H214" s="4" t="s">
        <v>29</v>
      </c>
      <c r="I214" s="4"/>
      <c r="J214" s="4"/>
      <c r="K214" s="4">
        <v>222</v>
      </c>
      <c r="L214" s="4">
        <v>3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06" x14ac:dyDescent="0.2">
      <c r="A215" s="4">
        <v>50</v>
      </c>
      <c r="B215" s="4">
        <v>0</v>
      </c>
      <c r="C215" s="4">
        <v>0</v>
      </c>
      <c r="D215" s="4">
        <v>1</v>
      </c>
      <c r="E215" s="4">
        <v>225</v>
      </c>
      <c r="F215" s="4">
        <f>ROUND(Source!AV210,O215)</f>
        <v>80626.679999999993</v>
      </c>
      <c r="G215" s="4" t="s">
        <v>30</v>
      </c>
      <c r="H215" s="4" t="s">
        <v>31</v>
      </c>
      <c r="I215" s="4"/>
      <c r="J215" s="4"/>
      <c r="K215" s="4">
        <v>225</v>
      </c>
      <c r="L215" s="4">
        <v>4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80626.679999999993</v>
      </c>
      <c r="X215" s="4">
        <v>1</v>
      </c>
      <c r="Y215" s="4">
        <v>80626.679999999993</v>
      </c>
      <c r="Z215" s="4"/>
      <c r="AA215" s="4"/>
      <c r="AB215" s="4"/>
    </row>
    <row r="216" spans="1:206" x14ac:dyDescent="0.2">
      <c r="A216" s="4">
        <v>50</v>
      </c>
      <c r="B216" s="4">
        <v>0</v>
      </c>
      <c r="C216" s="4">
        <v>0</v>
      </c>
      <c r="D216" s="4">
        <v>1</v>
      </c>
      <c r="E216" s="4">
        <v>226</v>
      </c>
      <c r="F216" s="4">
        <f>ROUND(Source!AW210,O216)</f>
        <v>80626.679999999993</v>
      </c>
      <c r="G216" s="4" t="s">
        <v>32</v>
      </c>
      <c r="H216" s="4" t="s">
        <v>33</v>
      </c>
      <c r="I216" s="4"/>
      <c r="J216" s="4"/>
      <c r="K216" s="4">
        <v>226</v>
      </c>
      <c r="L216" s="4">
        <v>5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80626.679999999993</v>
      </c>
      <c r="X216" s="4">
        <v>1</v>
      </c>
      <c r="Y216" s="4">
        <v>80626.679999999993</v>
      </c>
      <c r="Z216" s="4"/>
      <c r="AA216" s="4"/>
      <c r="AB216" s="4"/>
    </row>
    <row r="217" spans="1:206" x14ac:dyDescent="0.2">
      <c r="A217" s="4">
        <v>50</v>
      </c>
      <c r="B217" s="4">
        <v>0</v>
      </c>
      <c r="C217" s="4">
        <v>0</v>
      </c>
      <c r="D217" s="4">
        <v>1</v>
      </c>
      <c r="E217" s="4">
        <v>227</v>
      </c>
      <c r="F217" s="4">
        <f>ROUND(Source!AX210,O217)</f>
        <v>0</v>
      </c>
      <c r="G217" s="4" t="s">
        <v>34</v>
      </c>
      <c r="H217" s="4" t="s">
        <v>35</v>
      </c>
      <c r="I217" s="4"/>
      <c r="J217" s="4"/>
      <c r="K217" s="4">
        <v>227</v>
      </c>
      <c r="L217" s="4">
        <v>6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06" x14ac:dyDescent="0.2">
      <c r="A218" s="4">
        <v>50</v>
      </c>
      <c r="B218" s="4">
        <v>0</v>
      </c>
      <c r="C218" s="4">
        <v>0</v>
      </c>
      <c r="D218" s="4">
        <v>1</v>
      </c>
      <c r="E218" s="4">
        <v>228</v>
      </c>
      <c r="F218" s="4">
        <f>ROUND(Source!AY210,O218)</f>
        <v>80626.679999999993</v>
      </c>
      <c r="G218" s="4" t="s">
        <v>36</v>
      </c>
      <c r="H218" s="4" t="s">
        <v>37</v>
      </c>
      <c r="I218" s="4"/>
      <c r="J218" s="4"/>
      <c r="K218" s="4">
        <v>228</v>
      </c>
      <c r="L218" s="4">
        <v>7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80626.679999999993</v>
      </c>
      <c r="X218" s="4">
        <v>1</v>
      </c>
      <c r="Y218" s="4">
        <v>80626.679999999993</v>
      </c>
      <c r="Z218" s="4"/>
      <c r="AA218" s="4"/>
      <c r="AB218" s="4"/>
    </row>
    <row r="219" spans="1:206" x14ac:dyDescent="0.2">
      <c r="A219" s="4">
        <v>50</v>
      </c>
      <c r="B219" s="4">
        <v>0</v>
      </c>
      <c r="C219" s="4">
        <v>0</v>
      </c>
      <c r="D219" s="4">
        <v>1</v>
      </c>
      <c r="E219" s="4">
        <v>216</v>
      </c>
      <c r="F219" s="4">
        <f>ROUND(Source!AP210,O219)</f>
        <v>0</v>
      </c>
      <c r="G219" s="4" t="s">
        <v>38</v>
      </c>
      <c r="H219" s="4" t="s">
        <v>39</v>
      </c>
      <c r="I219" s="4"/>
      <c r="J219" s="4"/>
      <c r="K219" s="4">
        <v>216</v>
      </c>
      <c r="L219" s="4">
        <v>8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0</v>
      </c>
      <c r="X219" s="4">
        <v>1</v>
      </c>
      <c r="Y219" s="4">
        <v>0</v>
      </c>
      <c r="Z219" s="4"/>
      <c r="AA219" s="4"/>
      <c r="AB219" s="4"/>
    </row>
    <row r="220" spans="1:206" x14ac:dyDescent="0.2">
      <c r="A220" s="4">
        <v>50</v>
      </c>
      <c r="B220" s="4">
        <v>0</v>
      </c>
      <c r="C220" s="4">
        <v>0</v>
      </c>
      <c r="D220" s="4">
        <v>1</v>
      </c>
      <c r="E220" s="4">
        <v>223</v>
      </c>
      <c r="F220" s="4">
        <f>ROUND(Source!AQ210,O220)</f>
        <v>0</v>
      </c>
      <c r="G220" s="4" t="s">
        <v>40</v>
      </c>
      <c r="H220" s="4" t="s">
        <v>41</v>
      </c>
      <c r="I220" s="4"/>
      <c r="J220" s="4"/>
      <c r="K220" s="4">
        <v>223</v>
      </c>
      <c r="L220" s="4">
        <v>9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06" x14ac:dyDescent="0.2">
      <c r="A221" s="4">
        <v>50</v>
      </c>
      <c r="B221" s="4">
        <v>0</v>
      </c>
      <c r="C221" s="4">
        <v>0</v>
      </c>
      <c r="D221" s="4">
        <v>1</v>
      </c>
      <c r="E221" s="4">
        <v>229</v>
      </c>
      <c r="F221" s="4">
        <f>ROUND(Source!AZ210,O221)</f>
        <v>0</v>
      </c>
      <c r="G221" s="4" t="s">
        <v>42</v>
      </c>
      <c r="H221" s="4" t="s">
        <v>43</v>
      </c>
      <c r="I221" s="4"/>
      <c r="J221" s="4"/>
      <c r="K221" s="4">
        <v>229</v>
      </c>
      <c r="L221" s="4">
        <v>10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06" x14ac:dyDescent="0.2">
      <c r="A222" s="4">
        <v>50</v>
      </c>
      <c r="B222" s="4">
        <v>0</v>
      </c>
      <c r="C222" s="4">
        <v>0</v>
      </c>
      <c r="D222" s="4">
        <v>1</v>
      </c>
      <c r="E222" s="4">
        <v>0</v>
      </c>
      <c r="F222" s="4">
        <f>ROUND(Source!Q210,O222)</f>
        <v>24011.119999999999</v>
      </c>
      <c r="G222" s="4" t="s">
        <v>44</v>
      </c>
      <c r="H222" s="4" t="s">
        <v>45</v>
      </c>
      <c r="I222" s="4"/>
      <c r="J222" s="4"/>
      <c r="K222" s="4">
        <v>203</v>
      </c>
      <c r="L222" s="4">
        <v>11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24011.119999999999</v>
      </c>
      <c r="X222" s="4">
        <v>1</v>
      </c>
      <c r="Y222" s="4">
        <v>24011.119999999999</v>
      </c>
      <c r="Z222" s="4"/>
      <c r="AA222" s="4"/>
      <c r="AB222" s="4"/>
    </row>
    <row r="223" spans="1:206" x14ac:dyDescent="0.2">
      <c r="A223" s="4">
        <v>50</v>
      </c>
      <c r="B223" s="4">
        <v>0</v>
      </c>
      <c r="C223" s="4">
        <v>0</v>
      </c>
      <c r="D223" s="4">
        <v>1</v>
      </c>
      <c r="E223" s="4">
        <v>231</v>
      </c>
      <c r="F223" s="4">
        <f>ROUND(Source!BB210,O223)</f>
        <v>0</v>
      </c>
      <c r="G223" s="4" t="s">
        <v>46</v>
      </c>
      <c r="H223" s="4" t="s">
        <v>47</v>
      </c>
      <c r="I223" s="4"/>
      <c r="J223" s="4"/>
      <c r="K223" s="4">
        <v>231</v>
      </c>
      <c r="L223" s="4">
        <v>12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06" x14ac:dyDescent="0.2">
      <c r="A224" s="4">
        <v>50</v>
      </c>
      <c r="B224" s="4">
        <v>0</v>
      </c>
      <c r="C224" s="4">
        <v>0</v>
      </c>
      <c r="D224" s="4">
        <v>1</v>
      </c>
      <c r="E224" s="4">
        <v>0</v>
      </c>
      <c r="F224" s="4">
        <f>ROUND(Source!R210,O224)</f>
        <v>5778.09</v>
      </c>
      <c r="G224" s="4" t="s">
        <v>48</v>
      </c>
      <c r="H224" s="4" t="s">
        <v>49</v>
      </c>
      <c r="I224" s="4"/>
      <c r="J224" s="4"/>
      <c r="K224" s="4">
        <v>204</v>
      </c>
      <c r="L224" s="4">
        <v>13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5778.09</v>
      </c>
      <c r="X224" s="4">
        <v>1</v>
      </c>
      <c r="Y224" s="4">
        <v>5778.09</v>
      </c>
      <c r="Z224" s="4"/>
      <c r="AA224" s="4"/>
      <c r="AB224" s="4"/>
    </row>
    <row r="225" spans="1:28" x14ac:dyDescent="0.2">
      <c r="A225" s="4">
        <v>50</v>
      </c>
      <c r="B225" s="4">
        <v>0</v>
      </c>
      <c r="C225" s="4">
        <v>0</v>
      </c>
      <c r="D225" s="4">
        <v>1</v>
      </c>
      <c r="E225" s="4">
        <v>0</v>
      </c>
      <c r="F225" s="4">
        <f>ROUND(Source!S210,O225)</f>
        <v>23203.74</v>
      </c>
      <c r="G225" s="4" t="s">
        <v>50</v>
      </c>
      <c r="H225" s="4" t="s">
        <v>51</v>
      </c>
      <c r="I225" s="4"/>
      <c r="J225" s="4"/>
      <c r="K225" s="4">
        <v>205</v>
      </c>
      <c r="L225" s="4">
        <v>14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23203.74</v>
      </c>
      <c r="X225" s="4">
        <v>1</v>
      </c>
      <c r="Y225" s="4">
        <v>23203.74</v>
      </c>
      <c r="Z225" s="4"/>
      <c r="AA225" s="4"/>
      <c r="AB225" s="4"/>
    </row>
    <row r="226" spans="1:28" x14ac:dyDescent="0.2">
      <c r="A226" s="4">
        <v>50</v>
      </c>
      <c r="B226" s="4">
        <v>0</v>
      </c>
      <c r="C226" s="4">
        <v>0</v>
      </c>
      <c r="D226" s="4">
        <v>1</v>
      </c>
      <c r="E226" s="4">
        <v>232</v>
      </c>
      <c r="F226" s="4">
        <f>ROUND(Source!BC210,O226)</f>
        <v>0</v>
      </c>
      <c r="G226" s="4" t="s">
        <v>52</v>
      </c>
      <c r="H226" s="4" t="s">
        <v>53</v>
      </c>
      <c r="I226" s="4"/>
      <c r="J226" s="4"/>
      <c r="K226" s="4">
        <v>232</v>
      </c>
      <c r="L226" s="4">
        <v>15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8" x14ac:dyDescent="0.2">
      <c r="A227" s="4">
        <v>50</v>
      </c>
      <c r="B227" s="4">
        <v>0</v>
      </c>
      <c r="C227" s="4">
        <v>0</v>
      </c>
      <c r="D227" s="4">
        <v>1</v>
      </c>
      <c r="E227" s="4">
        <v>214</v>
      </c>
      <c r="F227" s="4">
        <f>ROUND(Source!AS210,O227)</f>
        <v>147976.94</v>
      </c>
      <c r="G227" s="4" t="s">
        <v>54</v>
      </c>
      <c r="H227" s="4" t="s">
        <v>55</v>
      </c>
      <c r="I227" s="4"/>
      <c r="J227" s="4"/>
      <c r="K227" s="4">
        <v>214</v>
      </c>
      <c r="L227" s="4">
        <v>16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147976.94</v>
      </c>
      <c r="X227" s="4">
        <v>1</v>
      </c>
      <c r="Y227" s="4">
        <v>147976.94</v>
      </c>
      <c r="Z227" s="4"/>
      <c r="AA227" s="4"/>
      <c r="AB227" s="4"/>
    </row>
    <row r="228" spans="1:28" x14ac:dyDescent="0.2">
      <c r="A228" s="4">
        <v>50</v>
      </c>
      <c r="B228" s="4">
        <v>0</v>
      </c>
      <c r="C228" s="4">
        <v>0</v>
      </c>
      <c r="D228" s="4">
        <v>1</v>
      </c>
      <c r="E228" s="4">
        <v>215</v>
      </c>
      <c r="F228" s="4">
        <f>ROUND(Source!AT210,O228)</f>
        <v>12524.33</v>
      </c>
      <c r="G228" s="4" t="s">
        <v>56</v>
      </c>
      <c r="H228" s="4" t="s">
        <v>57</v>
      </c>
      <c r="I228" s="4"/>
      <c r="J228" s="4"/>
      <c r="K228" s="4">
        <v>215</v>
      </c>
      <c r="L228" s="4">
        <v>17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12524.33</v>
      </c>
      <c r="X228" s="4">
        <v>1</v>
      </c>
      <c r="Y228" s="4">
        <v>12524.33</v>
      </c>
      <c r="Z228" s="4"/>
      <c r="AA228" s="4"/>
      <c r="AB228" s="4"/>
    </row>
    <row r="229" spans="1:28" x14ac:dyDescent="0.2">
      <c r="A229" s="4">
        <v>50</v>
      </c>
      <c r="B229" s="4">
        <v>0</v>
      </c>
      <c r="C229" s="4">
        <v>0</v>
      </c>
      <c r="D229" s="4">
        <v>1</v>
      </c>
      <c r="E229" s="4">
        <v>217</v>
      </c>
      <c r="F229" s="4">
        <f>ROUND(Source!AU210,O229)</f>
        <v>11084.26</v>
      </c>
      <c r="G229" s="4" t="s">
        <v>58</v>
      </c>
      <c r="H229" s="4" t="s">
        <v>59</v>
      </c>
      <c r="I229" s="4"/>
      <c r="J229" s="4"/>
      <c r="K229" s="4">
        <v>217</v>
      </c>
      <c r="L229" s="4">
        <v>18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11084.26</v>
      </c>
      <c r="X229" s="4">
        <v>1</v>
      </c>
      <c r="Y229" s="4">
        <v>11084.26</v>
      </c>
      <c r="Z229" s="4"/>
      <c r="AA229" s="4"/>
      <c r="AB229" s="4"/>
    </row>
    <row r="230" spans="1:28" x14ac:dyDescent="0.2">
      <c r="A230" s="4">
        <v>50</v>
      </c>
      <c r="B230" s="4">
        <v>0</v>
      </c>
      <c r="C230" s="4">
        <v>0</v>
      </c>
      <c r="D230" s="4">
        <v>1</v>
      </c>
      <c r="E230" s="4">
        <v>230</v>
      </c>
      <c r="F230" s="4">
        <f>ROUND(Source!BA210,O230)</f>
        <v>0</v>
      </c>
      <c r="G230" s="4" t="s">
        <v>60</v>
      </c>
      <c r="H230" s="4" t="s">
        <v>61</v>
      </c>
      <c r="I230" s="4"/>
      <c r="J230" s="4"/>
      <c r="K230" s="4">
        <v>230</v>
      </c>
      <c r="L230" s="4">
        <v>19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8" x14ac:dyDescent="0.2">
      <c r="A231" s="4">
        <v>50</v>
      </c>
      <c r="B231" s="4">
        <v>0</v>
      </c>
      <c r="C231" s="4">
        <v>0</v>
      </c>
      <c r="D231" s="4">
        <v>1</v>
      </c>
      <c r="E231" s="4">
        <v>206</v>
      </c>
      <c r="F231" s="4">
        <f>ROUND(Source!T210,O231)</f>
        <v>0</v>
      </c>
      <c r="G231" s="4" t="s">
        <v>62</v>
      </c>
      <c r="H231" s="4" t="s">
        <v>63</v>
      </c>
      <c r="I231" s="4"/>
      <c r="J231" s="4"/>
      <c r="K231" s="4">
        <v>206</v>
      </c>
      <c r="L231" s="4">
        <v>20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8" x14ac:dyDescent="0.2">
      <c r="A232" s="4">
        <v>50</v>
      </c>
      <c r="B232" s="4">
        <v>0</v>
      </c>
      <c r="C232" s="4">
        <v>0</v>
      </c>
      <c r="D232" s="4">
        <v>1</v>
      </c>
      <c r="E232" s="4">
        <v>207</v>
      </c>
      <c r="F232" s="4">
        <f>Source!U210</f>
        <v>72.235212000000004</v>
      </c>
      <c r="G232" s="4" t="s">
        <v>64</v>
      </c>
      <c r="H232" s="4" t="s">
        <v>65</v>
      </c>
      <c r="I232" s="4"/>
      <c r="J232" s="4"/>
      <c r="K232" s="4">
        <v>207</v>
      </c>
      <c r="L232" s="4">
        <v>21</v>
      </c>
      <c r="M232" s="4">
        <v>3</v>
      </c>
      <c r="N232" s="4" t="s">
        <v>3</v>
      </c>
      <c r="O232" s="4">
        <v>-1</v>
      </c>
      <c r="P232" s="4"/>
      <c r="Q232" s="4"/>
      <c r="R232" s="4"/>
      <c r="S232" s="4"/>
      <c r="T232" s="4"/>
      <c r="U232" s="4"/>
      <c r="V232" s="4"/>
      <c r="W232" s="4">
        <v>72.235212000000004</v>
      </c>
      <c r="X232" s="4">
        <v>1</v>
      </c>
      <c r="Y232" s="4">
        <v>72.235212000000004</v>
      </c>
      <c r="Z232" s="4"/>
      <c r="AA232" s="4"/>
      <c r="AB232" s="4"/>
    </row>
    <row r="233" spans="1:28" x14ac:dyDescent="0.2">
      <c r="A233" s="4">
        <v>50</v>
      </c>
      <c r="B233" s="4">
        <v>0</v>
      </c>
      <c r="C233" s="4">
        <v>0</v>
      </c>
      <c r="D233" s="4">
        <v>1</v>
      </c>
      <c r="E233" s="4">
        <v>208</v>
      </c>
      <c r="F233" s="4">
        <f>Source!V210</f>
        <v>16.518820399999999</v>
      </c>
      <c r="G233" s="4" t="s">
        <v>66</v>
      </c>
      <c r="H233" s="4" t="s">
        <v>67</v>
      </c>
      <c r="I233" s="4"/>
      <c r="J233" s="4"/>
      <c r="K233" s="4">
        <v>208</v>
      </c>
      <c r="L233" s="4">
        <v>22</v>
      </c>
      <c r="M233" s="4">
        <v>3</v>
      </c>
      <c r="N233" s="4" t="s">
        <v>3</v>
      </c>
      <c r="O233" s="4">
        <v>-1</v>
      </c>
      <c r="P233" s="4"/>
      <c r="Q233" s="4"/>
      <c r="R233" s="4"/>
      <c r="S233" s="4"/>
      <c r="T233" s="4"/>
      <c r="U233" s="4"/>
      <c r="V233" s="4"/>
      <c r="W233" s="4">
        <v>16.518820399999999</v>
      </c>
      <c r="X233" s="4">
        <v>1</v>
      </c>
      <c r="Y233" s="4">
        <v>16.518820399999999</v>
      </c>
      <c r="Z233" s="4"/>
      <c r="AA233" s="4"/>
      <c r="AB233" s="4"/>
    </row>
    <row r="234" spans="1:28" x14ac:dyDescent="0.2">
      <c r="A234" s="4">
        <v>50</v>
      </c>
      <c r="B234" s="4">
        <v>0</v>
      </c>
      <c r="C234" s="4">
        <v>0</v>
      </c>
      <c r="D234" s="4">
        <v>1</v>
      </c>
      <c r="E234" s="4">
        <v>209</v>
      </c>
      <c r="F234" s="4">
        <f>ROUND(Source!W210,O234)</f>
        <v>0</v>
      </c>
      <c r="G234" s="4" t="s">
        <v>68</v>
      </c>
      <c r="H234" s="4" t="s">
        <v>69</v>
      </c>
      <c r="I234" s="4"/>
      <c r="J234" s="4"/>
      <c r="K234" s="4">
        <v>209</v>
      </c>
      <c r="L234" s="4">
        <v>23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0</v>
      </c>
      <c r="X234" s="4">
        <v>1</v>
      </c>
      <c r="Y234" s="4">
        <v>0</v>
      </c>
      <c r="Z234" s="4"/>
      <c r="AA234" s="4"/>
      <c r="AB234" s="4"/>
    </row>
    <row r="235" spans="1:28" x14ac:dyDescent="0.2">
      <c r="A235" s="4">
        <v>50</v>
      </c>
      <c r="B235" s="4">
        <v>0</v>
      </c>
      <c r="C235" s="4">
        <v>0</v>
      </c>
      <c r="D235" s="4">
        <v>1</v>
      </c>
      <c r="E235" s="4">
        <v>233</v>
      </c>
      <c r="F235" s="4">
        <f>ROUND(Source!BD210,O235)</f>
        <v>0</v>
      </c>
      <c r="G235" s="4" t="s">
        <v>70</v>
      </c>
      <c r="H235" s="4" t="s">
        <v>71</v>
      </c>
      <c r="I235" s="4"/>
      <c r="J235" s="4"/>
      <c r="K235" s="4">
        <v>233</v>
      </c>
      <c r="L235" s="4">
        <v>24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8" x14ac:dyDescent="0.2">
      <c r="A236" s="4">
        <v>50</v>
      </c>
      <c r="B236" s="4">
        <v>0</v>
      </c>
      <c r="C236" s="4">
        <v>0</v>
      </c>
      <c r="D236" s="4">
        <v>1</v>
      </c>
      <c r="E236" s="4">
        <v>0</v>
      </c>
      <c r="F236" s="4">
        <f>ROUND(Source!X210,O236)</f>
        <v>28034.66</v>
      </c>
      <c r="G236" s="4" t="s">
        <v>72</v>
      </c>
      <c r="H236" s="4" t="s">
        <v>73</v>
      </c>
      <c r="I236" s="4"/>
      <c r="J236" s="4"/>
      <c r="K236" s="4">
        <v>210</v>
      </c>
      <c r="L236" s="4">
        <v>25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28034.66</v>
      </c>
      <c r="X236" s="4">
        <v>1</v>
      </c>
      <c r="Y236" s="4">
        <v>28034.66</v>
      </c>
      <c r="Z236" s="4"/>
      <c r="AA236" s="4"/>
      <c r="AB236" s="4"/>
    </row>
    <row r="237" spans="1:28" x14ac:dyDescent="0.2">
      <c r="A237" s="4">
        <v>50</v>
      </c>
      <c r="B237" s="4">
        <v>0</v>
      </c>
      <c r="C237" s="4">
        <v>0</v>
      </c>
      <c r="D237" s="4">
        <v>1</v>
      </c>
      <c r="E237" s="4">
        <v>0</v>
      </c>
      <c r="F237" s="4">
        <f>ROUND(Source!Y210,O237)</f>
        <v>15709.33</v>
      </c>
      <c r="G237" s="4" t="s">
        <v>74</v>
      </c>
      <c r="H237" s="4" t="s">
        <v>75</v>
      </c>
      <c r="I237" s="4"/>
      <c r="J237" s="4"/>
      <c r="K237" s="4">
        <v>211</v>
      </c>
      <c r="L237" s="4">
        <v>26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15709.33</v>
      </c>
      <c r="X237" s="4">
        <v>1</v>
      </c>
      <c r="Y237" s="4">
        <v>15709.33</v>
      </c>
      <c r="Z237" s="4"/>
      <c r="AA237" s="4"/>
      <c r="AB237" s="4"/>
    </row>
    <row r="238" spans="1:28" x14ac:dyDescent="0.2">
      <c r="A238" s="4">
        <v>50</v>
      </c>
      <c r="B238" s="4">
        <v>0</v>
      </c>
      <c r="C238" s="4">
        <v>0</v>
      </c>
      <c r="D238" s="4">
        <v>1</v>
      </c>
      <c r="E238" s="4">
        <v>224</v>
      </c>
      <c r="F238" s="4">
        <f>ROUND(Source!AR210,O238)</f>
        <v>171585.53</v>
      </c>
      <c r="G238" s="4" t="s">
        <v>76</v>
      </c>
      <c r="H238" s="4" t="s">
        <v>77</v>
      </c>
      <c r="I238" s="4"/>
      <c r="J238" s="4"/>
      <c r="K238" s="4">
        <v>224</v>
      </c>
      <c r="L238" s="4">
        <v>27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171585.53</v>
      </c>
      <c r="X238" s="4">
        <v>1</v>
      </c>
      <c r="Y238" s="4">
        <v>171585.53</v>
      </c>
      <c r="Z238" s="4"/>
      <c r="AA238" s="4"/>
      <c r="AB238" s="4"/>
    </row>
    <row r="239" spans="1:28" x14ac:dyDescent="0.2">
      <c r="A239" s="4">
        <v>50</v>
      </c>
      <c r="B239" s="4">
        <v>1</v>
      </c>
      <c r="C239" s="4">
        <v>0</v>
      </c>
      <c r="D239" s="4">
        <v>2</v>
      </c>
      <c r="E239" s="4">
        <v>205</v>
      </c>
      <c r="F239" s="4">
        <f>ROUND(F225,O239)</f>
        <v>23203.74</v>
      </c>
      <c r="G239" s="4" t="s">
        <v>78</v>
      </c>
      <c r="H239" s="4" t="s">
        <v>50</v>
      </c>
      <c r="I239" s="4"/>
      <c r="J239" s="4"/>
      <c r="K239" s="4">
        <v>212</v>
      </c>
      <c r="L239" s="4">
        <v>28</v>
      </c>
      <c r="M239" s="4">
        <v>0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23203.74</v>
      </c>
      <c r="X239" s="4">
        <v>1</v>
      </c>
      <c r="Y239" s="4">
        <v>23203.74</v>
      </c>
      <c r="Z239" s="4"/>
      <c r="AA239" s="4"/>
      <c r="AB239" s="4"/>
    </row>
    <row r="240" spans="1:28" x14ac:dyDescent="0.2">
      <c r="A240" s="4">
        <v>50</v>
      </c>
      <c r="B240" s="4">
        <v>1</v>
      </c>
      <c r="C240" s="4">
        <v>0</v>
      </c>
      <c r="D240" s="4">
        <v>2</v>
      </c>
      <c r="E240" s="4">
        <v>203</v>
      </c>
      <c r="F240" s="4">
        <f>ROUND(F222,O240)</f>
        <v>24011.119999999999</v>
      </c>
      <c r="G240" s="4" t="s">
        <v>79</v>
      </c>
      <c r="H240" s="4" t="s">
        <v>80</v>
      </c>
      <c r="I240" s="4"/>
      <c r="J240" s="4"/>
      <c r="K240" s="4">
        <v>212</v>
      </c>
      <c r="L240" s="4">
        <v>29</v>
      </c>
      <c r="M240" s="4">
        <v>0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24011.119999999999</v>
      </c>
      <c r="X240" s="4">
        <v>1</v>
      </c>
      <c r="Y240" s="4">
        <v>24011.119999999999</v>
      </c>
      <c r="Z240" s="4"/>
      <c r="AA240" s="4"/>
      <c r="AB240" s="4"/>
    </row>
    <row r="241" spans="1:206" x14ac:dyDescent="0.2">
      <c r="A241" s="4">
        <v>50</v>
      </c>
      <c r="B241" s="4">
        <v>1</v>
      </c>
      <c r="C241" s="4">
        <v>0</v>
      </c>
      <c r="D241" s="4">
        <v>2</v>
      </c>
      <c r="E241" s="4">
        <v>204</v>
      </c>
      <c r="F241" s="4">
        <f>ROUND(F224,O241)</f>
        <v>5778.09</v>
      </c>
      <c r="G241" s="4" t="s">
        <v>81</v>
      </c>
      <c r="H241" s="4" t="s">
        <v>82</v>
      </c>
      <c r="I241" s="4"/>
      <c r="J241" s="4"/>
      <c r="K241" s="4">
        <v>212</v>
      </c>
      <c r="L241" s="4">
        <v>30</v>
      </c>
      <c r="M241" s="4">
        <v>0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5778.09</v>
      </c>
      <c r="X241" s="4">
        <v>1</v>
      </c>
      <c r="Y241" s="4">
        <v>5778.09</v>
      </c>
      <c r="Z241" s="4"/>
      <c r="AA241" s="4"/>
      <c r="AB241" s="4"/>
    </row>
    <row r="242" spans="1:206" x14ac:dyDescent="0.2">
      <c r="A242" s="4">
        <v>50</v>
      </c>
      <c r="B242" s="4">
        <v>1</v>
      </c>
      <c r="C242" s="4">
        <v>0</v>
      </c>
      <c r="D242" s="4">
        <v>2</v>
      </c>
      <c r="E242" s="4">
        <v>202</v>
      </c>
      <c r="F242" s="4">
        <f>ROUND(F213,O242)</f>
        <v>80626.679999999993</v>
      </c>
      <c r="G242" s="4" t="s">
        <v>83</v>
      </c>
      <c r="H242" s="4" t="s">
        <v>84</v>
      </c>
      <c r="I242" s="4"/>
      <c r="J242" s="4"/>
      <c r="K242" s="4">
        <v>212</v>
      </c>
      <c r="L242" s="4">
        <v>31</v>
      </c>
      <c r="M242" s="4">
        <v>0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80626.679999999993</v>
      </c>
      <c r="X242" s="4">
        <v>1</v>
      </c>
      <c r="Y242" s="4">
        <v>80626.679999999993</v>
      </c>
      <c r="Z242" s="4"/>
      <c r="AA242" s="4"/>
      <c r="AB242" s="4"/>
    </row>
    <row r="243" spans="1:206" x14ac:dyDescent="0.2">
      <c r="A243" s="4">
        <v>50</v>
      </c>
      <c r="B243" s="4">
        <v>1</v>
      </c>
      <c r="C243" s="4">
        <v>0</v>
      </c>
      <c r="D243" s="4">
        <v>2</v>
      </c>
      <c r="E243" s="4">
        <v>210</v>
      </c>
      <c r="F243" s="4">
        <f>ROUND(F236,O243)</f>
        <v>28034.66</v>
      </c>
      <c r="G243" s="4" t="s">
        <v>85</v>
      </c>
      <c r="H243" s="4" t="s">
        <v>72</v>
      </c>
      <c r="I243" s="4"/>
      <c r="J243" s="4"/>
      <c r="K243" s="4">
        <v>212</v>
      </c>
      <c r="L243" s="4">
        <v>32</v>
      </c>
      <c r="M243" s="4">
        <v>0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28034.66</v>
      </c>
      <c r="X243" s="4">
        <v>1</v>
      </c>
      <c r="Y243" s="4">
        <v>28034.66</v>
      </c>
      <c r="Z243" s="4"/>
      <c r="AA243" s="4"/>
      <c r="AB243" s="4"/>
    </row>
    <row r="244" spans="1:206" x14ac:dyDescent="0.2">
      <c r="A244" s="4">
        <v>50</v>
      </c>
      <c r="B244" s="4">
        <v>1</v>
      </c>
      <c r="C244" s="4">
        <v>0</v>
      </c>
      <c r="D244" s="4">
        <v>2</v>
      </c>
      <c r="E244" s="4">
        <v>211</v>
      </c>
      <c r="F244" s="4">
        <f>ROUND(F237,O244)</f>
        <v>15709.33</v>
      </c>
      <c r="G244" s="4" t="s">
        <v>86</v>
      </c>
      <c r="H244" s="4" t="s">
        <v>87</v>
      </c>
      <c r="I244" s="4"/>
      <c r="J244" s="4"/>
      <c r="K244" s="4">
        <v>212</v>
      </c>
      <c r="L244" s="4">
        <v>33</v>
      </c>
      <c r="M244" s="4">
        <v>0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15709.33</v>
      </c>
      <c r="X244" s="4">
        <v>1</v>
      </c>
      <c r="Y244" s="4">
        <v>15709.33</v>
      </c>
      <c r="Z244" s="4"/>
      <c r="AA244" s="4"/>
      <c r="AB244" s="4"/>
    </row>
    <row r="245" spans="1:206" x14ac:dyDescent="0.2">
      <c r="A245" s="4">
        <v>50</v>
      </c>
      <c r="B245" s="4">
        <v>1</v>
      </c>
      <c r="C245" s="4">
        <v>0</v>
      </c>
      <c r="D245" s="4">
        <v>2</v>
      </c>
      <c r="E245" s="4">
        <v>213</v>
      </c>
      <c r="F245" s="4">
        <f>ROUND(F239+F240+F242+F243+F244,O245)</f>
        <v>171585.53</v>
      </c>
      <c r="G245" s="4" t="s">
        <v>88</v>
      </c>
      <c r="H245" s="4" t="s">
        <v>89</v>
      </c>
      <c r="I245" s="4"/>
      <c r="J245" s="4"/>
      <c r="K245" s="4">
        <v>212</v>
      </c>
      <c r="L245" s="4">
        <v>34</v>
      </c>
      <c r="M245" s="4">
        <v>0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171585.53</v>
      </c>
      <c r="X245" s="4">
        <v>1</v>
      </c>
      <c r="Y245" s="4">
        <v>171585.53</v>
      </c>
      <c r="Z245" s="4"/>
      <c r="AA245" s="4"/>
      <c r="AB245" s="4"/>
    </row>
    <row r="246" spans="1:206" x14ac:dyDescent="0.2">
      <c r="A246" s="4">
        <v>50</v>
      </c>
      <c r="B246" s="4">
        <v>1</v>
      </c>
      <c r="C246" s="4">
        <v>0</v>
      </c>
      <c r="D246" s="4">
        <v>2</v>
      </c>
      <c r="E246" s="4">
        <v>40729949</v>
      </c>
      <c r="F246" s="4">
        <f>ROUND(F245*0.2,O246)</f>
        <v>34317.11</v>
      </c>
      <c r="G246" s="4" t="s">
        <v>90</v>
      </c>
      <c r="H246" s="4" t="s">
        <v>91</v>
      </c>
      <c r="I246" s="4"/>
      <c r="J246" s="4"/>
      <c r="K246" s="4">
        <v>212</v>
      </c>
      <c r="L246" s="4">
        <v>35</v>
      </c>
      <c r="M246" s="4">
        <v>0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34317.11</v>
      </c>
      <c r="X246" s="4">
        <v>1</v>
      </c>
      <c r="Y246" s="4">
        <v>34317.11</v>
      </c>
      <c r="Z246" s="4"/>
      <c r="AA246" s="4"/>
      <c r="AB246" s="4"/>
    </row>
    <row r="247" spans="1:206" x14ac:dyDescent="0.2">
      <c r="A247" s="4">
        <v>50</v>
      </c>
      <c r="B247" s="4">
        <v>1</v>
      </c>
      <c r="C247" s="4">
        <v>0</v>
      </c>
      <c r="D247" s="4">
        <v>2</v>
      </c>
      <c r="E247" s="4">
        <v>65938917</v>
      </c>
      <c r="F247" s="4">
        <f>ROUND(F245+F246,O247)</f>
        <v>205902.64</v>
      </c>
      <c r="G247" s="4" t="s">
        <v>92</v>
      </c>
      <c r="H247" s="4" t="s">
        <v>93</v>
      </c>
      <c r="I247" s="4"/>
      <c r="J247" s="4"/>
      <c r="K247" s="4">
        <v>212</v>
      </c>
      <c r="L247" s="4">
        <v>36</v>
      </c>
      <c r="M247" s="4">
        <v>0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205902.64</v>
      </c>
      <c r="X247" s="4">
        <v>1</v>
      </c>
      <c r="Y247" s="4">
        <v>205902.64</v>
      </c>
      <c r="Z247" s="4"/>
      <c r="AA247" s="4"/>
      <c r="AB247" s="4"/>
    </row>
    <row r="249" spans="1:206" x14ac:dyDescent="0.2">
      <c r="A249" s="2">
        <v>51</v>
      </c>
      <c r="B249" s="2">
        <f>B12</f>
        <v>316</v>
      </c>
      <c r="C249" s="2">
        <f>A12</f>
        <v>1</v>
      </c>
      <c r="D249" s="2">
        <f>ROW(A12)</f>
        <v>12</v>
      </c>
      <c r="E249" s="2"/>
      <c r="F249" s="2" t="str">
        <f>IF(F12&lt;&gt;"",F12,"")</f>
        <v>ТЕР</v>
      </c>
      <c r="G249" s="2" t="str">
        <f>IF(G12&lt;&gt;"",G12,"")</f>
        <v>Установка реклоузеров на ВЛ-6 кВ на линии №15 в п. Сосновка, Заволжье</v>
      </c>
      <c r="H249" s="2">
        <v>0</v>
      </c>
      <c r="I249" s="2"/>
      <c r="J249" s="2"/>
      <c r="K249" s="2"/>
      <c r="L249" s="2"/>
      <c r="M249" s="2"/>
      <c r="N249" s="2"/>
      <c r="O249" s="2">
        <f t="shared" ref="O249:T249" si="155">ROUND(O210,2)</f>
        <v>127841.54</v>
      </c>
      <c r="P249" s="2">
        <f t="shared" si="155"/>
        <v>80626.679999999993</v>
      </c>
      <c r="Q249" s="2">
        <f t="shared" si="155"/>
        <v>24011.119999999999</v>
      </c>
      <c r="R249" s="2">
        <f t="shared" si="155"/>
        <v>5778.09</v>
      </c>
      <c r="S249" s="2">
        <f t="shared" si="155"/>
        <v>23203.74</v>
      </c>
      <c r="T249" s="2">
        <f t="shared" si="155"/>
        <v>0</v>
      </c>
      <c r="U249" s="2">
        <f>U210</f>
        <v>72.235212000000004</v>
      </c>
      <c r="V249" s="2">
        <f>V210</f>
        <v>16.518820399999999</v>
      </c>
      <c r="W249" s="2">
        <f>ROUND(W210,2)</f>
        <v>0</v>
      </c>
      <c r="X249" s="2">
        <f>ROUND(X210,2)</f>
        <v>28034.66</v>
      </c>
      <c r="Y249" s="2">
        <f>ROUND(Y210,2)</f>
        <v>15709.33</v>
      </c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>
        <f t="shared" ref="AO249:BD249" si="156">ROUND(AO210,2)</f>
        <v>0</v>
      </c>
      <c r="AP249" s="2">
        <f t="shared" si="156"/>
        <v>0</v>
      </c>
      <c r="AQ249" s="2">
        <f t="shared" si="156"/>
        <v>0</v>
      </c>
      <c r="AR249" s="2">
        <f t="shared" si="156"/>
        <v>171585.53</v>
      </c>
      <c r="AS249" s="2">
        <f t="shared" si="156"/>
        <v>147976.94</v>
      </c>
      <c r="AT249" s="2">
        <f t="shared" si="156"/>
        <v>12524.33</v>
      </c>
      <c r="AU249" s="2">
        <f t="shared" si="156"/>
        <v>11084.26</v>
      </c>
      <c r="AV249" s="2">
        <f t="shared" si="156"/>
        <v>80626.679999999993</v>
      </c>
      <c r="AW249" s="2">
        <f t="shared" si="156"/>
        <v>80626.679999999993</v>
      </c>
      <c r="AX249" s="2">
        <f t="shared" si="156"/>
        <v>0</v>
      </c>
      <c r="AY249" s="2">
        <f t="shared" si="156"/>
        <v>80626.679999999993</v>
      </c>
      <c r="AZ249" s="2">
        <f t="shared" si="156"/>
        <v>0</v>
      </c>
      <c r="BA249" s="2">
        <f t="shared" si="156"/>
        <v>0</v>
      </c>
      <c r="BB249" s="2">
        <f t="shared" si="156"/>
        <v>0</v>
      </c>
      <c r="BC249" s="2">
        <f t="shared" si="156"/>
        <v>0</v>
      </c>
      <c r="BD249" s="2">
        <f t="shared" si="156"/>
        <v>0</v>
      </c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3"/>
      <c r="DH249" s="3"/>
      <c r="DI249" s="3"/>
      <c r="DJ249" s="3"/>
      <c r="DK249" s="3"/>
      <c r="DL249" s="3"/>
      <c r="DM249" s="3"/>
      <c r="DN249" s="3"/>
      <c r="DO249" s="3"/>
      <c r="DP249" s="3"/>
      <c r="DQ249" s="3"/>
      <c r="DR249" s="3"/>
      <c r="DS249" s="3"/>
      <c r="DT249" s="3"/>
      <c r="DU249" s="3"/>
      <c r="DV249" s="3"/>
      <c r="DW249" s="3"/>
      <c r="DX249" s="3"/>
      <c r="DY249" s="3"/>
      <c r="DZ249" s="3"/>
      <c r="EA249" s="3"/>
      <c r="EB249" s="3"/>
      <c r="EC249" s="3"/>
      <c r="ED249" s="3"/>
      <c r="EE249" s="3"/>
      <c r="EF249" s="3"/>
      <c r="EG249" s="3"/>
      <c r="EH249" s="3"/>
      <c r="EI249" s="3"/>
      <c r="EJ249" s="3"/>
      <c r="EK249" s="3"/>
      <c r="EL249" s="3"/>
      <c r="EM249" s="3"/>
      <c r="EN249" s="3"/>
      <c r="EO249" s="3"/>
      <c r="EP249" s="3"/>
      <c r="EQ249" s="3"/>
      <c r="ER249" s="3"/>
      <c r="ES249" s="3"/>
      <c r="ET249" s="3"/>
      <c r="EU249" s="3"/>
      <c r="EV249" s="3"/>
      <c r="EW249" s="3"/>
      <c r="EX249" s="3"/>
      <c r="EY249" s="3"/>
      <c r="EZ249" s="3"/>
      <c r="FA249" s="3"/>
      <c r="FB249" s="3"/>
      <c r="FC249" s="3"/>
      <c r="FD249" s="3"/>
      <c r="FE249" s="3"/>
      <c r="FF249" s="3"/>
      <c r="FG249" s="3"/>
      <c r="FH249" s="3"/>
      <c r="FI249" s="3"/>
      <c r="FJ249" s="3"/>
      <c r="FK249" s="3"/>
      <c r="FL249" s="3"/>
      <c r="FM249" s="3"/>
      <c r="FN249" s="3"/>
      <c r="FO249" s="3"/>
      <c r="FP249" s="3"/>
      <c r="FQ249" s="3"/>
      <c r="FR249" s="3"/>
      <c r="FS249" s="3"/>
      <c r="FT249" s="3"/>
      <c r="FU249" s="3"/>
      <c r="FV249" s="3"/>
      <c r="FW249" s="3"/>
      <c r="FX249" s="3"/>
      <c r="FY249" s="3"/>
      <c r="FZ249" s="3"/>
      <c r="GA249" s="3"/>
      <c r="GB249" s="3"/>
      <c r="GC249" s="3"/>
      <c r="GD249" s="3"/>
      <c r="GE249" s="3"/>
      <c r="GF249" s="3"/>
      <c r="GG249" s="3"/>
      <c r="GH249" s="3"/>
      <c r="GI249" s="3"/>
      <c r="GJ249" s="3"/>
      <c r="GK249" s="3"/>
      <c r="GL249" s="3"/>
      <c r="GM249" s="3"/>
      <c r="GN249" s="3"/>
      <c r="GO249" s="3"/>
      <c r="GP249" s="3"/>
      <c r="GQ249" s="3"/>
      <c r="GR249" s="3"/>
      <c r="GS249" s="3"/>
      <c r="GT249" s="3"/>
      <c r="GU249" s="3"/>
      <c r="GV249" s="3"/>
      <c r="GW249" s="3"/>
      <c r="GX249" s="3">
        <v>0</v>
      </c>
    </row>
    <row r="251" spans="1:206" x14ac:dyDescent="0.2">
      <c r="A251" s="4">
        <v>50</v>
      </c>
      <c r="B251" s="4">
        <v>0</v>
      </c>
      <c r="C251" s="4">
        <v>0</v>
      </c>
      <c r="D251" s="4">
        <v>1</v>
      </c>
      <c r="E251" s="4">
        <v>201</v>
      </c>
      <c r="F251" s="4">
        <f>ROUND(Source!O249,O251)</f>
        <v>127841.54</v>
      </c>
      <c r="G251" s="4" t="s">
        <v>24</v>
      </c>
      <c r="H251" s="4" t="s">
        <v>25</v>
      </c>
      <c r="I251" s="4"/>
      <c r="J251" s="4"/>
      <c r="K251" s="4">
        <v>201</v>
      </c>
      <c r="L251" s="4">
        <v>1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127841.54</v>
      </c>
      <c r="X251" s="4">
        <v>1</v>
      </c>
      <c r="Y251" s="4">
        <v>127841.54</v>
      </c>
      <c r="Z251" s="4"/>
      <c r="AA251" s="4"/>
      <c r="AB251" s="4"/>
    </row>
    <row r="252" spans="1:206" x14ac:dyDescent="0.2">
      <c r="A252" s="4">
        <v>50</v>
      </c>
      <c r="B252" s="4">
        <v>0</v>
      </c>
      <c r="C252" s="4">
        <v>0</v>
      </c>
      <c r="D252" s="4">
        <v>1</v>
      </c>
      <c r="E252" s="4">
        <v>0</v>
      </c>
      <c r="F252" s="4">
        <f>ROUND(Source!P249,O252)</f>
        <v>80626.679999999993</v>
      </c>
      <c r="G252" s="4" t="s">
        <v>26</v>
      </c>
      <c r="H252" s="4" t="s">
        <v>27</v>
      </c>
      <c r="I252" s="4"/>
      <c r="J252" s="4"/>
      <c r="K252" s="4">
        <v>202</v>
      </c>
      <c r="L252" s="4">
        <v>2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80626.679999999993</v>
      </c>
      <c r="X252" s="4">
        <v>1</v>
      </c>
      <c r="Y252" s="4">
        <v>80626.679999999993</v>
      </c>
      <c r="Z252" s="4"/>
      <c r="AA252" s="4"/>
      <c r="AB252" s="4"/>
    </row>
    <row r="253" spans="1:206" x14ac:dyDescent="0.2">
      <c r="A253" s="4">
        <v>50</v>
      </c>
      <c r="B253" s="4">
        <v>0</v>
      </c>
      <c r="C253" s="4">
        <v>0</v>
      </c>
      <c r="D253" s="4">
        <v>1</v>
      </c>
      <c r="E253" s="4">
        <v>222</v>
      </c>
      <c r="F253" s="4">
        <f>ROUND(Source!AO249,O253)</f>
        <v>0</v>
      </c>
      <c r="G253" s="4" t="s">
        <v>28</v>
      </c>
      <c r="H253" s="4" t="s">
        <v>29</v>
      </c>
      <c r="I253" s="4"/>
      <c r="J253" s="4"/>
      <c r="K253" s="4">
        <v>222</v>
      </c>
      <c r="L253" s="4">
        <v>3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06" x14ac:dyDescent="0.2">
      <c r="A254" s="4">
        <v>50</v>
      </c>
      <c r="B254" s="4">
        <v>0</v>
      </c>
      <c r="C254" s="4">
        <v>0</v>
      </c>
      <c r="D254" s="4">
        <v>1</v>
      </c>
      <c r="E254" s="4">
        <v>225</v>
      </c>
      <c r="F254" s="4">
        <f>ROUND(Source!AV249,O254)</f>
        <v>80626.679999999993</v>
      </c>
      <c r="G254" s="4" t="s">
        <v>30</v>
      </c>
      <c r="H254" s="4" t="s">
        <v>31</v>
      </c>
      <c r="I254" s="4"/>
      <c r="J254" s="4"/>
      <c r="K254" s="4">
        <v>225</v>
      </c>
      <c r="L254" s="4">
        <v>4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80626.679999999993</v>
      </c>
      <c r="X254" s="4">
        <v>1</v>
      </c>
      <c r="Y254" s="4">
        <v>80626.679999999993</v>
      </c>
      <c r="Z254" s="4"/>
      <c r="AA254" s="4"/>
      <c r="AB254" s="4"/>
    </row>
    <row r="255" spans="1:206" x14ac:dyDescent="0.2">
      <c r="A255" s="4">
        <v>50</v>
      </c>
      <c r="B255" s="4">
        <v>0</v>
      </c>
      <c r="C255" s="4">
        <v>0</v>
      </c>
      <c r="D255" s="4">
        <v>1</v>
      </c>
      <c r="E255" s="4">
        <v>226</v>
      </c>
      <c r="F255" s="4">
        <f>ROUND(Source!AW249,O255)</f>
        <v>80626.679999999993</v>
      </c>
      <c r="G255" s="4" t="s">
        <v>32</v>
      </c>
      <c r="H255" s="4" t="s">
        <v>33</v>
      </c>
      <c r="I255" s="4"/>
      <c r="J255" s="4"/>
      <c r="K255" s="4">
        <v>226</v>
      </c>
      <c r="L255" s="4">
        <v>5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80626.679999999993</v>
      </c>
      <c r="X255" s="4">
        <v>1</v>
      </c>
      <c r="Y255" s="4">
        <v>80626.679999999993</v>
      </c>
      <c r="Z255" s="4"/>
      <c r="AA255" s="4"/>
      <c r="AB255" s="4"/>
    </row>
    <row r="256" spans="1:206" x14ac:dyDescent="0.2">
      <c r="A256" s="4">
        <v>50</v>
      </c>
      <c r="B256" s="4">
        <v>0</v>
      </c>
      <c r="C256" s="4">
        <v>0</v>
      </c>
      <c r="D256" s="4">
        <v>1</v>
      </c>
      <c r="E256" s="4">
        <v>227</v>
      </c>
      <c r="F256" s="4">
        <f>ROUND(Source!AX249,O256)</f>
        <v>0</v>
      </c>
      <c r="G256" s="4" t="s">
        <v>34</v>
      </c>
      <c r="H256" s="4" t="s">
        <v>35</v>
      </c>
      <c r="I256" s="4"/>
      <c r="J256" s="4"/>
      <c r="K256" s="4">
        <v>227</v>
      </c>
      <c r="L256" s="4">
        <v>6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8" x14ac:dyDescent="0.2">
      <c r="A257" s="4">
        <v>50</v>
      </c>
      <c r="B257" s="4">
        <v>0</v>
      </c>
      <c r="C257" s="4">
        <v>0</v>
      </c>
      <c r="D257" s="4">
        <v>1</v>
      </c>
      <c r="E257" s="4">
        <v>228</v>
      </c>
      <c r="F257" s="4">
        <f>ROUND(Source!AY249,O257)</f>
        <v>80626.679999999993</v>
      </c>
      <c r="G257" s="4" t="s">
        <v>36</v>
      </c>
      <c r="H257" s="4" t="s">
        <v>37</v>
      </c>
      <c r="I257" s="4"/>
      <c r="J257" s="4"/>
      <c r="K257" s="4">
        <v>228</v>
      </c>
      <c r="L257" s="4">
        <v>7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80626.679999999993</v>
      </c>
      <c r="X257" s="4">
        <v>1</v>
      </c>
      <c r="Y257" s="4">
        <v>80626.679999999993</v>
      </c>
      <c r="Z257" s="4"/>
      <c r="AA257" s="4"/>
      <c r="AB257" s="4"/>
    </row>
    <row r="258" spans="1:28" x14ac:dyDescent="0.2">
      <c r="A258" s="4">
        <v>50</v>
      </c>
      <c r="B258" s="4">
        <v>0</v>
      </c>
      <c r="C258" s="4">
        <v>0</v>
      </c>
      <c r="D258" s="4">
        <v>1</v>
      </c>
      <c r="E258" s="4">
        <v>216</v>
      </c>
      <c r="F258" s="4">
        <f>ROUND(Source!AP249,O258)</f>
        <v>0</v>
      </c>
      <c r="G258" s="4" t="s">
        <v>38</v>
      </c>
      <c r="H258" s="4" t="s">
        <v>39</v>
      </c>
      <c r="I258" s="4"/>
      <c r="J258" s="4"/>
      <c r="K258" s="4">
        <v>216</v>
      </c>
      <c r="L258" s="4">
        <v>8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8" x14ac:dyDescent="0.2">
      <c r="A259" s="4">
        <v>50</v>
      </c>
      <c r="B259" s="4">
        <v>0</v>
      </c>
      <c r="C259" s="4">
        <v>0</v>
      </c>
      <c r="D259" s="4">
        <v>1</v>
      </c>
      <c r="E259" s="4">
        <v>223</v>
      </c>
      <c r="F259" s="4">
        <f>ROUND(Source!AQ249,O259)</f>
        <v>0</v>
      </c>
      <c r="G259" s="4" t="s">
        <v>40</v>
      </c>
      <c r="H259" s="4" t="s">
        <v>41</v>
      </c>
      <c r="I259" s="4"/>
      <c r="J259" s="4"/>
      <c r="K259" s="4">
        <v>223</v>
      </c>
      <c r="L259" s="4">
        <v>9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0</v>
      </c>
      <c r="X259" s="4">
        <v>1</v>
      </c>
      <c r="Y259" s="4">
        <v>0</v>
      </c>
      <c r="Z259" s="4"/>
      <c r="AA259" s="4"/>
      <c r="AB259" s="4"/>
    </row>
    <row r="260" spans="1:28" x14ac:dyDescent="0.2">
      <c r="A260" s="4">
        <v>50</v>
      </c>
      <c r="B260" s="4">
        <v>0</v>
      </c>
      <c r="C260" s="4">
        <v>0</v>
      </c>
      <c r="D260" s="4">
        <v>1</v>
      </c>
      <c r="E260" s="4">
        <v>229</v>
      </c>
      <c r="F260" s="4">
        <f>ROUND(Source!AZ249,O260)</f>
        <v>0</v>
      </c>
      <c r="G260" s="4" t="s">
        <v>42</v>
      </c>
      <c r="H260" s="4" t="s">
        <v>43</v>
      </c>
      <c r="I260" s="4"/>
      <c r="J260" s="4"/>
      <c r="K260" s="4">
        <v>229</v>
      </c>
      <c r="L260" s="4">
        <v>10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8" x14ac:dyDescent="0.2">
      <c r="A261" s="4">
        <v>50</v>
      </c>
      <c r="B261" s="4">
        <v>0</v>
      </c>
      <c r="C261" s="4">
        <v>0</v>
      </c>
      <c r="D261" s="4">
        <v>1</v>
      </c>
      <c r="E261" s="4">
        <v>0</v>
      </c>
      <c r="F261" s="4">
        <f>ROUND(Source!Q249,O261)</f>
        <v>24011.119999999999</v>
      </c>
      <c r="G261" s="4" t="s">
        <v>44</v>
      </c>
      <c r="H261" s="4" t="s">
        <v>45</v>
      </c>
      <c r="I261" s="4"/>
      <c r="J261" s="4"/>
      <c r="K261" s="4">
        <v>203</v>
      </c>
      <c r="L261" s="4">
        <v>11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24011.119999999999</v>
      </c>
      <c r="X261" s="4">
        <v>1</v>
      </c>
      <c r="Y261" s="4">
        <v>24011.119999999999</v>
      </c>
      <c r="Z261" s="4"/>
      <c r="AA261" s="4"/>
      <c r="AB261" s="4"/>
    </row>
    <row r="262" spans="1:28" x14ac:dyDescent="0.2">
      <c r="A262" s="4">
        <v>50</v>
      </c>
      <c r="B262" s="4">
        <v>0</v>
      </c>
      <c r="C262" s="4">
        <v>0</v>
      </c>
      <c r="D262" s="4">
        <v>1</v>
      </c>
      <c r="E262" s="4">
        <v>231</v>
      </c>
      <c r="F262" s="4">
        <f>ROUND(Source!BB249,O262)</f>
        <v>0</v>
      </c>
      <c r="G262" s="4" t="s">
        <v>46</v>
      </c>
      <c r="H262" s="4" t="s">
        <v>47</v>
      </c>
      <c r="I262" s="4"/>
      <c r="J262" s="4"/>
      <c r="K262" s="4">
        <v>231</v>
      </c>
      <c r="L262" s="4">
        <v>12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0</v>
      </c>
      <c r="X262" s="4">
        <v>1</v>
      </c>
      <c r="Y262" s="4">
        <v>0</v>
      </c>
      <c r="Z262" s="4"/>
      <c r="AA262" s="4"/>
      <c r="AB262" s="4"/>
    </row>
    <row r="263" spans="1:28" x14ac:dyDescent="0.2">
      <c r="A263" s="4">
        <v>50</v>
      </c>
      <c r="B263" s="4">
        <v>0</v>
      </c>
      <c r="C263" s="4">
        <v>0</v>
      </c>
      <c r="D263" s="4">
        <v>1</v>
      </c>
      <c r="E263" s="4">
        <v>0</v>
      </c>
      <c r="F263" s="4">
        <f>ROUND(Source!R249,O263)</f>
        <v>5778.09</v>
      </c>
      <c r="G263" s="4" t="s">
        <v>48</v>
      </c>
      <c r="H263" s="4" t="s">
        <v>49</v>
      </c>
      <c r="I263" s="4"/>
      <c r="J263" s="4"/>
      <c r="K263" s="4">
        <v>204</v>
      </c>
      <c r="L263" s="4">
        <v>13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5778.09</v>
      </c>
      <c r="X263" s="4">
        <v>1</v>
      </c>
      <c r="Y263" s="4">
        <v>5778.09</v>
      </c>
      <c r="Z263" s="4"/>
      <c r="AA263" s="4"/>
      <c r="AB263" s="4"/>
    </row>
    <row r="264" spans="1:28" x14ac:dyDescent="0.2">
      <c r="A264" s="4">
        <v>50</v>
      </c>
      <c r="B264" s="4">
        <v>0</v>
      </c>
      <c r="C264" s="4">
        <v>0</v>
      </c>
      <c r="D264" s="4">
        <v>1</v>
      </c>
      <c r="E264" s="4">
        <v>0</v>
      </c>
      <c r="F264" s="4">
        <f>ROUND(Source!S249,O264)</f>
        <v>23203.74</v>
      </c>
      <c r="G264" s="4" t="s">
        <v>50</v>
      </c>
      <c r="H264" s="4" t="s">
        <v>51</v>
      </c>
      <c r="I264" s="4"/>
      <c r="J264" s="4"/>
      <c r="K264" s="4">
        <v>205</v>
      </c>
      <c r="L264" s="4">
        <v>14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23203.74</v>
      </c>
      <c r="X264" s="4">
        <v>1</v>
      </c>
      <c r="Y264" s="4">
        <v>23203.74</v>
      </c>
      <c r="Z264" s="4"/>
      <c r="AA264" s="4"/>
      <c r="AB264" s="4"/>
    </row>
    <row r="265" spans="1:28" x14ac:dyDescent="0.2">
      <c r="A265" s="4">
        <v>50</v>
      </c>
      <c r="B265" s="4">
        <v>0</v>
      </c>
      <c r="C265" s="4">
        <v>0</v>
      </c>
      <c r="D265" s="4">
        <v>1</v>
      </c>
      <c r="E265" s="4">
        <v>232</v>
      </c>
      <c r="F265" s="4">
        <f>ROUND(Source!BC249,O265)</f>
        <v>0</v>
      </c>
      <c r="G265" s="4" t="s">
        <v>52</v>
      </c>
      <c r="H265" s="4" t="s">
        <v>53</v>
      </c>
      <c r="I265" s="4"/>
      <c r="J265" s="4"/>
      <c r="K265" s="4">
        <v>232</v>
      </c>
      <c r="L265" s="4">
        <v>15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0</v>
      </c>
      <c r="X265" s="4">
        <v>1</v>
      </c>
      <c r="Y265" s="4">
        <v>0</v>
      </c>
      <c r="Z265" s="4"/>
      <c r="AA265" s="4"/>
      <c r="AB265" s="4"/>
    </row>
    <row r="266" spans="1:28" x14ac:dyDescent="0.2">
      <c r="A266" s="4">
        <v>50</v>
      </c>
      <c r="B266" s="4">
        <v>0</v>
      </c>
      <c r="C266" s="4">
        <v>0</v>
      </c>
      <c r="D266" s="4">
        <v>1</v>
      </c>
      <c r="E266" s="4">
        <v>214</v>
      </c>
      <c r="F266" s="4">
        <f>ROUND(Source!AS249,O266)</f>
        <v>147976.94</v>
      </c>
      <c r="G266" s="4" t="s">
        <v>54</v>
      </c>
      <c r="H266" s="4" t="s">
        <v>55</v>
      </c>
      <c r="I266" s="4"/>
      <c r="J266" s="4"/>
      <c r="K266" s="4">
        <v>214</v>
      </c>
      <c r="L266" s="4">
        <v>16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147976.94</v>
      </c>
      <c r="X266" s="4">
        <v>1</v>
      </c>
      <c r="Y266" s="4">
        <v>147976.94</v>
      </c>
      <c r="Z266" s="4"/>
      <c r="AA266" s="4"/>
      <c r="AB266" s="4"/>
    </row>
    <row r="267" spans="1:28" x14ac:dyDescent="0.2">
      <c r="A267" s="4">
        <v>50</v>
      </c>
      <c r="B267" s="4">
        <v>0</v>
      </c>
      <c r="C267" s="4">
        <v>0</v>
      </c>
      <c r="D267" s="4">
        <v>1</v>
      </c>
      <c r="E267" s="4">
        <v>215</v>
      </c>
      <c r="F267" s="4">
        <f>ROUND(Source!AT249,O267)</f>
        <v>12524.33</v>
      </c>
      <c r="G267" s="4" t="s">
        <v>56</v>
      </c>
      <c r="H267" s="4" t="s">
        <v>57</v>
      </c>
      <c r="I267" s="4"/>
      <c r="J267" s="4"/>
      <c r="K267" s="4">
        <v>215</v>
      </c>
      <c r="L267" s="4">
        <v>17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12524.33</v>
      </c>
      <c r="X267" s="4">
        <v>1</v>
      </c>
      <c r="Y267" s="4">
        <v>12524.33</v>
      </c>
      <c r="Z267" s="4"/>
      <c r="AA267" s="4"/>
      <c r="AB267" s="4"/>
    </row>
    <row r="268" spans="1:28" x14ac:dyDescent="0.2">
      <c r="A268" s="4">
        <v>50</v>
      </c>
      <c r="B268" s="4">
        <v>0</v>
      </c>
      <c r="C268" s="4">
        <v>0</v>
      </c>
      <c r="D268" s="4">
        <v>1</v>
      </c>
      <c r="E268" s="4">
        <v>217</v>
      </c>
      <c r="F268" s="4">
        <f>ROUND(Source!AU249,O268)</f>
        <v>11084.26</v>
      </c>
      <c r="G268" s="4" t="s">
        <v>58</v>
      </c>
      <c r="H268" s="4" t="s">
        <v>59</v>
      </c>
      <c r="I268" s="4"/>
      <c r="J268" s="4"/>
      <c r="K268" s="4">
        <v>217</v>
      </c>
      <c r="L268" s="4">
        <v>18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11084.26</v>
      </c>
      <c r="X268" s="4">
        <v>1</v>
      </c>
      <c r="Y268" s="4">
        <v>11084.26</v>
      </c>
      <c r="Z268" s="4"/>
      <c r="AA268" s="4"/>
      <c r="AB268" s="4"/>
    </row>
    <row r="269" spans="1:28" x14ac:dyDescent="0.2">
      <c r="A269" s="4">
        <v>50</v>
      </c>
      <c r="B269" s="4">
        <v>0</v>
      </c>
      <c r="C269" s="4">
        <v>0</v>
      </c>
      <c r="D269" s="4">
        <v>1</v>
      </c>
      <c r="E269" s="4">
        <v>230</v>
      </c>
      <c r="F269" s="4">
        <f>ROUND(Source!BA249,O269)</f>
        <v>0</v>
      </c>
      <c r="G269" s="4" t="s">
        <v>60</v>
      </c>
      <c r="H269" s="4" t="s">
        <v>61</v>
      </c>
      <c r="I269" s="4"/>
      <c r="J269" s="4"/>
      <c r="K269" s="4">
        <v>230</v>
      </c>
      <c r="L269" s="4">
        <v>19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0</v>
      </c>
      <c r="X269" s="4">
        <v>1</v>
      </c>
      <c r="Y269" s="4">
        <v>0</v>
      </c>
      <c r="Z269" s="4"/>
      <c r="AA269" s="4"/>
      <c r="AB269" s="4"/>
    </row>
    <row r="270" spans="1:28" x14ac:dyDescent="0.2">
      <c r="A270" s="4">
        <v>50</v>
      </c>
      <c r="B270" s="4">
        <v>0</v>
      </c>
      <c r="C270" s="4">
        <v>0</v>
      </c>
      <c r="D270" s="4">
        <v>1</v>
      </c>
      <c r="E270" s="4">
        <v>206</v>
      </c>
      <c r="F270" s="4">
        <f>ROUND(Source!T249,O270)</f>
        <v>0</v>
      </c>
      <c r="G270" s="4" t="s">
        <v>62</v>
      </c>
      <c r="H270" s="4" t="s">
        <v>63</v>
      </c>
      <c r="I270" s="4"/>
      <c r="J270" s="4"/>
      <c r="K270" s="4">
        <v>206</v>
      </c>
      <c r="L270" s="4">
        <v>20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0</v>
      </c>
      <c r="X270" s="4">
        <v>1</v>
      </c>
      <c r="Y270" s="4">
        <v>0</v>
      </c>
      <c r="Z270" s="4"/>
      <c r="AA270" s="4"/>
      <c r="AB270" s="4"/>
    </row>
    <row r="271" spans="1:28" x14ac:dyDescent="0.2">
      <c r="A271" s="4">
        <v>50</v>
      </c>
      <c r="B271" s="4">
        <v>0</v>
      </c>
      <c r="C271" s="4">
        <v>0</v>
      </c>
      <c r="D271" s="4">
        <v>1</v>
      </c>
      <c r="E271" s="4">
        <v>207</v>
      </c>
      <c r="F271" s="4">
        <f>Source!U249</f>
        <v>72.235212000000004</v>
      </c>
      <c r="G271" s="4" t="s">
        <v>64</v>
      </c>
      <c r="H271" s="4" t="s">
        <v>65</v>
      </c>
      <c r="I271" s="4"/>
      <c r="J271" s="4"/>
      <c r="K271" s="4">
        <v>207</v>
      </c>
      <c r="L271" s="4">
        <v>21</v>
      </c>
      <c r="M271" s="4">
        <v>3</v>
      </c>
      <c r="N271" s="4" t="s">
        <v>3</v>
      </c>
      <c r="O271" s="4">
        <v>-1</v>
      </c>
      <c r="P271" s="4"/>
      <c r="Q271" s="4"/>
      <c r="R271" s="4"/>
      <c r="S271" s="4"/>
      <c r="T271" s="4"/>
      <c r="U271" s="4"/>
      <c r="V271" s="4"/>
      <c r="W271" s="4">
        <v>72.235212000000004</v>
      </c>
      <c r="X271" s="4">
        <v>1</v>
      </c>
      <c r="Y271" s="4">
        <v>72.235212000000004</v>
      </c>
      <c r="Z271" s="4"/>
      <c r="AA271" s="4"/>
      <c r="AB271" s="4"/>
    </row>
    <row r="272" spans="1:28" x14ac:dyDescent="0.2">
      <c r="A272" s="4">
        <v>50</v>
      </c>
      <c r="B272" s="4">
        <v>0</v>
      </c>
      <c r="C272" s="4">
        <v>0</v>
      </c>
      <c r="D272" s="4">
        <v>1</v>
      </c>
      <c r="E272" s="4">
        <v>208</v>
      </c>
      <c r="F272" s="4">
        <f>Source!V249</f>
        <v>16.518820399999999</v>
      </c>
      <c r="G272" s="4" t="s">
        <v>66</v>
      </c>
      <c r="H272" s="4" t="s">
        <v>67</v>
      </c>
      <c r="I272" s="4"/>
      <c r="J272" s="4"/>
      <c r="K272" s="4">
        <v>208</v>
      </c>
      <c r="L272" s="4">
        <v>22</v>
      </c>
      <c r="M272" s="4">
        <v>3</v>
      </c>
      <c r="N272" s="4" t="s">
        <v>3</v>
      </c>
      <c r="O272" s="4">
        <v>-1</v>
      </c>
      <c r="P272" s="4"/>
      <c r="Q272" s="4"/>
      <c r="R272" s="4"/>
      <c r="S272" s="4"/>
      <c r="T272" s="4"/>
      <c r="U272" s="4"/>
      <c r="V272" s="4"/>
      <c r="W272" s="4">
        <v>16.518820399999999</v>
      </c>
      <c r="X272" s="4">
        <v>1</v>
      </c>
      <c r="Y272" s="4">
        <v>16.518820399999999</v>
      </c>
      <c r="Z272" s="4"/>
      <c r="AA272" s="4"/>
      <c r="AB272" s="4"/>
    </row>
    <row r="273" spans="1:28" x14ac:dyDescent="0.2">
      <c r="A273" s="4">
        <v>50</v>
      </c>
      <c r="B273" s="4">
        <v>0</v>
      </c>
      <c r="C273" s="4">
        <v>0</v>
      </c>
      <c r="D273" s="4">
        <v>1</v>
      </c>
      <c r="E273" s="4">
        <v>209</v>
      </c>
      <c r="F273" s="4">
        <f>ROUND(Source!W249,O273)</f>
        <v>0</v>
      </c>
      <c r="G273" s="4" t="s">
        <v>68</v>
      </c>
      <c r="H273" s="4" t="s">
        <v>69</v>
      </c>
      <c r="I273" s="4"/>
      <c r="J273" s="4"/>
      <c r="K273" s="4">
        <v>209</v>
      </c>
      <c r="L273" s="4">
        <v>23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0</v>
      </c>
      <c r="X273" s="4">
        <v>1</v>
      </c>
      <c r="Y273" s="4">
        <v>0</v>
      </c>
      <c r="Z273" s="4"/>
      <c r="AA273" s="4"/>
      <c r="AB273" s="4"/>
    </row>
    <row r="274" spans="1:28" x14ac:dyDescent="0.2">
      <c r="A274" s="4">
        <v>50</v>
      </c>
      <c r="B274" s="4">
        <v>0</v>
      </c>
      <c r="C274" s="4">
        <v>0</v>
      </c>
      <c r="D274" s="4">
        <v>1</v>
      </c>
      <c r="E274" s="4">
        <v>233</v>
      </c>
      <c r="F274" s="4">
        <f>ROUND(Source!BD249,O274)</f>
        <v>0</v>
      </c>
      <c r="G274" s="4" t="s">
        <v>70</v>
      </c>
      <c r="H274" s="4" t="s">
        <v>71</v>
      </c>
      <c r="I274" s="4"/>
      <c r="J274" s="4"/>
      <c r="K274" s="4">
        <v>233</v>
      </c>
      <c r="L274" s="4">
        <v>24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0</v>
      </c>
      <c r="X274" s="4">
        <v>1</v>
      </c>
      <c r="Y274" s="4">
        <v>0</v>
      </c>
      <c r="Z274" s="4"/>
      <c r="AA274" s="4"/>
      <c r="AB274" s="4"/>
    </row>
    <row r="275" spans="1:28" x14ac:dyDescent="0.2">
      <c r="A275" s="4">
        <v>50</v>
      </c>
      <c r="B275" s="4">
        <v>0</v>
      </c>
      <c r="C275" s="4">
        <v>0</v>
      </c>
      <c r="D275" s="4">
        <v>1</v>
      </c>
      <c r="E275" s="4">
        <v>0</v>
      </c>
      <c r="F275" s="4">
        <f>ROUND(Source!X249,O275)</f>
        <v>28034.66</v>
      </c>
      <c r="G275" s="4" t="s">
        <v>72</v>
      </c>
      <c r="H275" s="4" t="s">
        <v>73</v>
      </c>
      <c r="I275" s="4"/>
      <c r="J275" s="4"/>
      <c r="K275" s="4">
        <v>210</v>
      </c>
      <c r="L275" s="4">
        <v>25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28034.66</v>
      </c>
      <c r="X275" s="4">
        <v>1</v>
      </c>
      <c r="Y275" s="4">
        <v>28034.66</v>
      </c>
      <c r="Z275" s="4"/>
      <c r="AA275" s="4"/>
      <c r="AB275" s="4"/>
    </row>
    <row r="276" spans="1:28" x14ac:dyDescent="0.2">
      <c r="A276" s="4">
        <v>50</v>
      </c>
      <c r="B276" s="4">
        <v>0</v>
      </c>
      <c r="C276" s="4">
        <v>0</v>
      </c>
      <c r="D276" s="4">
        <v>1</v>
      </c>
      <c r="E276" s="4">
        <v>0</v>
      </c>
      <c r="F276" s="4">
        <f>ROUND(Source!Y249,O276)</f>
        <v>15709.33</v>
      </c>
      <c r="G276" s="4" t="s">
        <v>74</v>
      </c>
      <c r="H276" s="4" t="s">
        <v>75</v>
      </c>
      <c r="I276" s="4"/>
      <c r="J276" s="4"/>
      <c r="K276" s="4">
        <v>211</v>
      </c>
      <c r="L276" s="4">
        <v>26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15709.33</v>
      </c>
      <c r="X276" s="4">
        <v>1</v>
      </c>
      <c r="Y276" s="4">
        <v>15709.33</v>
      </c>
      <c r="Z276" s="4"/>
      <c r="AA276" s="4"/>
      <c r="AB276" s="4"/>
    </row>
    <row r="277" spans="1:28" x14ac:dyDescent="0.2">
      <c r="A277" s="4">
        <v>50</v>
      </c>
      <c r="B277" s="4">
        <v>0</v>
      </c>
      <c r="C277" s="4">
        <v>0</v>
      </c>
      <c r="D277" s="4">
        <v>1</v>
      </c>
      <c r="E277" s="4">
        <v>224</v>
      </c>
      <c r="F277" s="4">
        <f>ROUND(Source!AR249,O277)</f>
        <v>171585.53</v>
      </c>
      <c r="G277" s="4" t="s">
        <v>76</v>
      </c>
      <c r="H277" s="4" t="s">
        <v>77</v>
      </c>
      <c r="I277" s="4"/>
      <c r="J277" s="4"/>
      <c r="K277" s="4">
        <v>224</v>
      </c>
      <c r="L277" s="4">
        <v>27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171585.53</v>
      </c>
      <c r="X277" s="4">
        <v>1</v>
      </c>
      <c r="Y277" s="4">
        <v>171585.53</v>
      </c>
      <c r="Z277" s="4"/>
      <c r="AA277" s="4"/>
      <c r="AB277" s="4"/>
    </row>
    <row r="278" spans="1:28" x14ac:dyDescent="0.2">
      <c r="A278" s="4">
        <v>50</v>
      </c>
      <c r="B278" s="4">
        <v>1</v>
      </c>
      <c r="C278" s="4">
        <v>0</v>
      </c>
      <c r="D278" s="4">
        <v>2</v>
      </c>
      <c r="E278" s="4">
        <v>205</v>
      </c>
      <c r="F278" s="4">
        <f>ROUND(F264,O278)</f>
        <v>23203.74</v>
      </c>
      <c r="G278" s="4" t="s">
        <v>78</v>
      </c>
      <c r="H278" s="4" t="s">
        <v>50</v>
      </c>
      <c r="I278" s="4"/>
      <c r="J278" s="4"/>
      <c r="K278" s="4">
        <v>212</v>
      </c>
      <c r="L278" s="4">
        <v>28</v>
      </c>
      <c r="M278" s="4">
        <v>0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23203.74</v>
      </c>
      <c r="X278" s="4">
        <v>1</v>
      </c>
      <c r="Y278" s="4">
        <v>23203.74</v>
      </c>
      <c r="Z278" s="4"/>
      <c r="AA278" s="4"/>
      <c r="AB278" s="4"/>
    </row>
    <row r="279" spans="1:28" x14ac:dyDescent="0.2">
      <c r="A279" s="4">
        <v>50</v>
      </c>
      <c r="B279" s="4">
        <v>1</v>
      </c>
      <c r="C279" s="4">
        <v>0</v>
      </c>
      <c r="D279" s="4">
        <v>2</v>
      </c>
      <c r="E279" s="4">
        <v>203</v>
      </c>
      <c r="F279" s="4">
        <f>ROUND(F261,O279)</f>
        <v>24011.119999999999</v>
      </c>
      <c r="G279" s="4" t="s">
        <v>79</v>
      </c>
      <c r="H279" s="4" t="s">
        <v>80</v>
      </c>
      <c r="I279" s="4"/>
      <c r="J279" s="4"/>
      <c r="K279" s="4">
        <v>212</v>
      </c>
      <c r="L279" s="4">
        <v>29</v>
      </c>
      <c r="M279" s="4">
        <v>0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24011.119999999999</v>
      </c>
      <c r="X279" s="4">
        <v>1</v>
      </c>
      <c r="Y279" s="4">
        <v>24011.119999999999</v>
      </c>
      <c r="Z279" s="4"/>
      <c r="AA279" s="4"/>
      <c r="AB279" s="4"/>
    </row>
    <row r="280" spans="1:28" x14ac:dyDescent="0.2">
      <c r="A280" s="4">
        <v>50</v>
      </c>
      <c r="B280" s="4">
        <v>1</v>
      </c>
      <c r="C280" s="4">
        <v>0</v>
      </c>
      <c r="D280" s="4">
        <v>2</v>
      </c>
      <c r="E280" s="4">
        <v>204</v>
      </c>
      <c r="F280" s="4">
        <f>ROUND(F263,O280)</f>
        <v>5778.09</v>
      </c>
      <c r="G280" s="4" t="s">
        <v>81</v>
      </c>
      <c r="H280" s="4" t="s">
        <v>82</v>
      </c>
      <c r="I280" s="4"/>
      <c r="J280" s="4"/>
      <c r="K280" s="4">
        <v>212</v>
      </c>
      <c r="L280" s="4">
        <v>30</v>
      </c>
      <c r="M280" s="4">
        <v>0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5778.09</v>
      </c>
      <c r="X280" s="4">
        <v>1</v>
      </c>
      <c r="Y280" s="4">
        <v>5778.09</v>
      </c>
      <c r="Z280" s="4"/>
      <c r="AA280" s="4"/>
      <c r="AB280" s="4"/>
    </row>
    <row r="281" spans="1:28" x14ac:dyDescent="0.2">
      <c r="A281" s="4">
        <v>50</v>
      </c>
      <c r="B281" s="4">
        <v>1</v>
      </c>
      <c r="C281" s="4">
        <v>0</v>
      </c>
      <c r="D281" s="4">
        <v>2</v>
      </c>
      <c r="E281" s="4">
        <v>202</v>
      </c>
      <c r="F281" s="4">
        <f>ROUND(F252,O281)</f>
        <v>80626.679999999993</v>
      </c>
      <c r="G281" s="4" t="s">
        <v>83</v>
      </c>
      <c r="H281" s="4" t="s">
        <v>84</v>
      </c>
      <c r="I281" s="4"/>
      <c r="J281" s="4"/>
      <c r="K281" s="4">
        <v>212</v>
      </c>
      <c r="L281" s="4">
        <v>31</v>
      </c>
      <c r="M281" s="4">
        <v>0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80626.679999999993</v>
      </c>
      <c r="X281" s="4">
        <v>1</v>
      </c>
      <c r="Y281" s="4">
        <v>80626.679999999993</v>
      </c>
      <c r="Z281" s="4"/>
      <c r="AA281" s="4"/>
      <c r="AB281" s="4"/>
    </row>
    <row r="282" spans="1:28" x14ac:dyDescent="0.2">
      <c r="A282" s="4">
        <v>50</v>
      </c>
      <c r="B282" s="4">
        <v>1</v>
      </c>
      <c r="C282" s="4">
        <v>0</v>
      </c>
      <c r="D282" s="4">
        <v>2</v>
      </c>
      <c r="E282" s="4">
        <v>210</v>
      </c>
      <c r="F282" s="4">
        <f>ROUND(F275,O282)</f>
        <v>28034.66</v>
      </c>
      <c r="G282" s="4" t="s">
        <v>85</v>
      </c>
      <c r="H282" s="4" t="s">
        <v>72</v>
      </c>
      <c r="I282" s="4"/>
      <c r="J282" s="4"/>
      <c r="K282" s="4">
        <v>212</v>
      </c>
      <c r="L282" s="4">
        <v>32</v>
      </c>
      <c r="M282" s="4">
        <v>0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28034.66</v>
      </c>
      <c r="X282" s="4">
        <v>1</v>
      </c>
      <c r="Y282" s="4">
        <v>28034.66</v>
      </c>
      <c r="Z282" s="4"/>
      <c r="AA282" s="4"/>
      <c r="AB282" s="4"/>
    </row>
    <row r="283" spans="1:28" x14ac:dyDescent="0.2">
      <c r="A283" s="4">
        <v>50</v>
      </c>
      <c r="B283" s="4">
        <v>1</v>
      </c>
      <c r="C283" s="4">
        <v>0</v>
      </c>
      <c r="D283" s="4">
        <v>2</v>
      </c>
      <c r="E283" s="4">
        <v>211</v>
      </c>
      <c r="F283" s="4">
        <f>ROUND(F276,O283)</f>
        <v>15709.33</v>
      </c>
      <c r="G283" s="4" t="s">
        <v>86</v>
      </c>
      <c r="H283" s="4" t="s">
        <v>87</v>
      </c>
      <c r="I283" s="4"/>
      <c r="J283" s="4"/>
      <c r="K283" s="4">
        <v>212</v>
      </c>
      <c r="L283" s="4">
        <v>33</v>
      </c>
      <c r="M283" s="4">
        <v>0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15709.33</v>
      </c>
      <c r="X283" s="4">
        <v>1</v>
      </c>
      <c r="Y283" s="4">
        <v>15709.33</v>
      </c>
      <c r="Z283" s="4"/>
      <c r="AA283" s="4"/>
      <c r="AB283" s="4"/>
    </row>
    <row r="284" spans="1:28" x14ac:dyDescent="0.2">
      <c r="A284" s="4">
        <v>50</v>
      </c>
      <c r="B284" s="4">
        <v>1</v>
      </c>
      <c r="C284" s="4">
        <v>0</v>
      </c>
      <c r="D284" s="4">
        <v>2</v>
      </c>
      <c r="E284" s="4">
        <v>213</v>
      </c>
      <c r="F284" s="4">
        <f>ROUND(F278+F279+F281+F282+F283,O284)</f>
        <v>171585.53</v>
      </c>
      <c r="G284" s="4" t="s">
        <v>88</v>
      </c>
      <c r="H284" s="4" t="s">
        <v>89</v>
      </c>
      <c r="I284" s="4"/>
      <c r="J284" s="4"/>
      <c r="K284" s="4">
        <v>212</v>
      </c>
      <c r="L284" s="4">
        <v>34</v>
      </c>
      <c r="M284" s="4">
        <v>0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171585.53</v>
      </c>
      <c r="X284" s="4">
        <v>1</v>
      </c>
      <c r="Y284" s="4">
        <v>171585.53</v>
      </c>
      <c r="Z284" s="4"/>
      <c r="AA284" s="4"/>
      <c r="AB284" s="4"/>
    </row>
    <row r="285" spans="1:28" x14ac:dyDescent="0.2">
      <c r="A285" s="4">
        <v>50</v>
      </c>
      <c r="B285" s="4">
        <v>1</v>
      </c>
      <c r="C285" s="4">
        <v>0</v>
      </c>
      <c r="D285" s="4">
        <v>2</v>
      </c>
      <c r="E285" s="4">
        <v>40729949</v>
      </c>
      <c r="F285" s="4">
        <f>ROUND(F284*0.2,O285)</f>
        <v>34317.11</v>
      </c>
      <c r="G285" s="4" t="s">
        <v>90</v>
      </c>
      <c r="H285" s="4" t="s">
        <v>91</v>
      </c>
      <c r="I285" s="4"/>
      <c r="J285" s="4"/>
      <c r="K285" s="4">
        <v>212</v>
      </c>
      <c r="L285" s="4">
        <v>35</v>
      </c>
      <c r="M285" s="4">
        <v>0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34317.11</v>
      </c>
      <c r="X285" s="4">
        <v>1</v>
      </c>
      <c r="Y285" s="4">
        <v>34317.11</v>
      </c>
      <c r="Z285" s="4"/>
      <c r="AA285" s="4"/>
      <c r="AB285" s="4"/>
    </row>
    <row r="286" spans="1:28" x14ac:dyDescent="0.2">
      <c r="A286" s="4">
        <v>50</v>
      </c>
      <c r="B286" s="4">
        <v>1</v>
      </c>
      <c r="C286" s="4">
        <v>0</v>
      </c>
      <c r="D286" s="4">
        <v>2</v>
      </c>
      <c r="E286" s="4">
        <v>65938917</v>
      </c>
      <c r="F286" s="4">
        <f>ROUND(F284+F285,O286)</f>
        <v>205902.64</v>
      </c>
      <c r="G286" s="4" t="s">
        <v>92</v>
      </c>
      <c r="H286" s="4" t="s">
        <v>93</v>
      </c>
      <c r="I286" s="4"/>
      <c r="J286" s="4"/>
      <c r="K286" s="4">
        <v>212</v>
      </c>
      <c r="L286" s="4">
        <v>36</v>
      </c>
      <c r="M286" s="4">
        <v>0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205902.64</v>
      </c>
      <c r="X286" s="4">
        <v>1</v>
      </c>
      <c r="Y286" s="4">
        <v>205902.64</v>
      </c>
      <c r="Z286" s="4"/>
      <c r="AA286" s="4"/>
      <c r="AB286" s="4"/>
    </row>
    <row r="288" spans="1:28" x14ac:dyDescent="0.2">
      <c r="A288">
        <v>71</v>
      </c>
      <c r="B288">
        <v>1</v>
      </c>
      <c r="D288">
        <v>200001</v>
      </c>
      <c r="E288">
        <v>76976758</v>
      </c>
      <c r="F288" t="s">
        <v>317</v>
      </c>
      <c r="G288" t="s">
        <v>318</v>
      </c>
      <c r="H288">
        <v>80</v>
      </c>
      <c r="I288">
        <v>20</v>
      </c>
    </row>
    <row r="291" spans="1:16" x14ac:dyDescent="0.2">
      <c r="A291">
        <v>70</v>
      </c>
      <c r="B291">
        <v>1</v>
      </c>
      <c r="D291">
        <v>1</v>
      </c>
      <c r="E291" t="s">
        <v>319</v>
      </c>
      <c r="F291" t="s">
        <v>320</v>
      </c>
      <c r="G291">
        <v>1</v>
      </c>
      <c r="H291">
        <v>0</v>
      </c>
      <c r="I291" t="s">
        <v>3</v>
      </c>
      <c r="J291">
        <v>1</v>
      </c>
      <c r="K291">
        <v>0</v>
      </c>
      <c r="L291" t="s">
        <v>3</v>
      </c>
      <c r="M291" t="s">
        <v>3</v>
      </c>
      <c r="N291">
        <v>0</v>
      </c>
      <c r="P291" t="s">
        <v>321</v>
      </c>
    </row>
    <row r="292" spans="1:16" x14ac:dyDescent="0.2">
      <c r="A292">
        <v>70</v>
      </c>
      <c r="B292">
        <v>1</v>
      </c>
      <c r="D292">
        <v>2</v>
      </c>
      <c r="E292" t="s">
        <v>322</v>
      </c>
      <c r="F292" t="s">
        <v>323</v>
      </c>
      <c r="G292">
        <v>0</v>
      </c>
      <c r="H292">
        <v>0</v>
      </c>
      <c r="I292" t="s">
        <v>3</v>
      </c>
      <c r="J292">
        <v>1</v>
      </c>
      <c r="K292">
        <v>0</v>
      </c>
      <c r="L292" t="s">
        <v>3</v>
      </c>
      <c r="M292" t="s">
        <v>3</v>
      </c>
      <c r="N292">
        <v>0</v>
      </c>
      <c r="P292" t="s">
        <v>324</v>
      </c>
    </row>
    <row r="293" spans="1:16" x14ac:dyDescent="0.2">
      <c r="A293">
        <v>70</v>
      </c>
      <c r="B293">
        <v>1</v>
      </c>
      <c r="D293">
        <v>3</v>
      </c>
      <c r="E293" t="s">
        <v>325</v>
      </c>
      <c r="F293" t="s">
        <v>326</v>
      </c>
      <c r="G293">
        <v>0</v>
      </c>
      <c r="H293">
        <v>0</v>
      </c>
      <c r="I293" t="s">
        <v>3</v>
      </c>
      <c r="J293">
        <v>1</v>
      </c>
      <c r="K293">
        <v>0</v>
      </c>
      <c r="L293" t="s">
        <v>3</v>
      </c>
      <c r="M293" t="s">
        <v>3</v>
      </c>
      <c r="N293">
        <v>0</v>
      </c>
      <c r="P293" t="s">
        <v>327</v>
      </c>
    </row>
    <row r="294" spans="1:16" x14ac:dyDescent="0.2">
      <c r="A294">
        <v>70</v>
      </c>
      <c r="B294">
        <v>1</v>
      </c>
      <c r="D294">
        <v>4</v>
      </c>
      <c r="E294" t="s">
        <v>328</v>
      </c>
      <c r="F294" t="s">
        <v>329</v>
      </c>
      <c r="G294">
        <v>1</v>
      </c>
      <c r="H294">
        <v>0</v>
      </c>
      <c r="I294" t="s">
        <v>3</v>
      </c>
      <c r="J294">
        <v>2</v>
      </c>
      <c r="K294">
        <v>0</v>
      </c>
      <c r="L294" t="s">
        <v>3</v>
      </c>
      <c r="M294" t="s">
        <v>3</v>
      </c>
      <c r="N294">
        <v>0</v>
      </c>
      <c r="P294" t="s">
        <v>3</v>
      </c>
    </row>
    <row r="295" spans="1:16" x14ac:dyDescent="0.2">
      <c r="A295">
        <v>70</v>
      </c>
      <c r="B295">
        <v>1</v>
      </c>
      <c r="D295">
        <v>5</v>
      </c>
      <c r="E295" t="s">
        <v>330</v>
      </c>
      <c r="F295" t="s">
        <v>331</v>
      </c>
      <c r="G295">
        <v>0</v>
      </c>
      <c r="H295">
        <v>0</v>
      </c>
      <c r="I295" t="s">
        <v>3</v>
      </c>
      <c r="J295">
        <v>2</v>
      </c>
      <c r="K295">
        <v>0</v>
      </c>
      <c r="L295" t="s">
        <v>3</v>
      </c>
      <c r="M295" t="s">
        <v>3</v>
      </c>
      <c r="N295">
        <v>0</v>
      </c>
      <c r="P295" t="s">
        <v>3</v>
      </c>
    </row>
    <row r="296" spans="1:16" x14ac:dyDescent="0.2">
      <c r="A296">
        <v>70</v>
      </c>
      <c r="B296">
        <v>1</v>
      </c>
      <c r="D296">
        <v>6</v>
      </c>
      <c r="E296" t="s">
        <v>332</v>
      </c>
      <c r="F296" t="s">
        <v>333</v>
      </c>
      <c r="G296">
        <v>0</v>
      </c>
      <c r="H296">
        <v>0</v>
      </c>
      <c r="I296" t="s">
        <v>3</v>
      </c>
      <c r="J296">
        <v>2</v>
      </c>
      <c r="K296">
        <v>0</v>
      </c>
      <c r="L296" t="s">
        <v>3</v>
      </c>
      <c r="M296" t="s">
        <v>3</v>
      </c>
      <c r="N296">
        <v>0</v>
      </c>
      <c r="P296" t="s">
        <v>3</v>
      </c>
    </row>
    <row r="297" spans="1:16" x14ac:dyDescent="0.2">
      <c r="A297">
        <v>70</v>
      </c>
      <c r="B297">
        <v>1</v>
      </c>
      <c r="D297">
        <v>7</v>
      </c>
      <c r="E297" t="s">
        <v>334</v>
      </c>
      <c r="F297" t="s">
        <v>335</v>
      </c>
      <c r="G297">
        <v>0</v>
      </c>
      <c r="H297">
        <v>0</v>
      </c>
      <c r="I297" t="s">
        <v>336</v>
      </c>
      <c r="J297">
        <v>0</v>
      </c>
      <c r="K297">
        <v>0</v>
      </c>
      <c r="L297" t="s">
        <v>3</v>
      </c>
      <c r="M297" t="s">
        <v>3</v>
      </c>
      <c r="N297">
        <v>0</v>
      </c>
      <c r="P297" t="s">
        <v>337</v>
      </c>
    </row>
    <row r="298" spans="1:16" x14ac:dyDescent="0.2">
      <c r="A298">
        <v>70</v>
      </c>
      <c r="B298">
        <v>1</v>
      </c>
      <c r="D298">
        <v>8</v>
      </c>
      <c r="E298" t="s">
        <v>338</v>
      </c>
      <c r="F298" t="s">
        <v>339</v>
      </c>
      <c r="G298">
        <v>1</v>
      </c>
      <c r="H298">
        <v>0</v>
      </c>
      <c r="I298" t="s">
        <v>3</v>
      </c>
      <c r="J298">
        <v>5</v>
      </c>
      <c r="K298">
        <v>0</v>
      </c>
      <c r="L298" t="s">
        <v>3</v>
      </c>
      <c r="M298" t="s">
        <v>3</v>
      </c>
      <c r="N298">
        <v>0</v>
      </c>
      <c r="P298" t="s">
        <v>3</v>
      </c>
    </row>
    <row r="299" spans="1:16" x14ac:dyDescent="0.2">
      <c r="A299">
        <v>70</v>
      </c>
      <c r="B299">
        <v>1</v>
      </c>
      <c r="D299">
        <v>9</v>
      </c>
      <c r="E299" t="s">
        <v>340</v>
      </c>
      <c r="F299" t="s">
        <v>341</v>
      </c>
      <c r="G299">
        <v>0</v>
      </c>
      <c r="H299">
        <v>0</v>
      </c>
      <c r="I299" t="s">
        <v>3</v>
      </c>
      <c r="J299">
        <v>5</v>
      </c>
      <c r="K299">
        <v>0</v>
      </c>
      <c r="L299" t="s">
        <v>3</v>
      </c>
      <c r="M299" t="s">
        <v>3</v>
      </c>
      <c r="N299">
        <v>0</v>
      </c>
      <c r="P299" t="s">
        <v>3</v>
      </c>
    </row>
    <row r="300" spans="1:16" x14ac:dyDescent="0.2">
      <c r="A300">
        <v>70</v>
      </c>
      <c r="B300">
        <v>1</v>
      </c>
      <c r="D300">
        <v>10</v>
      </c>
      <c r="E300" t="s">
        <v>342</v>
      </c>
      <c r="F300" t="s">
        <v>343</v>
      </c>
      <c r="G300">
        <v>0</v>
      </c>
      <c r="H300">
        <v>0</v>
      </c>
      <c r="I300" t="s">
        <v>344</v>
      </c>
      <c r="J300">
        <v>5</v>
      </c>
      <c r="K300">
        <v>0</v>
      </c>
      <c r="L300" t="s">
        <v>3</v>
      </c>
      <c r="M300" t="s">
        <v>3</v>
      </c>
      <c r="N300">
        <v>0</v>
      </c>
      <c r="P300" t="s">
        <v>345</v>
      </c>
    </row>
    <row r="301" spans="1:16" x14ac:dyDescent="0.2">
      <c r="A301">
        <v>70</v>
      </c>
      <c r="B301">
        <v>1</v>
      </c>
      <c r="D301">
        <v>11</v>
      </c>
      <c r="E301" t="s">
        <v>346</v>
      </c>
      <c r="F301" t="s">
        <v>347</v>
      </c>
      <c r="G301">
        <v>0</v>
      </c>
      <c r="H301">
        <v>0</v>
      </c>
      <c r="I301" t="s">
        <v>348</v>
      </c>
      <c r="J301">
        <v>0</v>
      </c>
      <c r="K301">
        <v>0</v>
      </c>
      <c r="L301" t="s">
        <v>3</v>
      </c>
      <c r="M301" t="s">
        <v>3</v>
      </c>
      <c r="N301">
        <v>0</v>
      </c>
      <c r="P301" t="s">
        <v>349</v>
      </c>
    </row>
    <row r="302" spans="1:16" x14ac:dyDescent="0.2">
      <c r="A302">
        <v>70</v>
      </c>
      <c r="B302">
        <v>1</v>
      </c>
      <c r="D302">
        <v>12</v>
      </c>
      <c r="E302" t="s">
        <v>350</v>
      </c>
      <c r="F302" t="s">
        <v>351</v>
      </c>
      <c r="G302">
        <v>0</v>
      </c>
      <c r="H302">
        <v>0</v>
      </c>
      <c r="I302" t="s">
        <v>352</v>
      </c>
      <c r="J302">
        <v>0</v>
      </c>
      <c r="K302">
        <v>0</v>
      </c>
      <c r="L302" t="s">
        <v>3</v>
      </c>
      <c r="M302" t="s">
        <v>3</v>
      </c>
      <c r="N302">
        <v>0</v>
      </c>
      <c r="P302" t="s">
        <v>353</v>
      </c>
    </row>
    <row r="303" spans="1:16" x14ac:dyDescent="0.2">
      <c r="A303">
        <v>70</v>
      </c>
      <c r="B303">
        <v>1</v>
      </c>
      <c r="D303">
        <v>13</v>
      </c>
      <c r="E303" t="s">
        <v>354</v>
      </c>
      <c r="F303" t="s">
        <v>355</v>
      </c>
      <c r="G303">
        <v>0</v>
      </c>
      <c r="H303">
        <v>0</v>
      </c>
      <c r="I303" t="s">
        <v>356</v>
      </c>
      <c r="J303">
        <v>0</v>
      </c>
      <c r="K303">
        <v>0</v>
      </c>
      <c r="L303" t="s">
        <v>3</v>
      </c>
      <c r="M303" t="s">
        <v>3</v>
      </c>
      <c r="N303">
        <v>0</v>
      </c>
      <c r="P303" t="s">
        <v>357</v>
      </c>
    </row>
    <row r="304" spans="1:16" x14ac:dyDescent="0.2">
      <c r="A304">
        <v>70</v>
      </c>
      <c r="B304">
        <v>1</v>
      </c>
      <c r="D304">
        <v>14</v>
      </c>
      <c r="E304" t="s">
        <v>358</v>
      </c>
      <c r="F304" t="s">
        <v>359</v>
      </c>
      <c r="G304">
        <v>0</v>
      </c>
      <c r="H304">
        <v>0</v>
      </c>
      <c r="I304" t="s">
        <v>3</v>
      </c>
      <c r="J304">
        <v>0</v>
      </c>
      <c r="K304">
        <v>0</v>
      </c>
      <c r="L304" t="s">
        <v>3</v>
      </c>
      <c r="M304" t="s">
        <v>3</v>
      </c>
      <c r="N304">
        <v>0</v>
      </c>
      <c r="P304" t="s">
        <v>360</v>
      </c>
    </row>
    <row r="305" spans="1:50" x14ac:dyDescent="0.2">
      <c r="A305">
        <v>70</v>
      </c>
      <c r="B305">
        <v>1</v>
      </c>
      <c r="D305">
        <v>15</v>
      </c>
      <c r="E305" t="s">
        <v>361</v>
      </c>
      <c r="F305" t="s">
        <v>362</v>
      </c>
      <c r="G305">
        <v>0</v>
      </c>
      <c r="H305">
        <v>0</v>
      </c>
      <c r="I305" t="s">
        <v>3</v>
      </c>
      <c r="J305">
        <v>3</v>
      </c>
      <c r="K305">
        <v>0</v>
      </c>
      <c r="L305" t="s">
        <v>3</v>
      </c>
      <c r="M305" t="s">
        <v>3</v>
      </c>
      <c r="N305">
        <v>0</v>
      </c>
      <c r="P305" t="s">
        <v>3</v>
      </c>
    </row>
    <row r="306" spans="1:50" x14ac:dyDescent="0.2">
      <c r="A306">
        <v>70</v>
      </c>
      <c r="B306">
        <v>1</v>
      </c>
      <c r="D306">
        <v>16</v>
      </c>
      <c r="E306" t="s">
        <v>363</v>
      </c>
      <c r="F306" t="s">
        <v>364</v>
      </c>
      <c r="G306">
        <v>1</v>
      </c>
      <c r="H306">
        <v>0</v>
      </c>
      <c r="I306" t="s">
        <v>3</v>
      </c>
      <c r="J306">
        <v>3</v>
      </c>
      <c r="K306">
        <v>0</v>
      </c>
      <c r="L306" t="s">
        <v>3</v>
      </c>
      <c r="M306" t="s">
        <v>3</v>
      </c>
      <c r="N306">
        <v>0</v>
      </c>
      <c r="P306" t="s">
        <v>3</v>
      </c>
    </row>
    <row r="307" spans="1:50" x14ac:dyDescent="0.2">
      <c r="A307">
        <v>70</v>
      </c>
      <c r="B307">
        <v>1</v>
      </c>
      <c r="D307">
        <v>1</v>
      </c>
      <c r="E307" t="s">
        <v>365</v>
      </c>
      <c r="F307" t="s">
        <v>366</v>
      </c>
      <c r="G307">
        <v>0.9</v>
      </c>
      <c r="H307">
        <v>1</v>
      </c>
      <c r="I307" t="s">
        <v>367</v>
      </c>
      <c r="J307">
        <v>0</v>
      </c>
      <c r="K307">
        <v>0</v>
      </c>
      <c r="L307" t="s">
        <v>3</v>
      </c>
      <c r="M307" t="s">
        <v>3</v>
      </c>
      <c r="N307">
        <v>0</v>
      </c>
      <c r="P307" t="s">
        <v>368</v>
      </c>
    </row>
    <row r="308" spans="1:50" x14ac:dyDescent="0.2">
      <c r="A308">
        <v>70</v>
      </c>
      <c r="B308">
        <v>1</v>
      </c>
      <c r="D308">
        <v>2</v>
      </c>
      <c r="E308" t="s">
        <v>369</v>
      </c>
      <c r="F308" t="s">
        <v>370</v>
      </c>
      <c r="G308">
        <v>0.85</v>
      </c>
      <c r="H308">
        <v>1</v>
      </c>
      <c r="I308" t="s">
        <v>371</v>
      </c>
      <c r="J308">
        <v>0</v>
      </c>
      <c r="K308">
        <v>0</v>
      </c>
      <c r="L308" t="s">
        <v>3</v>
      </c>
      <c r="M308" t="s">
        <v>3</v>
      </c>
      <c r="N308">
        <v>0</v>
      </c>
      <c r="P308" t="s">
        <v>372</v>
      </c>
    </row>
    <row r="309" spans="1:50" x14ac:dyDescent="0.2">
      <c r="A309">
        <v>70</v>
      </c>
      <c r="B309">
        <v>1</v>
      </c>
      <c r="D309">
        <v>3</v>
      </c>
      <c r="E309" t="s">
        <v>373</v>
      </c>
      <c r="F309" t="s">
        <v>374</v>
      </c>
      <c r="G309">
        <v>1.03</v>
      </c>
      <c r="H309">
        <v>0</v>
      </c>
      <c r="I309" t="s">
        <v>3</v>
      </c>
      <c r="J309">
        <v>0</v>
      </c>
      <c r="K309">
        <v>0</v>
      </c>
      <c r="L309" t="s">
        <v>3</v>
      </c>
      <c r="M309" t="s">
        <v>3</v>
      </c>
      <c r="N309">
        <v>0</v>
      </c>
      <c r="P309" t="s">
        <v>375</v>
      </c>
    </row>
    <row r="310" spans="1:50" x14ac:dyDescent="0.2">
      <c r="A310">
        <v>70</v>
      </c>
      <c r="B310">
        <v>1</v>
      </c>
      <c r="D310">
        <v>4</v>
      </c>
      <c r="E310" t="s">
        <v>376</v>
      </c>
      <c r="F310" t="s">
        <v>377</v>
      </c>
      <c r="G310">
        <v>1.1499999999999999</v>
      </c>
      <c r="H310">
        <v>0</v>
      </c>
      <c r="I310" t="s">
        <v>3</v>
      </c>
      <c r="J310">
        <v>0</v>
      </c>
      <c r="K310">
        <v>0</v>
      </c>
      <c r="L310" t="s">
        <v>3</v>
      </c>
      <c r="M310" t="s">
        <v>3</v>
      </c>
      <c r="N310">
        <v>0</v>
      </c>
      <c r="P310" t="s">
        <v>378</v>
      </c>
    </row>
    <row r="311" spans="1:50" x14ac:dyDescent="0.2">
      <c r="A311">
        <v>70</v>
      </c>
      <c r="B311">
        <v>1</v>
      </c>
      <c r="D311">
        <v>5</v>
      </c>
      <c r="E311" t="s">
        <v>379</v>
      </c>
      <c r="F311" t="s">
        <v>380</v>
      </c>
      <c r="G311">
        <v>7</v>
      </c>
      <c r="H311">
        <v>0</v>
      </c>
      <c r="I311" t="s">
        <v>3</v>
      </c>
      <c r="J311">
        <v>0</v>
      </c>
      <c r="K311">
        <v>0</v>
      </c>
      <c r="L311" t="s">
        <v>3</v>
      </c>
      <c r="M311" t="s">
        <v>3</v>
      </c>
      <c r="N311">
        <v>0</v>
      </c>
      <c r="P311" t="s">
        <v>3</v>
      </c>
    </row>
    <row r="312" spans="1:50" x14ac:dyDescent="0.2">
      <c r="A312">
        <v>70</v>
      </c>
      <c r="B312">
        <v>1</v>
      </c>
      <c r="D312">
        <v>6</v>
      </c>
      <c r="E312" t="s">
        <v>381</v>
      </c>
      <c r="F312" t="s">
        <v>3</v>
      </c>
      <c r="G312">
        <v>2</v>
      </c>
      <c r="H312">
        <v>0</v>
      </c>
      <c r="I312" t="s">
        <v>3</v>
      </c>
      <c r="J312">
        <v>0</v>
      </c>
      <c r="K312">
        <v>0</v>
      </c>
      <c r="L312" t="s">
        <v>3</v>
      </c>
      <c r="M312" t="s">
        <v>3</v>
      </c>
      <c r="N312">
        <v>0</v>
      </c>
      <c r="P312" t="s">
        <v>3</v>
      </c>
    </row>
    <row r="314" spans="1:50" x14ac:dyDescent="0.2">
      <c r="A314">
        <v>-1</v>
      </c>
    </row>
    <row r="316" spans="1:50" x14ac:dyDescent="0.2">
      <c r="A316" s="3">
        <v>75</v>
      </c>
      <c r="B316" s="3" t="s">
        <v>382</v>
      </c>
      <c r="C316" s="3">
        <v>2024</v>
      </c>
      <c r="D316" s="3">
        <v>0</v>
      </c>
      <c r="E316" s="3">
        <v>6</v>
      </c>
      <c r="F316" s="3"/>
      <c r="G316" s="3">
        <v>0</v>
      </c>
      <c r="H316" s="3">
        <v>1</v>
      </c>
      <c r="I316" s="3">
        <v>0</v>
      </c>
      <c r="J316" s="3">
        <v>3</v>
      </c>
      <c r="K316" s="3">
        <v>0</v>
      </c>
      <c r="L316" s="3">
        <v>0</v>
      </c>
      <c r="M316" s="3">
        <v>0</v>
      </c>
      <c r="N316" s="3">
        <v>84186534</v>
      </c>
      <c r="O316" s="3">
        <v>1</v>
      </c>
    </row>
    <row r="317" spans="1:50" x14ac:dyDescent="0.2">
      <c r="A317" s="5">
        <v>1</v>
      </c>
      <c r="B317" s="5" t="s">
        <v>383</v>
      </c>
      <c r="C317" s="5" t="s">
        <v>384</v>
      </c>
      <c r="D317" s="5">
        <v>2024</v>
      </c>
      <c r="E317" s="5">
        <v>6</v>
      </c>
      <c r="F317" s="5">
        <v>1</v>
      </c>
      <c r="G317" s="5">
        <v>1</v>
      </c>
      <c r="H317" s="5">
        <v>0</v>
      </c>
      <c r="I317" s="5">
        <v>2</v>
      </c>
      <c r="J317" s="5">
        <v>1</v>
      </c>
      <c r="K317" s="5">
        <v>1</v>
      </c>
      <c r="L317" s="5">
        <v>1</v>
      </c>
      <c r="M317" s="5">
        <v>1</v>
      </c>
      <c r="N317" s="5">
        <v>1</v>
      </c>
      <c r="O317" s="5">
        <v>1</v>
      </c>
      <c r="P317" s="5">
        <v>1</v>
      </c>
      <c r="Q317" s="5">
        <v>1</v>
      </c>
      <c r="R317" s="5" t="s">
        <v>3</v>
      </c>
      <c r="S317" s="5" t="s">
        <v>3</v>
      </c>
      <c r="T317" s="5" t="s">
        <v>3</v>
      </c>
      <c r="U317" s="5" t="s">
        <v>3</v>
      </c>
      <c r="V317" s="5" t="s">
        <v>3</v>
      </c>
      <c r="W317" s="5" t="s">
        <v>3</v>
      </c>
      <c r="X317" s="5" t="s">
        <v>3</v>
      </c>
      <c r="Y317" s="5" t="s">
        <v>3</v>
      </c>
      <c r="Z317" s="5" t="s">
        <v>3</v>
      </c>
      <c r="AA317" s="5" t="s">
        <v>3</v>
      </c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>
        <v>84186535</v>
      </c>
      <c r="AO317" s="5"/>
      <c r="AP317" s="5"/>
      <c r="AQ317" s="5"/>
      <c r="AR317" s="5"/>
      <c r="AS317" s="5"/>
      <c r="AT317" s="5"/>
      <c r="AU317" s="5"/>
      <c r="AV317" s="5"/>
      <c r="AW317" s="5"/>
      <c r="AX317" s="5"/>
    </row>
    <row r="321" spans="1:5" x14ac:dyDescent="0.2">
      <c r="A321">
        <v>65</v>
      </c>
      <c r="C321">
        <v>1</v>
      </c>
      <c r="D321">
        <v>0</v>
      </c>
      <c r="E321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4E4E1-C688-40D1-A1CE-8373CCF7A13D}">
  <dimension ref="A1:EC6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385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67550</v>
      </c>
      <c r="M1">
        <v>77177407</v>
      </c>
      <c r="N1">
        <v>11</v>
      </c>
      <c r="O1">
        <v>9</v>
      </c>
      <c r="P1">
        <v>0</v>
      </c>
      <c r="Q1">
        <v>0</v>
      </c>
    </row>
    <row r="12" spans="1:133" x14ac:dyDescent="0.2">
      <c r="A12" s="1">
        <v>1</v>
      </c>
      <c r="B12" s="1">
        <v>60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131075</v>
      </c>
      <c r="N12" s="1"/>
      <c r="O12" s="1">
        <v>0</v>
      </c>
      <c r="P12" s="1">
        <v>0</v>
      </c>
      <c r="Q12" s="1">
        <v>2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2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8</v>
      </c>
      <c r="CB12" s="1" t="s">
        <v>8</v>
      </c>
      <c r="CC12" s="1" t="s">
        <v>8</v>
      </c>
      <c r="CD12" s="1" t="s">
        <v>8</v>
      </c>
      <c r="CE12" s="1" t="s">
        <v>10</v>
      </c>
      <c r="CF12" s="1">
        <v>0</v>
      </c>
      <c r="CG12" s="1">
        <v>0</v>
      </c>
      <c r="CH12" s="1">
        <v>18882568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 t="s">
        <v>11</v>
      </c>
      <c r="CR12" s="1" t="s">
        <v>4</v>
      </c>
      <c r="CS12" s="1">
        <v>42130</v>
      </c>
      <c r="CT12" s="1">
        <v>246</v>
      </c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84186534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3</v>
      </c>
      <c r="D16" s="6" t="s">
        <v>3</v>
      </c>
      <c r="E16" s="7">
        <f>ROUND((Source!F227)/1000,2)</f>
        <v>147.97999999999999</v>
      </c>
      <c r="F16" s="7">
        <f>ROUND((Source!F228)/1000,2)</f>
        <v>12.52</v>
      </c>
      <c r="G16" s="7">
        <f>ROUND((Source!F219)/1000,2)</f>
        <v>0</v>
      </c>
      <c r="H16" s="7">
        <f>ROUND((Source!F229)/1000+(Source!F230)/1000,2)</f>
        <v>11.08</v>
      </c>
      <c r="I16" s="7">
        <f>E16+F16+G16+H16</f>
        <v>171.58</v>
      </c>
      <c r="J16" s="7">
        <f>ROUND((Source!F239+Source!F241)/1000,2)</f>
        <v>28.98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127841.54</v>
      </c>
      <c r="AU16" s="7">
        <v>80626.679999999993</v>
      </c>
      <c r="AV16" s="7">
        <v>0</v>
      </c>
      <c r="AW16" s="7">
        <v>0</v>
      </c>
      <c r="AX16" s="7">
        <v>0</v>
      </c>
      <c r="AY16" s="7">
        <v>24011.119999999999</v>
      </c>
      <c r="AZ16" s="7">
        <v>5778.09</v>
      </c>
      <c r="BA16" s="7">
        <v>23203.74</v>
      </c>
      <c r="BB16" s="7">
        <v>147976.94</v>
      </c>
      <c r="BC16" s="7">
        <v>12524.33</v>
      </c>
      <c r="BD16" s="7">
        <v>11084.26</v>
      </c>
      <c r="BE16" s="7">
        <v>0</v>
      </c>
      <c r="BF16" s="7">
        <v>72.235212000000004</v>
      </c>
      <c r="BG16" s="7">
        <v>16.518820399999999</v>
      </c>
      <c r="BH16" s="7">
        <v>0</v>
      </c>
      <c r="BI16" s="7">
        <v>28034.66</v>
      </c>
      <c r="BJ16" s="7">
        <v>15709.33</v>
      </c>
      <c r="BK16" s="7">
        <v>171585.53</v>
      </c>
    </row>
    <row r="18" spans="1:19" x14ac:dyDescent="0.2">
      <c r="A18">
        <v>51</v>
      </c>
      <c r="E18" s="8">
        <f>SUMIF(A16:A17,3,E16:E17)</f>
        <v>147.97999999999999</v>
      </c>
      <c r="F18" s="8">
        <f>SUMIF(A16:A17,3,F16:F17)</f>
        <v>12.52</v>
      </c>
      <c r="G18" s="8">
        <f>SUMIF(A16:A17,3,G16:G17)</f>
        <v>0</v>
      </c>
      <c r="H18" s="8">
        <f>SUMIF(A16:A17,3,H16:H17)</f>
        <v>11.08</v>
      </c>
      <c r="I18" s="8">
        <f>SUMIF(A16:A17,3,I16:I17)</f>
        <v>171.58</v>
      </c>
      <c r="J18" s="8">
        <f>SUMIF(A16:A17,3,J16:J17)</f>
        <v>28.98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127841.54</v>
      </c>
      <c r="G20" s="4" t="s">
        <v>24</v>
      </c>
      <c r="H20" s="4" t="s">
        <v>25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0</v>
      </c>
      <c r="F21" s="4">
        <v>80626.679999999993</v>
      </c>
      <c r="G21" s="4" t="s">
        <v>26</v>
      </c>
      <c r="H21" s="4" t="s">
        <v>27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28</v>
      </c>
      <c r="H22" s="4" t="s">
        <v>29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80626.679999999993</v>
      </c>
      <c r="G23" s="4" t="s">
        <v>30</v>
      </c>
      <c r="H23" s="4" t="s">
        <v>31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80626.679999999993</v>
      </c>
      <c r="G24" s="4" t="s">
        <v>32</v>
      </c>
      <c r="H24" s="4" t="s">
        <v>33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34</v>
      </c>
      <c r="H25" s="4" t="s">
        <v>35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80626.679999999993</v>
      </c>
      <c r="G26" s="4" t="s">
        <v>36</v>
      </c>
      <c r="H26" s="4" t="s">
        <v>37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38</v>
      </c>
      <c r="H27" s="4" t="s">
        <v>39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40</v>
      </c>
      <c r="H28" s="4" t="s">
        <v>41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42</v>
      </c>
      <c r="H29" s="4" t="s">
        <v>43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0</v>
      </c>
      <c r="F30" s="4">
        <v>24011.119999999999</v>
      </c>
      <c r="G30" s="4" t="s">
        <v>44</v>
      </c>
      <c r="H30" s="4" t="s">
        <v>45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46</v>
      </c>
      <c r="H31" s="4" t="s">
        <v>47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0</v>
      </c>
      <c r="F32" s="4">
        <v>5778.09</v>
      </c>
      <c r="G32" s="4" t="s">
        <v>48</v>
      </c>
      <c r="H32" s="4" t="s">
        <v>49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0</v>
      </c>
      <c r="F33" s="4">
        <v>23203.74</v>
      </c>
      <c r="G33" s="4" t="s">
        <v>50</v>
      </c>
      <c r="H33" s="4" t="s">
        <v>51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52</v>
      </c>
      <c r="H34" s="4" t="s">
        <v>53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147976.94</v>
      </c>
      <c r="G35" s="4" t="s">
        <v>54</v>
      </c>
      <c r="H35" s="4" t="s">
        <v>55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12524.33</v>
      </c>
      <c r="G36" s="4" t="s">
        <v>56</v>
      </c>
      <c r="H36" s="4" t="s">
        <v>57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11084.26</v>
      </c>
      <c r="G37" s="4" t="s">
        <v>58</v>
      </c>
      <c r="H37" s="4" t="s">
        <v>59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60</v>
      </c>
      <c r="H38" s="4" t="s">
        <v>61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62</v>
      </c>
      <c r="H39" s="4" t="s">
        <v>63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72.235212000000004</v>
      </c>
      <c r="G40" s="4" t="s">
        <v>64</v>
      </c>
      <c r="H40" s="4" t="s">
        <v>65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16.518820399999999</v>
      </c>
      <c r="G41" s="4" t="s">
        <v>66</v>
      </c>
      <c r="H41" s="4" t="s">
        <v>67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68</v>
      </c>
      <c r="H42" s="4" t="s">
        <v>69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70</v>
      </c>
      <c r="H43" s="4" t="s">
        <v>71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0</v>
      </c>
      <c r="F44" s="4">
        <v>28034.66</v>
      </c>
      <c r="G44" s="4" t="s">
        <v>72</v>
      </c>
      <c r="H44" s="4" t="s">
        <v>73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0</v>
      </c>
      <c r="F45" s="4">
        <v>15709.33</v>
      </c>
      <c r="G45" s="4" t="s">
        <v>74</v>
      </c>
      <c r="H45" s="4" t="s">
        <v>75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171585.53</v>
      </c>
      <c r="G46" s="4" t="s">
        <v>76</v>
      </c>
      <c r="H46" s="4" t="s">
        <v>77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205</v>
      </c>
      <c r="F47" s="4">
        <v>23203.74</v>
      </c>
      <c r="G47" s="4" t="s">
        <v>78</v>
      </c>
      <c r="H47" s="4" t="s">
        <v>50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203</v>
      </c>
      <c r="F48" s="4">
        <v>24011.119999999999</v>
      </c>
      <c r="G48" s="4" t="s">
        <v>79</v>
      </c>
      <c r="H48" s="4" t="s">
        <v>80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50" x14ac:dyDescent="0.2">
      <c r="A49" s="4">
        <v>50</v>
      </c>
      <c r="B49" s="4">
        <v>1</v>
      </c>
      <c r="C49" s="4">
        <v>0</v>
      </c>
      <c r="D49" s="4">
        <v>2</v>
      </c>
      <c r="E49" s="4">
        <v>204</v>
      </c>
      <c r="F49" s="4">
        <v>5778.09</v>
      </c>
      <c r="G49" s="4" t="s">
        <v>81</v>
      </c>
      <c r="H49" s="4" t="s">
        <v>82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0" spans="1:50" x14ac:dyDescent="0.2">
      <c r="A50" s="4">
        <v>50</v>
      </c>
      <c r="B50" s="4">
        <v>1</v>
      </c>
      <c r="C50" s="4">
        <v>0</v>
      </c>
      <c r="D50" s="4">
        <v>2</v>
      </c>
      <c r="E50" s="4">
        <v>202</v>
      </c>
      <c r="F50" s="4">
        <v>80626.679999999993</v>
      </c>
      <c r="G50" s="4" t="s">
        <v>83</v>
      </c>
      <c r="H50" s="4" t="s">
        <v>84</v>
      </c>
      <c r="I50" s="4"/>
      <c r="J50" s="4"/>
      <c r="K50" s="4">
        <v>212</v>
      </c>
      <c r="L50" s="4">
        <v>31</v>
      </c>
      <c r="M50" s="4">
        <v>0</v>
      </c>
      <c r="N50" s="4" t="s">
        <v>3</v>
      </c>
      <c r="O50" s="4">
        <v>2</v>
      </c>
      <c r="P50" s="4"/>
    </row>
    <row r="51" spans="1:50" x14ac:dyDescent="0.2">
      <c r="A51" s="4">
        <v>50</v>
      </c>
      <c r="B51" s="4">
        <v>1</v>
      </c>
      <c r="C51" s="4">
        <v>0</v>
      </c>
      <c r="D51" s="4">
        <v>2</v>
      </c>
      <c r="E51" s="4">
        <v>210</v>
      </c>
      <c r="F51" s="4">
        <v>28034.66</v>
      </c>
      <c r="G51" s="4" t="s">
        <v>85</v>
      </c>
      <c r="H51" s="4" t="s">
        <v>72</v>
      </c>
      <c r="I51" s="4"/>
      <c r="J51" s="4"/>
      <c r="K51" s="4">
        <v>212</v>
      </c>
      <c r="L51" s="4">
        <v>32</v>
      </c>
      <c r="M51" s="4">
        <v>0</v>
      </c>
      <c r="N51" s="4" t="s">
        <v>3</v>
      </c>
      <c r="O51" s="4">
        <v>2</v>
      </c>
      <c r="P51" s="4"/>
    </row>
    <row r="52" spans="1:50" x14ac:dyDescent="0.2">
      <c r="A52" s="4">
        <v>50</v>
      </c>
      <c r="B52" s="4">
        <v>1</v>
      </c>
      <c r="C52" s="4">
        <v>0</v>
      </c>
      <c r="D52" s="4">
        <v>2</v>
      </c>
      <c r="E52" s="4">
        <v>211</v>
      </c>
      <c r="F52" s="4">
        <v>15709.33</v>
      </c>
      <c r="G52" s="4" t="s">
        <v>86</v>
      </c>
      <c r="H52" s="4" t="s">
        <v>87</v>
      </c>
      <c r="I52" s="4"/>
      <c r="J52" s="4"/>
      <c r="K52" s="4">
        <v>212</v>
      </c>
      <c r="L52" s="4">
        <v>33</v>
      </c>
      <c r="M52" s="4">
        <v>0</v>
      </c>
      <c r="N52" s="4" t="s">
        <v>3</v>
      </c>
      <c r="O52" s="4">
        <v>2</v>
      </c>
      <c r="P52" s="4"/>
    </row>
    <row r="53" spans="1:50" x14ac:dyDescent="0.2">
      <c r="A53" s="4">
        <v>50</v>
      </c>
      <c r="B53" s="4">
        <v>1</v>
      </c>
      <c r="C53" s="4">
        <v>0</v>
      </c>
      <c r="D53" s="4">
        <v>2</v>
      </c>
      <c r="E53" s="4">
        <v>213</v>
      </c>
      <c r="F53" s="4">
        <v>171585.53</v>
      </c>
      <c r="G53" s="4" t="s">
        <v>88</v>
      </c>
      <c r="H53" s="4" t="s">
        <v>89</v>
      </c>
      <c r="I53" s="4"/>
      <c r="J53" s="4"/>
      <c r="K53" s="4">
        <v>212</v>
      </c>
      <c r="L53" s="4">
        <v>34</v>
      </c>
      <c r="M53" s="4">
        <v>0</v>
      </c>
      <c r="N53" s="4" t="s">
        <v>3</v>
      </c>
      <c r="O53" s="4">
        <v>2</v>
      </c>
      <c r="P53" s="4"/>
    </row>
    <row r="54" spans="1:50" x14ac:dyDescent="0.2">
      <c r="A54" s="4">
        <v>50</v>
      </c>
      <c r="B54" s="4">
        <v>1</v>
      </c>
      <c r="C54" s="4">
        <v>0</v>
      </c>
      <c r="D54" s="4">
        <v>2</v>
      </c>
      <c r="E54" s="4">
        <v>40729949</v>
      </c>
      <c r="F54" s="4">
        <v>34317.11</v>
      </c>
      <c r="G54" s="4" t="s">
        <v>90</v>
      </c>
      <c r="H54" s="4" t="s">
        <v>91</v>
      </c>
      <c r="I54" s="4"/>
      <c r="J54" s="4"/>
      <c r="K54" s="4">
        <v>212</v>
      </c>
      <c r="L54" s="4">
        <v>35</v>
      </c>
      <c r="M54" s="4">
        <v>0</v>
      </c>
      <c r="N54" s="4" t="s">
        <v>3</v>
      </c>
      <c r="O54" s="4">
        <v>2</v>
      </c>
      <c r="P54" s="4"/>
    </row>
    <row r="55" spans="1:50" x14ac:dyDescent="0.2">
      <c r="A55" s="4">
        <v>50</v>
      </c>
      <c r="B55" s="4">
        <v>1</v>
      </c>
      <c r="C55" s="4">
        <v>0</v>
      </c>
      <c r="D55" s="4">
        <v>2</v>
      </c>
      <c r="E55" s="4">
        <v>65938917</v>
      </c>
      <c r="F55" s="4">
        <v>205902.64</v>
      </c>
      <c r="G55" s="4" t="s">
        <v>92</v>
      </c>
      <c r="H55" s="4" t="s">
        <v>93</v>
      </c>
      <c r="I55" s="4"/>
      <c r="J55" s="4"/>
      <c r="K55" s="4">
        <v>212</v>
      </c>
      <c r="L55" s="4">
        <v>36</v>
      </c>
      <c r="M55" s="4">
        <v>0</v>
      </c>
      <c r="N55" s="4" t="s">
        <v>3</v>
      </c>
      <c r="O55" s="4">
        <v>2</v>
      </c>
      <c r="P55" s="4"/>
    </row>
    <row r="57" spans="1:50" x14ac:dyDescent="0.2">
      <c r="A57">
        <v>-1</v>
      </c>
    </row>
    <row r="60" spans="1:50" x14ac:dyDescent="0.2">
      <c r="A60" s="3">
        <v>75</v>
      </c>
      <c r="B60" s="3" t="s">
        <v>382</v>
      </c>
      <c r="C60" s="3">
        <v>2024</v>
      </c>
      <c r="D60" s="3">
        <v>0</v>
      </c>
      <c r="E60" s="3">
        <v>6</v>
      </c>
      <c r="F60" s="3"/>
      <c r="G60" s="3">
        <v>0</v>
      </c>
      <c r="H60" s="3">
        <v>1</v>
      </c>
      <c r="I60" s="3">
        <v>0</v>
      </c>
      <c r="J60" s="3">
        <v>3</v>
      </c>
      <c r="K60" s="3">
        <v>0</v>
      </c>
      <c r="L60" s="3">
        <v>0</v>
      </c>
      <c r="M60" s="3">
        <v>0</v>
      </c>
      <c r="N60" s="3">
        <v>84186534</v>
      </c>
      <c r="O60" s="3">
        <v>1</v>
      </c>
    </row>
    <row r="61" spans="1:50" x14ac:dyDescent="0.2">
      <c r="A61" s="5">
        <v>1</v>
      </c>
      <c r="B61" s="5" t="s">
        <v>383</v>
      </c>
      <c r="C61" s="5" t="s">
        <v>384</v>
      </c>
      <c r="D61" s="5">
        <v>2024</v>
      </c>
      <c r="E61" s="5">
        <v>6</v>
      </c>
      <c r="F61" s="5">
        <v>1</v>
      </c>
      <c r="G61" s="5">
        <v>1</v>
      </c>
      <c r="H61" s="5">
        <v>0</v>
      </c>
      <c r="I61" s="5">
        <v>2</v>
      </c>
      <c r="J61" s="5">
        <v>1</v>
      </c>
      <c r="K61" s="5">
        <v>1</v>
      </c>
      <c r="L61" s="5">
        <v>1</v>
      </c>
      <c r="M61" s="5">
        <v>1</v>
      </c>
      <c r="N61" s="5">
        <v>1</v>
      </c>
      <c r="O61" s="5">
        <v>1</v>
      </c>
      <c r="P61" s="5">
        <v>1</v>
      </c>
      <c r="Q61" s="5">
        <v>1</v>
      </c>
      <c r="R61" s="5" t="s">
        <v>3</v>
      </c>
      <c r="S61" s="5" t="s">
        <v>3</v>
      </c>
      <c r="T61" s="5" t="s">
        <v>3</v>
      </c>
      <c r="U61" s="5" t="s">
        <v>3</v>
      </c>
      <c r="V61" s="5" t="s">
        <v>3</v>
      </c>
      <c r="W61" s="5" t="s">
        <v>3</v>
      </c>
      <c r="X61" s="5" t="s">
        <v>3</v>
      </c>
      <c r="Y61" s="5" t="s">
        <v>3</v>
      </c>
      <c r="Z61" s="5" t="s">
        <v>3</v>
      </c>
      <c r="AA61" s="5" t="s">
        <v>3</v>
      </c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>
        <v>84186535</v>
      </c>
      <c r="AO61" s="5"/>
      <c r="AP61" s="5"/>
      <c r="AQ61" s="5"/>
      <c r="AR61" s="5"/>
      <c r="AS61" s="5"/>
      <c r="AT61" s="5"/>
      <c r="AU61" s="5"/>
      <c r="AV61" s="5"/>
      <c r="AW61" s="5"/>
      <c r="AX61" s="5"/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A5C00-E5E3-4B1E-9B7C-0E33548AD649}">
  <dimension ref="A1:DO28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84186534</v>
      </c>
      <c r="C1">
        <v>84186830</v>
      </c>
      <c r="D1">
        <v>23129805</v>
      </c>
      <c r="E1">
        <v>1</v>
      </c>
      <c r="F1">
        <v>1</v>
      </c>
      <c r="G1">
        <v>1</v>
      </c>
      <c r="H1">
        <v>1</v>
      </c>
      <c r="I1" t="s">
        <v>386</v>
      </c>
      <c r="J1" t="s">
        <v>3</v>
      </c>
      <c r="K1" t="s">
        <v>387</v>
      </c>
      <c r="L1">
        <v>1369</v>
      </c>
      <c r="N1">
        <v>1013</v>
      </c>
      <c r="O1" t="s">
        <v>388</v>
      </c>
      <c r="P1" t="s">
        <v>388</v>
      </c>
      <c r="Q1">
        <v>1</v>
      </c>
      <c r="W1">
        <v>0</v>
      </c>
      <c r="X1">
        <v>756115135</v>
      </c>
      <c r="Y1">
        <f t="shared" ref="Y1:Y32" si="0">AT1</f>
        <v>2.0299999999999998</v>
      </c>
      <c r="AA1">
        <v>0</v>
      </c>
      <c r="AB1">
        <v>0</v>
      </c>
      <c r="AC1">
        <v>0</v>
      </c>
      <c r="AD1">
        <v>7.97</v>
      </c>
      <c r="AE1">
        <v>0</v>
      </c>
      <c r="AF1">
        <v>0</v>
      </c>
      <c r="AG1">
        <v>0</v>
      </c>
      <c r="AH1">
        <v>7.97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2.0299999999999998</v>
      </c>
      <c r="AU1" t="s">
        <v>3</v>
      </c>
      <c r="AV1">
        <v>1</v>
      </c>
      <c r="AW1">
        <v>2</v>
      </c>
      <c r="AX1">
        <v>84186835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16.18</v>
      </c>
      <c r="CV1">
        <f>ROUND(Y1*Source!I28,9)</f>
        <v>2.0299999999999998</v>
      </c>
      <c r="CW1">
        <v>0</v>
      </c>
      <c r="CX1">
        <f>ROUND(Y1*Source!I28,9)</f>
        <v>2.0299999999999998</v>
      </c>
      <c r="CY1">
        <f>AD1</f>
        <v>7.97</v>
      </c>
      <c r="CZ1">
        <f>AH1</f>
        <v>7.97</v>
      </c>
      <c r="DA1">
        <f>AL1</f>
        <v>1</v>
      </c>
      <c r="DB1">
        <f t="shared" ref="DB1:DB32" si="1">ROUND(ROUND(AT1*CZ1,2),2)</f>
        <v>16.18</v>
      </c>
      <c r="DC1">
        <f t="shared" ref="DC1:DC32" si="2">ROUND(ROUND(AT1*AG1,2),2)</f>
        <v>0</v>
      </c>
      <c r="DD1" t="s">
        <v>3</v>
      </c>
      <c r="DE1" t="s">
        <v>3</v>
      </c>
      <c r="DF1">
        <f t="shared" ref="DF1:DF14" si="3">ROUND(ROUND(AE1,2)*CX1,2)</f>
        <v>0</v>
      </c>
      <c r="DG1">
        <f>ROUND(ROUND(AF1,2)*CX1,2)</f>
        <v>0</v>
      </c>
      <c r="DH1">
        <f>ROUND(ROUND(AG1,2)*CX1,2)</f>
        <v>0</v>
      </c>
      <c r="DI1">
        <f t="shared" ref="DI1:DI32" si="4">ROUND(ROUND(AH1,2)*CX1,2)</f>
        <v>16.18</v>
      </c>
      <c r="DJ1">
        <f>DI1</f>
        <v>16.18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ROW(Source!A28)</f>
        <v>28</v>
      </c>
      <c r="B2">
        <v>84186534</v>
      </c>
      <c r="C2">
        <v>84186830</v>
      </c>
      <c r="D2">
        <v>121548</v>
      </c>
      <c r="E2">
        <v>1</v>
      </c>
      <c r="F2">
        <v>1</v>
      </c>
      <c r="G2">
        <v>1</v>
      </c>
      <c r="H2">
        <v>1</v>
      </c>
      <c r="I2" t="s">
        <v>95</v>
      </c>
      <c r="J2" t="s">
        <v>3</v>
      </c>
      <c r="K2" t="s">
        <v>389</v>
      </c>
      <c r="L2">
        <v>608254</v>
      </c>
      <c r="N2">
        <v>1013</v>
      </c>
      <c r="O2" t="s">
        <v>390</v>
      </c>
      <c r="P2" t="s">
        <v>390</v>
      </c>
      <c r="Q2">
        <v>1</v>
      </c>
      <c r="W2">
        <v>0</v>
      </c>
      <c r="X2">
        <v>-185737400</v>
      </c>
      <c r="Y2">
        <f t="shared" si="0"/>
        <v>0.45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0.45</v>
      </c>
      <c r="AU2" t="s">
        <v>3</v>
      </c>
      <c r="AV2">
        <v>2</v>
      </c>
      <c r="AW2">
        <v>2</v>
      </c>
      <c r="AX2">
        <v>84186836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v>0</v>
      </c>
      <c r="CX2">
        <f>ROUND(Y2*Source!I28,9)</f>
        <v>0.45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3</v>
      </c>
      <c r="DE2" t="s">
        <v>3</v>
      </c>
      <c r="DF2">
        <f t="shared" si="3"/>
        <v>0</v>
      </c>
      <c r="DG2">
        <f>ROUND(ROUND(AF2,2)*CX2,2)</f>
        <v>0</v>
      </c>
      <c r="DH2">
        <f>ROUND(ROUND(AG2,2)*CX2,2)</f>
        <v>0</v>
      </c>
      <c r="DI2">
        <f t="shared" si="4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ROW(Source!A28)</f>
        <v>28</v>
      </c>
      <c r="B3">
        <v>84186534</v>
      </c>
      <c r="C3">
        <v>84186830</v>
      </c>
      <c r="D3">
        <v>37802579</v>
      </c>
      <c r="E3">
        <v>1</v>
      </c>
      <c r="F3">
        <v>1</v>
      </c>
      <c r="G3">
        <v>1</v>
      </c>
      <c r="H3">
        <v>2</v>
      </c>
      <c r="I3" t="s">
        <v>391</v>
      </c>
      <c r="J3" t="s">
        <v>392</v>
      </c>
      <c r="K3" t="s">
        <v>393</v>
      </c>
      <c r="L3">
        <v>1368</v>
      </c>
      <c r="N3">
        <v>1011</v>
      </c>
      <c r="O3" t="s">
        <v>394</v>
      </c>
      <c r="P3" t="s">
        <v>394</v>
      </c>
      <c r="Q3">
        <v>1</v>
      </c>
      <c r="W3">
        <v>0</v>
      </c>
      <c r="X3">
        <v>1698075389</v>
      </c>
      <c r="Y3">
        <f t="shared" si="0"/>
        <v>0.45</v>
      </c>
      <c r="AA3">
        <v>0</v>
      </c>
      <c r="AB3">
        <v>898.36</v>
      </c>
      <c r="AC3">
        <v>317.43</v>
      </c>
      <c r="AD3">
        <v>0</v>
      </c>
      <c r="AE3">
        <v>0</v>
      </c>
      <c r="AF3">
        <v>85.64</v>
      </c>
      <c r="AG3">
        <v>9</v>
      </c>
      <c r="AH3">
        <v>0</v>
      </c>
      <c r="AI3">
        <v>1</v>
      </c>
      <c r="AJ3">
        <v>10.49</v>
      </c>
      <c r="AK3">
        <v>35.270000000000003</v>
      </c>
      <c r="AL3">
        <v>1</v>
      </c>
      <c r="AM3">
        <v>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0.45</v>
      </c>
      <c r="AU3" t="s">
        <v>3</v>
      </c>
      <c r="AV3">
        <v>0</v>
      </c>
      <c r="AW3">
        <v>2</v>
      </c>
      <c r="AX3">
        <v>84186837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ROUND(Y3*Source!I28*DO3,9)</f>
        <v>0</v>
      </c>
      <c r="CX3">
        <f>ROUND(Y3*Source!I28,9)</f>
        <v>0.45</v>
      </c>
      <c r="CY3">
        <f>AB3</f>
        <v>898.36</v>
      </c>
      <c r="CZ3">
        <f>AF3</f>
        <v>85.64</v>
      </c>
      <c r="DA3">
        <f>AJ3</f>
        <v>10.49</v>
      </c>
      <c r="DB3">
        <f t="shared" si="1"/>
        <v>38.54</v>
      </c>
      <c r="DC3">
        <f t="shared" si="2"/>
        <v>4.05</v>
      </c>
      <c r="DD3" t="s">
        <v>3</v>
      </c>
      <c r="DE3" t="s">
        <v>3</v>
      </c>
      <c r="DF3">
        <f t="shared" si="3"/>
        <v>0</v>
      </c>
      <c r="DG3">
        <f>ROUND(ROUND(AF3*AJ3,2)*CX3,2)</f>
        <v>404.26</v>
      </c>
      <c r="DH3">
        <f>ROUND(ROUND(AG3*AK3,2)*CX3,2)</f>
        <v>142.84</v>
      </c>
      <c r="DI3">
        <f t="shared" si="4"/>
        <v>0</v>
      </c>
      <c r="DJ3">
        <f>DG3</f>
        <v>404.26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ROW(Source!A28)</f>
        <v>28</v>
      </c>
      <c r="B4">
        <v>84186534</v>
      </c>
      <c r="C4">
        <v>84186830</v>
      </c>
      <c r="D4">
        <v>37804456</v>
      </c>
      <c r="E4">
        <v>1</v>
      </c>
      <c r="F4">
        <v>1</v>
      </c>
      <c r="G4">
        <v>1</v>
      </c>
      <c r="H4">
        <v>2</v>
      </c>
      <c r="I4" t="s">
        <v>395</v>
      </c>
      <c r="J4" t="s">
        <v>396</v>
      </c>
      <c r="K4" t="s">
        <v>397</v>
      </c>
      <c r="L4">
        <v>1368</v>
      </c>
      <c r="N4">
        <v>1011</v>
      </c>
      <c r="O4" t="s">
        <v>394</v>
      </c>
      <c r="P4" t="s">
        <v>394</v>
      </c>
      <c r="Q4">
        <v>1</v>
      </c>
      <c r="W4">
        <v>0</v>
      </c>
      <c r="X4">
        <v>-671646184</v>
      </c>
      <c r="Y4">
        <f t="shared" si="0"/>
        <v>0.1</v>
      </c>
      <c r="AA4">
        <v>0</v>
      </c>
      <c r="AB4">
        <v>1305.74</v>
      </c>
      <c r="AC4">
        <v>365.04</v>
      </c>
      <c r="AD4">
        <v>0</v>
      </c>
      <c r="AE4">
        <v>0</v>
      </c>
      <c r="AF4">
        <v>91.76</v>
      </c>
      <c r="AG4">
        <v>10.35</v>
      </c>
      <c r="AH4">
        <v>0</v>
      </c>
      <c r="AI4">
        <v>1</v>
      </c>
      <c r="AJ4">
        <v>14.23</v>
      </c>
      <c r="AK4">
        <v>35.270000000000003</v>
      </c>
      <c r="AL4">
        <v>1</v>
      </c>
      <c r="AM4">
        <v>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0.1</v>
      </c>
      <c r="AU4" t="s">
        <v>3</v>
      </c>
      <c r="AV4">
        <v>0</v>
      </c>
      <c r="AW4">
        <v>2</v>
      </c>
      <c r="AX4">
        <v>84186838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ROUND(Y4*Source!I28*DO4,9)</f>
        <v>0</v>
      </c>
      <c r="CX4">
        <f>ROUND(Y4*Source!I28,9)</f>
        <v>0.1</v>
      </c>
      <c r="CY4">
        <f>AB4</f>
        <v>1305.74</v>
      </c>
      <c r="CZ4">
        <f>AF4</f>
        <v>91.76</v>
      </c>
      <c r="DA4">
        <f>AJ4</f>
        <v>14.23</v>
      </c>
      <c r="DB4">
        <f t="shared" si="1"/>
        <v>9.18</v>
      </c>
      <c r="DC4">
        <f t="shared" si="2"/>
        <v>1.04</v>
      </c>
      <c r="DD4" t="s">
        <v>3</v>
      </c>
      <c r="DE4" t="s">
        <v>3</v>
      </c>
      <c r="DF4">
        <f t="shared" si="3"/>
        <v>0</v>
      </c>
      <c r="DG4">
        <f>ROUND(ROUND(AF4*AJ4,2)*CX4,2)</f>
        <v>130.57</v>
      </c>
      <c r="DH4">
        <f>ROUND(ROUND(AG4*AK4,2)*CX4,2)</f>
        <v>36.5</v>
      </c>
      <c r="DI4">
        <f t="shared" si="4"/>
        <v>0</v>
      </c>
      <c r="DJ4">
        <f>DG4</f>
        <v>130.57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ROW(Source!A73)</f>
        <v>73</v>
      </c>
      <c r="B5">
        <v>84186534</v>
      </c>
      <c r="C5">
        <v>84186844</v>
      </c>
      <c r="D5">
        <v>23131263</v>
      </c>
      <c r="E5">
        <v>1</v>
      </c>
      <c r="F5">
        <v>1</v>
      </c>
      <c r="G5">
        <v>1</v>
      </c>
      <c r="H5">
        <v>1</v>
      </c>
      <c r="I5" t="s">
        <v>398</v>
      </c>
      <c r="J5" t="s">
        <v>3</v>
      </c>
      <c r="K5" t="s">
        <v>399</v>
      </c>
      <c r="L5">
        <v>1369</v>
      </c>
      <c r="N5">
        <v>1013</v>
      </c>
      <c r="O5" t="s">
        <v>388</v>
      </c>
      <c r="P5" t="s">
        <v>388</v>
      </c>
      <c r="Q5">
        <v>1</v>
      </c>
      <c r="W5">
        <v>0</v>
      </c>
      <c r="X5">
        <v>920778480</v>
      </c>
      <c r="Y5">
        <f t="shared" si="0"/>
        <v>0.44</v>
      </c>
      <c r="AA5">
        <v>0</v>
      </c>
      <c r="AB5">
        <v>0</v>
      </c>
      <c r="AC5">
        <v>0</v>
      </c>
      <c r="AD5">
        <v>7.63</v>
      </c>
      <c r="AE5">
        <v>0</v>
      </c>
      <c r="AF5">
        <v>0</v>
      </c>
      <c r="AG5">
        <v>0</v>
      </c>
      <c r="AH5">
        <v>7.63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0.44</v>
      </c>
      <c r="AU5" t="s">
        <v>3</v>
      </c>
      <c r="AV5">
        <v>1</v>
      </c>
      <c r="AW5">
        <v>2</v>
      </c>
      <c r="AX5">
        <v>84186850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U5">
        <f>ROUND(AT5*Source!I73*AH5*AL5,2)</f>
        <v>6.71</v>
      </c>
      <c r="CV5">
        <f>ROUND(Y5*Source!I73,9)</f>
        <v>0.88</v>
      </c>
      <c r="CW5">
        <v>0</v>
      </c>
      <c r="CX5">
        <f>ROUND(Y5*Source!I73,9)</f>
        <v>0.88</v>
      </c>
      <c r="CY5">
        <f>AD5</f>
        <v>7.63</v>
      </c>
      <c r="CZ5">
        <f>AH5</f>
        <v>7.63</v>
      </c>
      <c r="DA5">
        <f>AL5</f>
        <v>1</v>
      </c>
      <c r="DB5">
        <f t="shared" si="1"/>
        <v>3.36</v>
      </c>
      <c r="DC5">
        <f t="shared" si="2"/>
        <v>0</v>
      </c>
      <c r="DD5" t="s">
        <v>3</v>
      </c>
      <c r="DE5" t="s">
        <v>3</v>
      </c>
      <c r="DF5">
        <f t="shared" si="3"/>
        <v>0</v>
      </c>
      <c r="DG5">
        <f>ROUND(ROUND(AF5,2)*CX5,2)</f>
        <v>0</v>
      </c>
      <c r="DH5">
        <f>ROUND(ROUND(AG5,2)*CX5,2)</f>
        <v>0</v>
      </c>
      <c r="DI5">
        <f t="shared" si="4"/>
        <v>6.71</v>
      </c>
      <c r="DJ5">
        <f>DI5</f>
        <v>6.71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ROW(Source!A73)</f>
        <v>73</v>
      </c>
      <c r="B6">
        <v>84186534</v>
      </c>
      <c r="C6">
        <v>84186844</v>
      </c>
      <c r="D6">
        <v>121548</v>
      </c>
      <c r="E6">
        <v>1</v>
      </c>
      <c r="F6">
        <v>1</v>
      </c>
      <c r="G6">
        <v>1</v>
      </c>
      <c r="H6">
        <v>1</v>
      </c>
      <c r="I6" t="s">
        <v>95</v>
      </c>
      <c r="J6" t="s">
        <v>3</v>
      </c>
      <c r="K6" t="s">
        <v>389</v>
      </c>
      <c r="L6">
        <v>608254</v>
      </c>
      <c r="N6">
        <v>1013</v>
      </c>
      <c r="O6" t="s">
        <v>390</v>
      </c>
      <c r="P6" t="s">
        <v>390</v>
      </c>
      <c r="Q6">
        <v>1</v>
      </c>
      <c r="W6">
        <v>0</v>
      </c>
      <c r="X6">
        <v>-185737400</v>
      </c>
      <c r="Y6">
        <f t="shared" si="0"/>
        <v>0.48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0.48</v>
      </c>
      <c r="AU6" t="s">
        <v>3</v>
      </c>
      <c r="AV6">
        <v>2</v>
      </c>
      <c r="AW6">
        <v>2</v>
      </c>
      <c r="AX6">
        <v>84186851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ROUND(Y6*Source!I73,9)</f>
        <v>0.96</v>
      </c>
      <c r="CY6">
        <f>AD6</f>
        <v>0</v>
      </c>
      <c r="CZ6">
        <f>AH6</f>
        <v>0</v>
      </c>
      <c r="DA6">
        <f>AL6</f>
        <v>1</v>
      </c>
      <c r="DB6">
        <f t="shared" si="1"/>
        <v>0</v>
      </c>
      <c r="DC6">
        <f t="shared" si="2"/>
        <v>0</v>
      </c>
      <c r="DD6" t="s">
        <v>3</v>
      </c>
      <c r="DE6" t="s">
        <v>3</v>
      </c>
      <c r="DF6">
        <f t="shared" si="3"/>
        <v>0</v>
      </c>
      <c r="DG6">
        <f>ROUND(ROUND(AF6,2)*CX6,2)</f>
        <v>0</v>
      </c>
      <c r="DH6">
        <f>ROUND(ROUND(AG6,2)*CX6,2)</f>
        <v>0</v>
      </c>
      <c r="DI6">
        <f t="shared" si="4"/>
        <v>0</v>
      </c>
      <c r="DJ6">
        <f>DI6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ROW(Source!A73)</f>
        <v>73</v>
      </c>
      <c r="B7">
        <v>84186534</v>
      </c>
      <c r="C7">
        <v>84186844</v>
      </c>
      <c r="D7">
        <v>37802322</v>
      </c>
      <c r="E7">
        <v>1</v>
      </c>
      <c r="F7">
        <v>1</v>
      </c>
      <c r="G7">
        <v>1</v>
      </c>
      <c r="H7">
        <v>2</v>
      </c>
      <c r="I7" t="s">
        <v>400</v>
      </c>
      <c r="J7" t="s">
        <v>401</v>
      </c>
      <c r="K7" t="s">
        <v>402</v>
      </c>
      <c r="L7">
        <v>1368</v>
      </c>
      <c r="N7">
        <v>1011</v>
      </c>
      <c r="O7" t="s">
        <v>394</v>
      </c>
      <c r="P7" t="s">
        <v>394</v>
      </c>
      <c r="Q7">
        <v>1</v>
      </c>
      <c r="W7">
        <v>0</v>
      </c>
      <c r="X7">
        <v>-1747752515</v>
      </c>
      <c r="Y7">
        <f t="shared" si="0"/>
        <v>0.24</v>
      </c>
      <c r="AA7">
        <v>0</v>
      </c>
      <c r="AB7">
        <v>18.309999999999999</v>
      </c>
      <c r="AC7">
        <v>0</v>
      </c>
      <c r="AD7">
        <v>0</v>
      </c>
      <c r="AE7">
        <v>0</v>
      </c>
      <c r="AF7">
        <v>4.3899999999999997</v>
      </c>
      <c r="AG7">
        <v>0</v>
      </c>
      <c r="AH7">
        <v>0</v>
      </c>
      <c r="AI7">
        <v>1</v>
      </c>
      <c r="AJ7">
        <v>4.17</v>
      </c>
      <c r="AK7">
        <v>35.270000000000003</v>
      </c>
      <c r="AL7">
        <v>1</v>
      </c>
      <c r="AM7">
        <v>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0.24</v>
      </c>
      <c r="AU7" t="s">
        <v>3</v>
      </c>
      <c r="AV7">
        <v>0</v>
      </c>
      <c r="AW7">
        <v>2</v>
      </c>
      <c r="AX7">
        <v>84186852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f>ROUND(Y7*Source!I73*DO7,9)</f>
        <v>0</v>
      </c>
      <c r="CX7">
        <f>ROUND(Y7*Source!I73,9)</f>
        <v>0.48</v>
      </c>
      <c r="CY7">
        <f>AB7</f>
        <v>18.309999999999999</v>
      </c>
      <c r="CZ7">
        <f>AF7</f>
        <v>4.3899999999999997</v>
      </c>
      <c r="DA7">
        <f>AJ7</f>
        <v>4.17</v>
      </c>
      <c r="DB7">
        <f t="shared" si="1"/>
        <v>1.05</v>
      </c>
      <c r="DC7">
        <f t="shared" si="2"/>
        <v>0</v>
      </c>
      <c r="DD7" t="s">
        <v>3</v>
      </c>
      <c r="DE7" t="s">
        <v>3</v>
      </c>
      <c r="DF7">
        <f t="shared" si="3"/>
        <v>0</v>
      </c>
      <c r="DG7">
        <f>ROUND(ROUND(AF7*AJ7,2)*CX7,2)</f>
        <v>8.7899999999999991</v>
      </c>
      <c r="DH7">
        <f>ROUND(ROUND(AG7*AK7,2)*CX7,2)</f>
        <v>0</v>
      </c>
      <c r="DI7">
        <f t="shared" si="4"/>
        <v>0</v>
      </c>
      <c r="DJ7">
        <f>DG7</f>
        <v>8.7899999999999991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ROW(Source!A73)</f>
        <v>73</v>
      </c>
      <c r="B8">
        <v>84186534</v>
      </c>
      <c r="C8">
        <v>84186844</v>
      </c>
      <c r="D8">
        <v>37802345</v>
      </c>
      <c r="E8">
        <v>1</v>
      </c>
      <c r="F8">
        <v>1</v>
      </c>
      <c r="G8">
        <v>1</v>
      </c>
      <c r="H8">
        <v>2</v>
      </c>
      <c r="I8" t="s">
        <v>403</v>
      </c>
      <c r="J8" t="s">
        <v>404</v>
      </c>
      <c r="K8" t="s">
        <v>405</v>
      </c>
      <c r="L8">
        <v>1368</v>
      </c>
      <c r="N8">
        <v>1011</v>
      </c>
      <c r="O8" t="s">
        <v>394</v>
      </c>
      <c r="P8" t="s">
        <v>394</v>
      </c>
      <c r="Q8">
        <v>1</v>
      </c>
      <c r="W8">
        <v>0</v>
      </c>
      <c r="X8">
        <v>-1096394961</v>
      </c>
      <c r="Y8">
        <f t="shared" si="0"/>
        <v>0.24</v>
      </c>
      <c r="AA8">
        <v>0</v>
      </c>
      <c r="AB8">
        <v>1014.97</v>
      </c>
      <c r="AC8">
        <v>426.77</v>
      </c>
      <c r="AD8">
        <v>0</v>
      </c>
      <c r="AE8">
        <v>0</v>
      </c>
      <c r="AF8">
        <v>72.239999999999995</v>
      </c>
      <c r="AG8">
        <v>12.1</v>
      </c>
      <c r="AH8">
        <v>0</v>
      </c>
      <c r="AI8">
        <v>1</v>
      </c>
      <c r="AJ8">
        <v>14.05</v>
      </c>
      <c r="AK8">
        <v>35.270000000000003</v>
      </c>
      <c r="AL8">
        <v>1</v>
      </c>
      <c r="AM8">
        <v>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0.24</v>
      </c>
      <c r="AU8" t="s">
        <v>3</v>
      </c>
      <c r="AV8">
        <v>0</v>
      </c>
      <c r="AW8">
        <v>2</v>
      </c>
      <c r="AX8">
        <v>84186853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f>ROUND(Y8*Source!I73*DO8,9)</f>
        <v>0</v>
      </c>
      <c r="CX8">
        <f>ROUND(Y8*Source!I73,9)</f>
        <v>0.48</v>
      </c>
      <c r="CY8">
        <f>AB8</f>
        <v>1014.97</v>
      </c>
      <c r="CZ8">
        <f>AF8</f>
        <v>72.239999999999995</v>
      </c>
      <c r="DA8">
        <f>AJ8</f>
        <v>14.05</v>
      </c>
      <c r="DB8">
        <f t="shared" si="1"/>
        <v>17.34</v>
      </c>
      <c r="DC8">
        <f t="shared" si="2"/>
        <v>2.9</v>
      </c>
      <c r="DD8" t="s">
        <v>3</v>
      </c>
      <c r="DE8" t="s">
        <v>3</v>
      </c>
      <c r="DF8">
        <f t="shared" si="3"/>
        <v>0</v>
      </c>
      <c r="DG8">
        <f>ROUND(ROUND(AF8*AJ8,2)*CX8,2)</f>
        <v>487.19</v>
      </c>
      <c r="DH8">
        <f>ROUND(ROUND(AG8*AK8,2)*CX8,2)</f>
        <v>204.85</v>
      </c>
      <c r="DI8">
        <f t="shared" si="4"/>
        <v>0</v>
      </c>
      <c r="DJ8">
        <f>DG8</f>
        <v>487.19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ROW(Source!A73)</f>
        <v>73</v>
      </c>
      <c r="B9">
        <v>84186534</v>
      </c>
      <c r="C9">
        <v>84186844</v>
      </c>
      <c r="D9">
        <v>37802443</v>
      </c>
      <c r="E9">
        <v>1</v>
      </c>
      <c r="F9">
        <v>1</v>
      </c>
      <c r="G9">
        <v>1</v>
      </c>
      <c r="H9">
        <v>2</v>
      </c>
      <c r="I9" t="s">
        <v>406</v>
      </c>
      <c r="J9" t="s">
        <v>407</v>
      </c>
      <c r="K9" t="s">
        <v>408</v>
      </c>
      <c r="L9">
        <v>1368</v>
      </c>
      <c r="N9">
        <v>1011</v>
      </c>
      <c r="O9" t="s">
        <v>394</v>
      </c>
      <c r="P9" t="s">
        <v>394</v>
      </c>
      <c r="Q9">
        <v>1</v>
      </c>
      <c r="W9">
        <v>0</v>
      </c>
      <c r="X9">
        <v>1447433125</v>
      </c>
      <c r="Y9">
        <f t="shared" si="0"/>
        <v>0.24</v>
      </c>
      <c r="AA9">
        <v>0</v>
      </c>
      <c r="AB9">
        <v>1453.68</v>
      </c>
      <c r="AC9">
        <v>426.77</v>
      </c>
      <c r="AD9">
        <v>0</v>
      </c>
      <c r="AE9">
        <v>0</v>
      </c>
      <c r="AF9">
        <v>124.14</v>
      </c>
      <c r="AG9">
        <v>12.1</v>
      </c>
      <c r="AH9">
        <v>0</v>
      </c>
      <c r="AI9">
        <v>1</v>
      </c>
      <c r="AJ9">
        <v>11.71</v>
      </c>
      <c r="AK9">
        <v>35.270000000000003</v>
      </c>
      <c r="AL9">
        <v>1</v>
      </c>
      <c r="AM9">
        <v>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0.24</v>
      </c>
      <c r="AU9" t="s">
        <v>3</v>
      </c>
      <c r="AV9">
        <v>0</v>
      </c>
      <c r="AW9">
        <v>2</v>
      </c>
      <c r="AX9">
        <v>84186854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f>ROUND(Y9*Source!I73*DO9,9)</f>
        <v>0</v>
      </c>
      <c r="CX9">
        <f>ROUND(Y9*Source!I73,9)</f>
        <v>0.48</v>
      </c>
      <c r="CY9">
        <f>AB9</f>
        <v>1453.68</v>
      </c>
      <c r="CZ9">
        <f>AF9</f>
        <v>124.14</v>
      </c>
      <c r="DA9">
        <f>AJ9</f>
        <v>11.71</v>
      </c>
      <c r="DB9">
        <f t="shared" si="1"/>
        <v>29.79</v>
      </c>
      <c r="DC9">
        <f t="shared" si="2"/>
        <v>2.9</v>
      </c>
      <c r="DD9" t="s">
        <v>3</v>
      </c>
      <c r="DE9" t="s">
        <v>3</v>
      </c>
      <c r="DF9">
        <f t="shared" si="3"/>
        <v>0</v>
      </c>
      <c r="DG9">
        <f>ROUND(ROUND(AF9*AJ9,2)*CX9,2)</f>
        <v>697.77</v>
      </c>
      <c r="DH9">
        <f>ROUND(ROUND(AG9*AK9,2)*CX9,2)</f>
        <v>204.85</v>
      </c>
      <c r="DI9">
        <f t="shared" si="4"/>
        <v>0</v>
      </c>
      <c r="DJ9">
        <f>DG9</f>
        <v>697.77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ROW(Source!A74)</f>
        <v>74</v>
      </c>
      <c r="B10">
        <v>84186534</v>
      </c>
      <c r="C10">
        <v>84186855</v>
      </c>
      <c r="D10">
        <v>23351395</v>
      </c>
      <c r="E10">
        <v>1</v>
      </c>
      <c r="F10">
        <v>1</v>
      </c>
      <c r="G10">
        <v>1</v>
      </c>
      <c r="H10">
        <v>1</v>
      </c>
      <c r="I10" t="s">
        <v>409</v>
      </c>
      <c r="J10" t="s">
        <v>3</v>
      </c>
      <c r="K10" t="s">
        <v>410</v>
      </c>
      <c r="L10">
        <v>1369</v>
      </c>
      <c r="N10">
        <v>1013</v>
      </c>
      <c r="O10" t="s">
        <v>388</v>
      </c>
      <c r="P10" t="s">
        <v>388</v>
      </c>
      <c r="Q10">
        <v>1</v>
      </c>
      <c r="W10">
        <v>0</v>
      </c>
      <c r="X10">
        <v>1072260845</v>
      </c>
      <c r="Y10">
        <f t="shared" si="0"/>
        <v>62.2</v>
      </c>
      <c r="AA10">
        <v>0</v>
      </c>
      <c r="AB10">
        <v>0</v>
      </c>
      <c r="AC10">
        <v>0</v>
      </c>
      <c r="AD10">
        <v>8.99</v>
      </c>
      <c r="AE10">
        <v>0</v>
      </c>
      <c r="AF10">
        <v>0</v>
      </c>
      <c r="AG10">
        <v>0</v>
      </c>
      <c r="AH10">
        <v>8.99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62.2</v>
      </c>
      <c r="AU10" t="s">
        <v>3</v>
      </c>
      <c r="AV10">
        <v>1</v>
      </c>
      <c r="AW10">
        <v>2</v>
      </c>
      <c r="AX10">
        <v>84186868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U10">
        <f>ROUND(AT10*Source!I74*AH10*AL10,2)</f>
        <v>15.91</v>
      </c>
      <c r="CV10">
        <f>ROUND(Y10*Source!I74,9)</f>
        <v>1.7702119999999999</v>
      </c>
      <c r="CW10">
        <v>0</v>
      </c>
      <c r="CX10">
        <f>ROUND(Y10*Source!I74,9)</f>
        <v>1.7702119999999999</v>
      </c>
      <c r="CY10">
        <f>AD10</f>
        <v>8.99</v>
      </c>
      <c r="CZ10">
        <f>AH10</f>
        <v>8.99</v>
      </c>
      <c r="DA10">
        <f>AL10</f>
        <v>1</v>
      </c>
      <c r="DB10">
        <f t="shared" si="1"/>
        <v>559.17999999999995</v>
      </c>
      <c r="DC10">
        <f t="shared" si="2"/>
        <v>0</v>
      </c>
      <c r="DD10" t="s">
        <v>3</v>
      </c>
      <c r="DE10" t="s">
        <v>3</v>
      </c>
      <c r="DF10">
        <f t="shared" si="3"/>
        <v>0</v>
      </c>
      <c r="DG10">
        <f>ROUND(ROUND(AF10,2)*CX10,2)</f>
        <v>0</v>
      </c>
      <c r="DH10">
        <f>ROUND(ROUND(AG10,2)*CX10,2)</f>
        <v>0</v>
      </c>
      <c r="DI10">
        <f t="shared" si="4"/>
        <v>15.91</v>
      </c>
      <c r="DJ10">
        <f>DI10</f>
        <v>15.91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ROW(Source!A74)</f>
        <v>74</v>
      </c>
      <c r="B11">
        <v>84186534</v>
      </c>
      <c r="C11">
        <v>84186855</v>
      </c>
      <c r="D11">
        <v>121548</v>
      </c>
      <c r="E11">
        <v>1</v>
      </c>
      <c r="F11">
        <v>1</v>
      </c>
      <c r="G11">
        <v>1</v>
      </c>
      <c r="H11">
        <v>1</v>
      </c>
      <c r="I11" t="s">
        <v>95</v>
      </c>
      <c r="J11" t="s">
        <v>3</v>
      </c>
      <c r="K11" t="s">
        <v>389</v>
      </c>
      <c r="L11">
        <v>608254</v>
      </c>
      <c r="N11">
        <v>1013</v>
      </c>
      <c r="O11" t="s">
        <v>390</v>
      </c>
      <c r="P11" t="s">
        <v>390</v>
      </c>
      <c r="Q11">
        <v>1</v>
      </c>
      <c r="W11">
        <v>0</v>
      </c>
      <c r="X11">
        <v>-185737400</v>
      </c>
      <c r="Y11">
        <f t="shared" si="0"/>
        <v>1.74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1.74</v>
      </c>
      <c r="AU11" t="s">
        <v>3</v>
      </c>
      <c r="AV11">
        <v>2</v>
      </c>
      <c r="AW11">
        <v>2</v>
      </c>
      <c r="AX11">
        <v>84186869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ROUND(Y11*Source!I74,9)</f>
        <v>4.9520399999999999E-2</v>
      </c>
      <c r="CY11">
        <f>AD11</f>
        <v>0</v>
      </c>
      <c r="CZ11">
        <f>AH11</f>
        <v>0</v>
      </c>
      <c r="DA11">
        <f>AL11</f>
        <v>1</v>
      </c>
      <c r="DB11">
        <f t="shared" si="1"/>
        <v>0</v>
      </c>
      <c r="DC11">
        <f t="shared" si="2"/>
        <v>0</v>
      </c>
      <c r="DD11" t="s">
        <v>3</v>
      </c>
      <c r="DE11" t="s">
        <v>3</v>
      </c>
      <c r="DF11">
        <f t="shared" si="3"/>
        <v>0</v>
      </c>
      <c r="DG11">
        <f>ROUND(ROUND(AF11,2)*CX11,2)</f>
        <v>0</v>
      </c>
      <c r="DH11">
        <f>ROUND(ROUND(AG11,2)*CX11,2)</f>
        <v>0</v>
      </c>
      <c r="DI11">
        <f t="shared" si="4"/>
        <v>0</v>
      </c>
      <c r="DJ11">
        <f>DI11</f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ROW(Source!A74)</f>
        <v>74</v>
      </c>
      <c r="B12">
        <v>84186534</v>
      </c>
      <c r="C12">
        <v>84186855</v>
      </c>
      <c r="D12">
        <v>37802432</v>
      </c>
      <c r="E12">
        <v>1</v>
      </c>
      <c r="F12">
        <v>1</v>
      </c>
      <c r="G12">
        <v>1</v>
      </c>
      <c r="H12">
        <v>2</v>
      </c>
      <c r="I12" t="s">
        <v>411</v>
      </c>
      <c r="J12" t="s">
        <v>412</v>
      </c>
      <c r="K12" t="s">
        <v>413</v>
      </c>
      <c r="L12">
        <v>1368</v>
      </c>
      <c r="N12">
        <v>1011</v>
      </c>
      <c r="O12" t="s">
        <v>394</v>
      </c>
      <c r="P12" t="s">
        <v>394</v>
      </c>
      <c r="Q12">
        <v>1</v>
      </c>
      <c r="W12">
        <v>0</v>
      </c>
      <c r="X12">
        <v>-1424728221</v>
      </c>
      <c r="Y12">
        <f t="shared" si="0"/>
        <v>1.74</v>
      </c>
      <c r="AA12">
        <v>0</v>
      </c>
      <c r="AB12">
        <v>1471.29</v>
      </c>
      <c r="AC12">
        <v>426.77</v>
      </c>
      <c r="AD12">
        <v>0</v>
      </c>
      <c r="AE12">
        <v>0</v>
      </c>
      <c r="AF12">
        <v>138.54</v>
      </c>
      <c r="AG12">
        <v>12.1</v>
      </c>
      <c r="AH12">
        <v>0</v>
      </c>
      <c r="AI12">
        <v>1</v>
      </c>
      <c r="AJ12">
        <v>10.62</v>
      </c>
      <c r="AK12">
        <v>35.270000000000003</v>
      </c>
      <c r="AL12">
        <v>1</v>
      </c>
      <c r="AM12">
        <v>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1.74</v>
      </c>
      <c r="AU12" t="s">
        <v>3</v>
      </c>
      <c r="AV12">
        <v>0</v>
      </c>
      <c r="AW12">
        <v>2</v>
      </c>
      <c r="AX12">
        <v>84186870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f>ROUND(Y12*Source!I74*DO12,9)</f>
        <v>0</v>
      </c>
      <c r="CX12">
        <f>ROUND(Y12*Source!I74,9)</f>
        <v>4.9520399999999999E-2</v>
      </c>
      <c r="CY12">
        <f>AB12</f>
        <v>1471.29</v>
      </c>
      <c r="CZ12">
        <f>AF12</f>
        <v>138.54</v>
      </c>
      <c r="DA12">
        <f>AJ12</f>
        <v>10.62</v>
      </c>
      <c r="DB12">
        <f t="shared" si="1"/>
        <v>241.06</v>
      </c>
      <c r="DC12">
        <f t="shared" si="2"/>
        <v>21.05</v>
      </c>
      <c r="DD12" t="s">
        <v>3</v>
      </c>
      <c r="DE12" t="s">
        <v>3</v>
      </c>
      <c r="DF12">
        <f t="shared" si="3"/>
        <v>0</v>
      </c>
      <c r="DG12">
        <f>ROUND(ROUND(AF12*AJ12,2)*CX12,2)</f>
        <v>72.86</v>
      </c>
      <c r="DH12">
        <f>ROUND(ROUND(AG12*AK12,2)*CX12,2)</f>
        <v>21.13</v>
      </c>
      <c r="DI12">
        <f t="shared" si="4"/>
        <v>0</v>
      </c>
      <c r="DJ12">
        <f>DG12</f>
        <v>72.86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ROW(Source!A74)</f>
        <v>74</v>
      </c>
      <c r="B13">
        <v>84186534</v>
      </c>
      <c r="C13">
        <v>84186855</v>
      </c>
      <c r="D13">
        <v>37802657</v>
      </c>
      <c r="E13">
        <v>1</v>
      </c>
      <c r="F13">
        <v>1</v>
      </c>
      <c r="G13">
        <v>1</v>
      </c>
      <c r="H13">
        <v>2</v>
      </c>
      <c r="I13" t="s">
        <v>414</v>
      </c>
      <c r="J13" t="s">
        <v>415</v>
      </c>
      <c r="K13" t="s">
        <v>416</v>
      </c>
      <c r="L13">
        <v>1368</v>
      </c>
      <c r="N13">
        <v>1011</v>
      </c>
      <c r="O13" t="s">
        <v>394</v>
      </c>
      <c r="P13" t="s">
        <v>394</v>
      </c>
      <c r="Q13">
        <v>1</v>
      </c>
      <c r="W13">
        <v>0</v>
      </c>
      <c r="X13">
        <v>1084334125</v>
      </c>
      <c r="Y13">
        <f t="shared" si="0"/>
        <v>15.1</v>
      </c>
      <c r="AA13">
        <v>0</v>
      </c>
      <c r="AB13">
        <v>51.94</v>
      </c>
      <c r="AC13">
        <v>0</v>
      </c>
      <c r="AD13">
        <v>0</v>
      </c>
      <c r="AE13">
        <v>0</v>
      </c>
      <c r="AF13">
        <v>7.55</v>
      </c>
      <c r="AG13">
        <v>0</v>
      </c>
      <c r="AH13">
        <v>0</v>
      </c>
      <c r="AI13">
        <v>1</v>
      </c>
      <c r="AJ13">
        <v>6.88</v>
      </c>
      <c r="AK13">
        <v>35.270000000000003</v>
      </c>
      <c r="AL13">
        <v>1</v>
      </c>
      <c r="AM13">
        <v>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15.1</v>
      </c>
      <c r="AU13" t="s">
        <v>3</v>
      </c>
      <c r="AV13">
        <v>0</v>
      </c>
      <c r="AW13">
        <v>2</v>
      </c>
      <c r="AX13">
        <v>84186871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f>ROUND(Y13*Source!I74*DO13,9)</f>
        <v>0</v>
      </c>
      <c r="CX13">
        <f>ROUND(Y13*Source!I74,9)</f>
        <v>0.42974600000000002</v>
      </c>
      <c r="CY13">
        <f>AB13</f>
        <v>51.94</v>
      </c>
      <c r="CZ13">
        <f>AF13</f>
        <v>7.55</v>
      </c>
      <c r="DA13">
        <f>AJ13</f>
        <v>6.88</v>
      </c>
      <c r="DB13">
        <f t="shared" si="1"/>
        <v>114.01</v>
      </c>
      <c r="DC13">
        <f t="shared" si="2"/>
        <v>0</v>
      </c>
      <c r="DD13" t="s">
        <v>3</v>
      </c>
      <c r="DE13" t="s">
        <v>3</v>
      </c>
      <c r="DF13">
        <f t="shared" si="3"/>
        <v>0</v>
      </c>
      <c r="DG13">
        <f>ROUND(ROUND(AF13*AJ13,2)*CX13,2)</f>
        <v>22.32</v>
      </c>
      <c r="DH13">
        <f>ROUND(ROUND(AG13*AK13,2)*CX13,2)</f>
        <v>0</v>
      </c>
      <c r="DI13">
        <f t="shared" si="4"/>
        <v>0</v>
      </c>
      <c r="DJ13">
        <f>DG13</f>
        <v>22.32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ROW(Source!A74)</f>
        <v>74</v>
      </c>
      <c r="B14">
        <v>84186534</v>
      </c>
      <c r="C14">
        <v>84186855</v>
      </c>
      <c r="D14">
        <v>37804456</v>
      </c>
      <c r="E14">
        <v>1</v>
      </c>
      <c r="F14">
        <v>1</v>
      </c>
      <c r="G14">
        <v>1</v>
      </c>
      <c r="H14">
        <v>2</v>
      </c>
      <c r="I14" t="s">
        <v>395</v>
      </c>
      <c r="J14" t="s">
        <v>396</v>
      </c>
      <c r="K14" t="s">
        <v>397</v>
      </c>
      <c r="L14">
        <v>1368</v>
      </c>
      <c r="N14">
        <v>1011</v>
      </c>
      <c r="O14" t="s">
        <v>394</v>
      </c>
      <c r="P14" t="s">
        <v>394</v>
      </c>
      <c r="Q14">
        <v>1</v>
      </c>
      <c r="W14">
        <v>0</v>
      </c>
      <c r="X14">
        <v>-671646184</v>
      </c>
      <c r="Y14">
        <f t="shared" si="0"/>
        <v>1.74</v>
      </c>
      <c r="AA14">
        <v>0</v>
      </c>
      <c r="AB14">
        <v>1305.74</v>
      </c>
      <c r="AC14">
        <v>365.04</v>
      </c>
      <c r="AD14">
        <v>0</v>
      </c>
      <c r="AE14">
        <v>0</v>
      </c>
      <c r="AF14">
        <v>91.76</v>
      </c>
      <c r="AG14">
        <v>10.35</v>
      </c>
      <c r="AH14">
        <v>0</v>
      </c>
      <c r="AI14">
        <v>1</v>
      </c>
      <c r="AJ14">
        <v>14.23</v>
      </c>
      <c r="AK14">
        <v>35.270000000000003</v>
      </c>
      <c r="AL14">
        <v>1</v>
      </c>
      <c r="AM14">
        <v>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1.74</v>
      </c>
      <c r="AU14" t="s">
        <v>3</v>
      </c>
      <c r="AV14">
        <v>0</v>
      </c>
      <c r="AW14">
        <v>2</v>
      </c>
      <c r="AX14">
        <v>84186872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f>ROUND(Y14*Source!I74*DO14,9)</f>
        <v>0</v>
      </c>
      <c r="CX14">
        <f>ROUND(Y14*Source!I74,9)</f>
        <v>4.9520399999999999E-2</v>
      </c>
      <c r="CY14">
        <f>AB14</f>
        <v>1305.74</v>
      </c>
      <c r="CZ14">
        <f>AF14</f>
        <v>91.76</v>
      </c>
      <c r="DA14">
        <f>AJ14</f>
        <v>14.23</v>
      </c>
      <c r="DB14">
        <f t="shared" si="1"/>
        <v>159.66</v>
      </c>
      <c r="DC14">
        <f t="shared" si="2"/>
        <v>18.010000000000002</v>
      </c>
      <c r="DD14" t="s">
        <v>3</v>
      </c>
      <c r="DE14" t="s">
        <v>3</v>
      </c>
      <c r="DF14">
        <f t="shared" si="3"/>
        <v>0</v>
      </c>
      <c r="DG14">
        <f>ROUND(ROUND(AF14*AJ14,2)*CX14,2)</f>
        <v>64.66</v>
      </c>
      <c r="DH14">
        <f>ROUND(ROUND(AG14*AK14,2)*CX14,2)</f>
        <v>18.079999999999998</v>
      </c>
      <c r="DI14">
        <f t="shared" si="4"/>
        <v>0</v>
      </c>
      <c r="DJ14">
        <f>DG14</f>
        <v>64.66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ROW(Source!A74)</f>
        <v>74</v>
      </c>
      <c r="B15">
        <v>84186534</v>
      </c>
      <c r="C15">
        <v>84186855</v>
      </c>
      <c r="D15">
        <v>37731377</v>
      </c>
      <c r="E15">
        <v>1</v>
      </c>
      <c r="F15">
        <v>1</v>
      </c>
      <c r="G15">
        <v>1</v>
      </c>
      <c r="H15">
        <v>3</v>
      </c>
      <c r="I15" t="s">
        <v>417</v>
      </c>
      <c r="J15" t="s">
        <v>418</v>
      </c>
      <c r="K15" t="s">
        <v>419</v>
      </c>
      <c r="L15">
        <v>1348</v>
      </c>
      <c r="N15">
        <v>1009</v>
      </c>
      <c r="O15" t="s">
        <v>117</v>
      </c>
      <c r="P15" t="s">
        <v>117</v>
      </c>
      <c r="Q15">
        <v>1000</v>
      </c>
      <c r="W15">
        <v>0</v>
      </c>
      <c r="X15">
        <v>994982934</v>
      </c>
      <c r="Y15">
        <f t="shared" si="0"/>
        <v>0.18</v>
      </c>
      <c r="AA15">
        <v>10045.32</v>
      </c>
      <c r="AB15">
        <v>0</v>
      </c>
      <c r="AC15">
        <v>0</v>
      </c>
      <c r="AD15">
        <v>0</v>
      </c>
      <c r="AE15">
        <v>582</v>
      </c>
      <c r="AF15">
        <v>0</v>
      </c>
      <c r="AG15">
        <v>0</v>
      </c>
      <c r="AH15">
        <v>0</v>
      </c>
      <c r="AI15">
        <v>17.260000000000002</v>
      </c>
      <c r="AJ15">
        <v>1</v>
      </c>
      <c r="AK15">
        <v>1</v>
      </c>
      <c r="AL15">
        <v>1</v>
      </c>
      <c r="AM15">
        <v>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0.18</v>
      </c>
      <c r="AU15" t="s">
        <v>3</v>
      </c>
      <c r="AV15">
        <v>0</v>
      </c>
      <c r="AW15">
        <v>2</v>
      </c>
      <c r="AX15">
        <v>84186873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ROUND(Y15*Source!I74,9)</f>
        <v>5.1228000000000003E-3</v>
      </c>
      <c r="CY15">
        <f t="shared" ref="CY15:CY21" si="5">AA15</f>
        <v>10045.32</v>
      </c>
      <c r="CZ15">
        <f t="shared" ref="CZ15:CZ21" si="6">AE15</f>
        <v>582</v>
      </c>
      <c r="DA15">
        <f t="shared" ref="DA15:DA21" si="7">AI15</f>
        <v>17.260000000000002</v>
      </c>
      <c r="DB15">
        <f t="shared" si="1"/>
        <v>104.76</v>
      </c>
      <c r="DC15">
        <f t="shared" si="2"/>
        <v>0</v>
      </c>
      <c r="DD15" t="s">
        <v>3</v>
      </c>
      <c r="DE15" t="s">
        <v>3</v>
      </c>
      <c r="DF15">
        <f t="shared" ref="DF15:DF20" si="8">ROUND(ROUND(AE15*AI15,2)*CX15,2)</f>
        <v>51.46</v>
      </c>
      <c r="DG15">
        <f t="shared" ref="DG15:DG23" si="9">ROUND(ROUND(AF15,2)*CX15,2)</f>
        <v>0</v>
      </c>
      <c r="DH15">
        <f t="shared" ref="DH15:DH23" si="10">ROUND(ROUND(AG15,2)*CX15,2)</f>
        <v>0</v>
      </c>
      <c r="DI15">
        <f t="shared" si="4"/>
        <v>0</v>
      </c>
      <c r="DJ15">
        <f t="shared" ref="DJ15:DJ21" si="11">DF15</f>
        <v>51.46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ROW(Source!A74)</f>
        <v>74</v>
      </c>
      <c r="B16">
        <v>84186534</v>
      </c>
      <c r="C16">
        <v>84186855</v>
      </c>
      <c r="D16">
        <v>37737041</v>
      </c>
      <c r="E16">
        <v>1</v>
      </c>
      <c r="F16">
        <v>1</v>
      </c>
      <c r="G16">
        <v>1</v>
      </c>
      <c r="H16">
        <v>3</v>
      </c>
      <c r="I16" t="s">
        <v>420</v>
      </c>
      <c r="J16" t="s">
        <v>421</v>
      </c>
      <c r="K16" t="s">
        <v>422</v>
      </c>
      <c r="L16">
        <v>1355</v>
      </c>
      <c r="N16">
        <v>1010</v>
      </c>
      <c r="O16" t="s">
        <v>423</v>
      </c>
      <c r="P16" t="s">
        <v>423</v>
      </c>
      <c r="Q16">
        <v>100</v>
      </c>
      <c r="W16">
        <v>0</v>
      </c>
      <c r="X16">
        <v>-1585051097</v>
      </c>
      <c r="Y16">
        <f t="shared" si="0"/>
        <v>0.8</v>
      </c>
      <c r="AA16">
        <v>464.46</v>
      </c>
      <c r="AB16">
        <v>0</v>
      </c>
      <c r="AC16">
        <v>0</v>
      </c>
      <c r="AD16">
        <v>0</v>
      </c>
      <c r="AE16">
        <v>111.65</v>
      </c>
      <c r="AF16">
        <v>0</v>
      </c>
      <c r="AG16">
        <v>0</v>
      </c>
      <c r="AH16">
        <v>0</v>
      </c>
      <c r="AI16">
        <v>4.16</v>
      </c>
      <c r="AJ16">
        <v>1</v>
      </c>
      <c r="AK16">
        <v>1</v>
      </c>
      <c r="AL16">
        <v>1</v>
      </c>
      <c r="AM16">
        <v>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0.8</v>
      </c>
      <c r="AU16" t="s">
        <v>3</v>
      </c>
      <c r="AV16">
        <v>0</v>
      </c>
      <c r="AW16">
        <v>2</v>
      </c>
      <c r="AX16">
        <v>84186874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ROUND(Y16*Source!I74,9)</f>
        <v>2.2768E-2</v>
      </c>
      <c r="CY16">
        <f t="shared" si="5"/>
        <v>464.46</v>
      </c>
      <c r="CZ16">
        <f t="shared" si="6"/>
        <v>111.65</v>
      </c>
      <c r="DA16">
        <f t="shared" si="7"/>
        <v>4.16</v>
      </c>
      <c r="DB16">
        <f t="shared" si="1"/>
        <v>89.32</v>
      </c>
      <c r="DC16">
        <f t="shared" si="2"/>
        <v>0</v>
      </c>
      <c r="DD16" t="s">
        <v>3</v>
      </c>
      <c r="DE16" t="s">
        <v>3</v>
      </c>
      <c r="DF16">
        <f t="shared" si="8"/>
        <v>10.57</v>
      </c>
      <c r="DG16">
        <f t="shared" si="9"/>
        <v>0</v>
      </c>
      <c r="DH16">
        <f t="shared" si="10"/>
        <v>0</v>
      </c>
      <c r="DI16">
        <f t="shared" si="4"/>
        <v>0</v>
      </c>
      <c r="DJ16">
        <f t="shared" si="11"/>
        <v>10.57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ROW(Source!A74)</f>
        <v>74</v>
      </c>
      <c r="B17">
        <v>84186534</v>
      </c>
      <c r="C17">
        <v>84186855</v>
      </c>
      <c r="D17">
        <v>37736610</v>
      </c>
      <c r="E17">
        <v>1</v>
      </c>
      <c r="F17">
        <v>1</v>
      </c>
      <c r="G17">
        <v>1</v>
      </c>
      <c r="H17">
        <v>3</v>
      </c>
      <c r="I17" t="s">
        <v>424</v>
      </c>
      <c r="J17" t="s">
        <v>425</v>
      </c>
      <c r="K17" t="s">
        <v>426</v>
      </c>
      <c r="L17">
        <v>1346</v>
      </c>
      <c r="N17">
        <v>1009</v>
      </c>
      <c r="O17" t="s">
        <v>139</v>
      </c>
      <c r="P17" t="s">
        <v>139</v>
      </c>
      <c r="Q17">
        <v>1</v>
      </c>
      <c r="W17">
        <v>0</v>
      </c>
      <c r="X17">
        <v>-347328291</v>
      </c>
      <c r="Y17">
        <f t="shared" si="0"/>
        <v>4.2</v>
      </c>
      <c r="AA17">
        <v>121.82</v>
      </c>
      <c r="AB17">
        <v>0</v>
      </c>
      <c r="AC17">
        <v>0</v>
      </c>
      <c r="AD17">
        <v>0</v>
      </c>
      <c r="AE17">
        <v>12.65</v>
      </c>
      <c r="AF17">
        <v>0</v>
      </c>
      <c r="AG17">
        <v>0</v>
      </c>
      <c r="AH17">
        <v>0</v>
      </c>
      <c r="AI17">
        <v>9.6300000000000008</v>
      </c>
      <c r="AJ17">
        <v>1</v>
      </c>
      <c r="AK17">
        <v>1</v>
      </c>
      <c r="AL17">
        <v>1</v>
      </c>
      <c r="AM17">
        <v>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4.2</v>
      </c>
      <c r="AU17" t="s">
        <v>3</v>
      </c>
      <c r="AV17">
        <v>0</v>
      </c>
      <c r="AW17">
        <v>2</v>
      </c>
      <c r="AX17">
        <v>84186875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ROUND(Y17*Source!I74,9)</f>
        <v>0.119532</v>
      </c>
      <c r="CY17">
        <f t="shared" si="5"/>
        <v>121.82</v>
      </c>
      <c r="CZ17">
        <f t="shared" si="6"/>
        <v>12.65</v>
      </c>
      <c r="DA17">
        <f t="shared" si="7"/>
        <v>9.6300000000000008</v>
      </c>
      <c r="DB17">
        <f t="shared" si="1"/>
        <v>53.13</v>
      </c>
      <c r="DC17">
        <f t="shared" si="2"/>
        <v>0</v>
      </c>
      <c r="DD17" t="s">
        <v>3</v>
      </c>
      <c r="DE17" t="s">
        <v>3</v>
      </c>
      <c r="DF17">
        <f t="shared" si="8"/>
        <v>14.56</v>
      </c>
      <c r="DG17">
        <f t="shared" si="9"/>
        <v>0</v>
      </c>
      <c r="DH17">
        <f t="shared" si="10"/>
        <v>0</v>
      </c>
      <c r="DI17">
        <f t="shared" si="4"/>
        <v>0</v>
      </c>
      <c r="DJ17">
        <f t="shared" si="11"/>
        <v>14.56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ROW(Source!A74)</f>
        <v>74</v>
      </c>
      <c r="B18">
        <v>84186534</v>
      </c>
      <c r="C18">
        <v>84186855</v>
      </c>
      <c r="D18">
        <v>37736858</v>
      </c>
      <c r="E18">
        <v>1</v>
      </c>
      <c r="F18">
        <v>1</v>
      </c>
      <c r="G18">
        <v>1</v>
      </c>
      <c r="H18">
        <v>3</v>
      </c>
      <c r="I18" t="s">
        <v>427</v>
      </c>
      <c r="J18" t="s">
        <v>428</v>
      </c>
      <c r="K18" t="s">
        <v>116</v>
      </c>
      <c r="L18">
        <v>1346</v>
      </c>
      <c r="N18">
        <v>1009</v>
      </c>
      <c r="O18" t="s">
        <v>139</v>
      </c>
      <c r="P18" t="s">
        <v>139</v>
      </c>
      <c r="Q18">
        <v>1</v>
      </c>
      <c r="W18">
        <v>0</v>
      </c>
      <c r="X18">
        <v>-1815671160</v>
      </c>
      <c r="Y18">
        <f t="shared" si="0"/>
        <v>27</v>
      </c>
      <c r="AA18">
        <v>288.5</v>
      </c>
      <c r="AB18">
        <v>0</v>
      </c>
      <c r="AC18">
        <v>0</v>
      </c>
      <c r="AD18">
        <v>0</v>
      </c>
      <c r="AE18">
        <v>9.49</v>
      </c>
      <c r="AF18">
        <v>0</v>
      </c>
      <c r="AG18">
        <v>0</v>
      </c>
      <c r="AH18">
        <v>0</v>
      </c>
      <c r="AI18">
        <v>30.4</v>
      </c>
      <c r="AJ18">
        <v>1</v>
      </c>
      <c r="AK18">
        <v>1</v>
      </c>
      <c r="AL18">
        <v>1</v>
      </c>
      <c r="AM18">
        <v>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27</v>
      </c>
      <c r="AU18" t="s">
        <v>3</v>
      </c>
      <c r="AV18">
        <v>0</v>
      </c>
      <c r="AW18">
        <v>2</v>
      </c>
      <c r="AX18">
        <v>84186876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ROUND(Y18*Source!I74,9)</f>
        <v>0.76841999999999999</v>
      </c>
      <c r="CY18">
        <f t="shared" si="5"/>
        <v>288.5</v>
      </c>
      <c r="CZ18">
        <f t="shared" si="6"/>
        <v>9.49</v>
      </c>
      <c r="DA18">
        <f t="shared" si="7"/>
        <v>30.4</v>
      </c>
      <c r="DB18">
        <f t="shared" si="1"/>
        <v>256.23</v>
      </c>
      <c r="DC18">
        <f t="shared" si="2"/>
        <v>0</v>
      </c>
      <c r="DD18" t="s">
        <v>3</v>
      </c>
      <c r="DE18" t="s">
        <v>3</v>
      </c>
      <c r="DF18">
        <f t="shared" si="8"/>
        <v>221.69</v>
      </c>
      <c r="DG18">
        <f t="shared" si="9"/>
        <v>0</v>
      </c>
      <c r="DH18">
        <f t="shared" si="10"/>
        <v>0</v>
      </c>
      <c r="DI18">
        <f t="shared" si="4"/>
        <v>0</v>
      </c>
      <c r="DJ18">
        <f t="shared" si="11"/>
        <v>221.69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ROW(Source!A74)</f>
        <v>74</v>
      </c>
      <c r="B19">
        <v>84186534</v>
      </c>
      <c r="C19">
        <v>84186855</v>
      </c>
      <c r="D19">
        <v>37751465</v>
      </c>
      <c r="E19">
        <v>1</v>
      </c>
      <c r="F19">
        <v>1</v>
      </c>
      <c r="G19">
        <v>1</v>
      </c>
      <c r="H19">
        <v>3</v>
      </c>
      <c r="I19" t="s">
        <v>429</v>
      </c>
      <c r="J19" t="s">
        <v>430</v>
      </c>
      <c r="K19" t="s">
        <v>431</v>
      </c>
      <c r="L19">
        <v>1348</v>
      </c>
      <c r="N19">
        <v>1009</v>
      </c>
      <c r="O19" t="s">
        <v>117</v>
      </c>
      <c r="P19" t="s">
        <v>117</v>
      </c>
      <c r="Q19">
        <v>1000</v>
      </c>
      <c r="W19">
        <v>0</v>
      </c>
      <c r="X19">
        <v>-1120195284</v>
      </c>
      <c r="Y19">
        <f t="shared" si="0"/>
        <v>1</v>
      </c>
      <c r="AA19">
        <v>125245.82</v>
      </c>
      <c r="AB19">
        <v>0</v>
      </c>
      <c r="AC19">
        <v>0</v>
      </c>
      <c r="AD19">
        <v>0</v>
      </c>
      <c r="AE19">
        <v>11672.49</v>
      </c>
      <c r="AF19">
        <v>0</v>
      </c>
      <c r="AG19">
        <v>0</v>
      </c>
      <c r="AH19">
        <v>0</v>
      </c>
      <c r="AI19">
        <v>10.73</v>
      </c>
      <c r="AJ19">
        <v>1</v>
      </c>
      <c r="AK19">
        <v>1</v>
      </c>
      <c r="AL19">
        <v>1</v>
      </c>
      <c r="AM19">
        <v>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1</v>
      </c>
      <c r="AU19" t="s">
        <v>3</v>
      </c>
      <c r="AV19">
        <v>0</v>
      </c>
      <c r="AW19">
        <v>2</v>
      </c>
      <c r="AX19">
        <v>84186877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ROUND(Y19*Source!I74,9)</f>
        <v>2.8459999999999999E-2</v>
      </c>
      <c r="CY19">
        <f t="shared" si="5"/>
        <v>125245.82</v>
      </c>
      <c r="CZ19">
        <f t="shared" si="6"/>
        <v>11672.49</v>
      </c>
      <c r="DA19">
        <f t="shared" si="7"/>
        <v>10.73</v>
      </c>
      <c r="DB19">
        <f t="shared" si="1"/>
        <v>11672.49</v>
      </c>
      <c r="DC19">
        <f t="shared" si="2"/>
        <v>0</v>
      </c>
      <c r="DD19" t="s">
        <v>3</v>
      </c>
      <c r="DE19" t="s">
        <v>3</v>
      </c>
      <c r="DF19">
        <f t="shared" si="8"/>
        <v>3564.5</v>
      </c>
      <c r="DG19">
        <f t="shared" si="9"/>
        <v>0</v>
      </c>
      <c r="DH19">
        <f t="shared" si="10"/>
        <v>0</v>
      </c>
      <c r="DI19">
        <f t="shared" si="4"/>
        <v>0</v>
      </c>
      <c r="DJ19">
        <f t="shared" si="11"/>
        <v>3564.5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ROW(Source!A74)</f>
        <v>74</v>
      </c>
      <c r="B20">
        <v>84186534</v>
      </c>
      <c r="C20">
        <v>84186855</v>
      </c>
      <c r="D20">
        <v>37777370</v>
      </c>
      <c r="E20">
        <v>1</v>
      </c>
      <c r="F20">
        <v>1</v>
      </c>
      <c r="G20">
        <v>1</v>
      </c>
      <c r="H20">
        <v>3</v>
      </c>
      <c r="I20" t="s">
        <v>432</v>
      </c>
      <c r="J20" t="s">
        <v>433</v>
      </c>
      <c r="K20" t="s">
        <v>434</v>
      </c>
      <c r="L20">
        <v>1339</v>
      </c>
      <c r="N20">
        <v>1007</v>
      </c>
      <c r="O20" t="s">
        <v>435</v>
      </c>
      <c r="P20" t="s">
        <v>435</v>
      </c>
      <c r="Q20">
        <v>1</v>
      </c>
      <c r="W20">
        <v>0</v>
      </c>
      <c r="X20">
        <v>1123154371</v>
      </c>
      <c r="Y20">
        <f t="shared" si="0"/>
        <v>0.15</v>
      </c>
      <c r="AA20">
        <v>975.05</v>
      </c>
      <c r="AB20">
        <v>0</v>
      </c>
      <c r="AC20">
        <v>0</v>
      </c>
      <c r="AD20">
        <v>0</v>
      </c>
      <c r="AE20">
        <v>64.959999999999994</v>
      </c>
      <c r="AF20">
        <v>0</v>
      </c>
      <c r="AG20">
        <v>0</v>
      </c>
      <c r="AH20">
        <v>0</v>
      </c>
      <c r="AI20">
        <v>15.01</v>
      </c>
      <c r="AJ20">
        <v>1</v>
      </c>
      <c r="AK20">
        <v>1</v>
      </c>
      <c r="AL20">
        <v>1</v>
      </c>
      <c r="AM20">
        <v>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0.15</v>
      </c>
      <c r="AU20" t="s">
        <v>3</v>
      </c>
      <c r="AV20">
        <v>0</v>
      </c>
      <c r="AW20">
        <v>2</v>
      </c>
      <c r="AX20">
        <v>84186878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ROUND(Y20*Source!I74,9)</f>
        <v>4.2690000000000002E-3</v>
      </c>
      <c r="CY20">
        <f t="shared" si="5"/>
        <v>975.05</v>
      </c>
      <c r="CZ20">
        <f t="shared" si="6"/>
        <v>64.959999999999994</v>
      </c>
      <c r="DA20">
        <f t="shared" si="7"/>
        <v>15.01</v>
      </c>
      <c r="DB20">
        <f t="shared" si="1"/>
        <v>9.74</v>
      </c>
      <c r="DC20">
        <f t="shared" si="2"/>
        <v>0</v>
      </c>
      <c r="DD20" t="s">
        <v>3</v>
      </c>
      <c r="DE20" t="s">
        <v>3</v>
      </c>
      <c r="DF20">
        <f t="shared" si="8"/>
        <v>4.16</v>
      </c>
      <c r="DG20">
        <f t="shared" si="9"/>
        <v>0</v>
      </c>
      <c r="DH20">
        <f t="shared" si="10"/>
        <v>0</v>
      </c>
      <c r="DI20">
        <f t="shared" si="4"/>
        <v>0</v>
      </c>
      <c r="DJ20">
        <f t="shared" si="11"/>
        <v>4.16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ROW(Source!A74)</f>
        <v>74</v>
      </c>
      <c r="B21">
        <v>84186534</v>
      </c>
      <c r="C21">
        <v>84186855</v>
      </c>
      <c r="D21">
        <v>37801918</v>
      </c>
      <c r="E21">
        <v>1</v>
      </c>
      <c r="F21">
        <v>1</v>
      </c>
      <c r="G21">
        <v>1</v>
      </c>
      <c r="H21">
        <v>3</v>
      </c>
      <c r="I21" t="s">
        <v>436</v>
      </c>
      <c r="J21" t="s">
        <v>437</v>
      </c>
      <c r="K21" t="s">
        <v>438</v>
      </c>
      <c r="L21">
        <v>1374</v>
      </c>
      <c r="N21">
        <v>1013</v>
      </c>
      <c r="O21" t="s">
        <v>439</v>
      </c>
      <c r="P21" t="s">
        <v>439</v>
      </c>
      <c r="Q21">
        <v>1</v>
      </c>
      <c r="W21">
        <v>0</v>
      </c>
      <c r="X21">
        <v>2131831278</v>
      </c>
      <c r="Y21">
        <f t="shared" si="0"/>
        <v>11.18</v>
      </c>
      <c r="AA21">
        <v>1</v>
      </c>
      <c r="AB21">
        <v>0</v>
      </c>
      <c r="AC21">
        <v>0</v>
      </c>
      <c r="AD21">
        <v>0</v>
      </c>
      <c r="AE21">
        <v>1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11.18</v>
      </c>
      <c r="AU21" t="s">
        <v>3</v>
      </c>
      <c r="AV21">
        <v>0</v>
      </c>
      <c r="AW21">
        <v>2</v>
      </c>
      <c r="AX21">
        <v>84186879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ROUND(Y21*Source!I74,9)</f>
        <v>0.31818279999999999</v>
      </c>
      <c r="CY21">
        <f t="shared" si="5"/>
        <v>1</v>
      </c>
      <c r="CZ21">
        <f t="shared" si="6"/>
        <v>1</v>
      </c>
      <c r="DA21">
        <f t="shared" si="7"/>
        <v>1</v>
      </c>
      <c r="DB21">
        <f t="shared" si="1"/>
        <v>11.18</v>
      </c>
      <c r="DC21">
        <f t="shared" si="2"/>
        <v>0</v>
      </c>
      <c r="DD21" t="s">
        <v>3</v>
      </c>
      <c r="DE21" t="s">
        <v>3</v>
      </c>
      <c r="DF21">
        <f>ROUND(ROUND(AE21,2)*CX21,2)</f>
        <v>0.32</v>
      </c>
      <c r="DG21">
        <f t="shared" si="9"/>
        <v>0</v>
      </c>
      <c r="DH21">
        <f t="shared" si="10"/>
        <v>0</v>
      </c>
      <c r="DI21">
        <f t="shared" si="4"/>
        <v>0</v>
      </c>
      <c r="DJ21">
        <f t="shared" si="11"/>
        <v>0.32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ROW(Source!A75)</f>
        <v>75</v>
      </c>
      <c r="B22">
        <v>84186534</v>
      </c>
      <c r="C22">
        <v>84186880</v>
      </c>
      <c r="D22">
        <v>23129536</v>
      </c>
      <c r="E22">
        <v>1</v>
      </c>
      <c r="F22">
        <v>1</v>
      </c>
      <c r="G22">
        <v>1</v>
      </c>
      <c r="H22">
        <v>1</v>
      </c>
      <c r="I22" t="s">
        <v>440</v>
      </c>
      <c r="J22" t="s">
        <v>3</v>
      </c>
      <c r="K22" t="s">
        <v>441</v>
      </c>
      <c r="L22">
        <v>1369</v>
      </c>
      <c r="N22">
        <v>1013</v>
      </c>
      <c r="O22" t="s">
        <v>388</v>
      </c>
      <c r="P22" t="s">
        <v>388</v>
      </c>
      <c r="Q22">
        <v>1</v>
      </c>
      <c r="W22">
        <v>0</v>
      </c>
      <c r="X22">
        <v>1663406391</v>
      </c>
      <c r="Y22">
        <f t="shared" si="0"/>
        <v>7.9</v>
      </c>
      <c r="AA22">
        <v>0</v>
      </c>
      <c r="AB22">
        <v>0</v>
      </c>
      <c r="AC22">
        <v>0</v>
      </c>
      <c r="AD22">
        <v>8.2799999999999994</v>
      </c>
      <c r="AE22">
        <v>0</v>
      </c>
      <c r="AF22">
        <v>0</v>
      </c>
      <c r="AG22">
        <v>0</v>
      </c>
      <c r="AH22">
        <v>8.2799999999999994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7.9</v>
      </c>
      <c r="AU22" t="s">
        <v>3</v>
      </c>
      <c r="AV22">
        <v>1</v>
      </c>
      <c r="AW22">
        <v>2</v>
      </c>
      <c r="AX22">
        <v>84186900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U22">
        <f>ROUND(AT22*Source!I75*AH22*AL22,2)</f>
        <v>65.41</v>
      </c>
      <c r="CV22">
        <f>ROUND(Y22*Source!I75,9)</f>
        <v>7.9</v>
      </c>
      <c r="CW22">
        <v>0</v>
      </c>
      <c r="CX22">
        <f>ROUND(Y22*Source!I75,9)</f>
        <v>7.9</v>
      </c>
      <c r="CY22">
        <f>AD22</f>
        <v>8.2799999999999994</v>
      </c>
      <c r="CZ22">
        <f>AH22</f>
        <v>8.2799999999999994</v>
      </c>
      <c r="DA22">
        <f>AL22</f>
        <v>1</v>
      </c>
      <c r="DB22">
        <f t="shared" si="1"/>
        <v>65.41</v>
      </c>
      <c r="DC22">
        <f t="shared" si="2"/>
        <v>0</v>
      </c>
      <c r="DD22" t="s">
        <v>3</v>
      </c>
      <c r="DE22" t="s">
        <v>3</v>
      </c>
      <c r="DF22">
        <f>ROUND(ROUND(AE22,2)*CX22,2)</f>
        <v>0</v>
      </c>
      <c r="DG22">
        <f t="shared" si="9"/>
        <v>0</v>
      </c>
      <c r="DH22">
        <f t="shared" si="10"/>
        <v>0</v>
      </c>
      <c r="DI22">
        <f t="shared" si="4"/>
        <v>65.41</v>
      </c>
      <c r="DJ22">
        <f>DI22</f>
        <v>65.41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ROW(Source!A75)</f>
        <v>75</v>
      </c>
      <c r="B23">
        <v>84186534</v>
      </c>
      <c r="C23">
        <v>84186880</v>
      </c>
      <c r="D23">
        <v>121548</v>
      </c>
      <c r="E23">
        <v>1</v>
      </c>
      <c r="F23">
        <v>1</v>
      </c>
      <c r="G23">
        <v>1</v>
      </c>
      <c r="H23">
        <v>1</v>
      </c>
      <c r="I23" t="s">
        <v>95</v>
      </c>
      <c r="J23" t="s">
        <v>3</v>
      </c>
      <c r="K23" t="s">
        <v>389</v>
      </c>
      <c r="L23">
        <v>608254</v>
      </c>
      <c r="N23">
        <v>1013</v>
      </c>
      <c r="O23" t="s">
        <v>390</v>
      </c>
      <c r="P23" t="s">
        <v>390</v>
      </c>
      <c r="Q23">
        <v>1</v>
      </c>
      <c r="W23">
        <v>0</v>
      </c>
      <c r="X23">
        <v>-185737400</v>
      </c>
      <c r="Y23">
        <f t="shared" si="0"/>
        <v>1.86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1.86</v>
      </c>
      <c r="AU23" t="s">
        <v>3</v>
      </c>
      <c r="AV23">
        <v>2</v>
      </c>
      <c r="AW23">
        <v>2</v>
      </c>
      <c r="AX23">
        <v>84186901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ROUND(Y23*Source!I75,9)</f>
        <v>1.86</v>
      </c>
      <c r="CY23">
        <f>AD23</f>
        <v>0</v>
      </c>
      <c r="CZ23">
        <f>AH23</f>
        <v>0</v>
      </c>
      <c r="DA23">
        <f>AL23</f>
        <v>1</v>
      </c>
      <c r="DB23">
        <f t="shared" si="1"/>
        <v>0</v>
      </c>
      <c r="DC23">
        <f t="shared" si="2"/>
        <v>0</v>
      </c>
      <c r="DD23" t="s">
        <v>3</v>
      </c>
      <c r="DE23" t="s">
        <v>3</v>
      </c>
      <c r="DF23">
        <f>ROUND(ROUND(AE23,2)*CX23,2)</f>
        <v>0</v>
      </c>
      <c r="DG23">
        <f t="shared" si="9"/>
        <v>0</v>
      </c>
      <c r="DH23">
        <f t="shared" si="10"/>
        <v>0</v>
      </c>
      <c r="DI23">
        <f t="shared" si="4"/>
        <v>0</v>
      </c>
      <c r="DJ23">
        <f>DI23</f>
        <v>0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ROW(Source!A75)</f>
        <v>75</v>
      </c>
      <c r="B24">
        <v>84186534</v>
      </c>
      <c r="C24">
        <v>84186880</v>
      </c>
      <c r="D24">
        <v>37803498</v>
      </c>
      <c r="E24">
        <v>1</v>
      </c>
      <c r="F24">
        <v>1</v>
      </c>
      <c r="G24">
        <v>1</v>
      </c>
      <c r="H24">
        <v>2</v>
      </c>
      <c r="I24" t="s">
        <v>442</v>
      </c>
      <c r="J24" t="s">
        <v>443</v>
      </c>
      <c r="K24" t="s">
        <v>444</v>
      </c>
      <c r="L24">
        <v>1368</v>
      </c>
      <c r="N24">
        <v>1011</v>
      </c>
      <c r="O24" t="s">
        <v>394</v>
      </c>
      <c r="P24" t="s">
        <v>394</v>
      </c>
      <c r="Q24">
        <v>1</v>
      </c>
      <c r="W24">
        <v>0</v>
      </c>
      <c r="X24">
        <v>365905357</v>
      </c>
      <c r="Y24">
        <f t="shared" si="0"/>
        <v>1.86</v>
      </c>
      <c r="AA24">
        <v>0</v>
      </c>
      <c r="AB24">
        <v>2147.73</v>
      </c>
      <c r="AC24">
        <v>365.04</v>
      </c>
      <c r="AD24">
        <v>0</v>
      </c>
      <c r="AE24">
        <v>0</v>
      </c>
      <c r="AF24">
        <v>123.86</v>
      </c>
      <c r="AG24">
        <v>10.35</v>
      </c>
      <c r="AH24">
        <v>0</v>
      </c>
      <c r="AI24">
        <v>1</v>
      </c>
      <c r="AJ24">
        <v>17.34</v>
      </c>
      <c r="AK24">
        <v>35.270000000000003</v>
      </c>
      <c r="AL24">
        <v>1</v>
      </c>
      <c r="AM24">
        <v>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1.86</v>
      </c>
      <c r="AU24" t="s">
        <v>3</v>
      </c>
      <c r="AV24">
        <v>0</v>
      </c>
      <c r="AW24">
        <v>2</v>
      </c>
      <c r="AX24">
        <v>84186902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f>ROUND(Y24*Source!I75*DO24,9)</f>
        <v>0</v>
      </c>
      <c r="CX24">
        <f>ROUND(Y24*Source!I75,9)</f>
        <v>1.86</v>
      </c>
      <c r="CY24">
        <f>AB24</f>
        <v>2147.73</v>
      </c>
      <c r="CZ24">
        <f>AF24</f>
        <v>123.86</v>
      </c>
      <c r="DA24">
        <f>AJ24</f>
        <v>17.34</v>
      </c>
      <c r="DB24">
        <f t="shared" si="1"/>
        <v>230.38</v>
      </c>
      <c r="DC24">
        <f t="shared" si="2"/>
        <v>19.25</v>
      </c>
      <c r="DD24" t="s">
        <v>3</v>
      </c>
      <c r="DE24" t="s">
        <v>3</v>
      </c>
      <c r="DF24">
        <f>ROUND(ROUND(AE24,2)*CX24,2)</f>
        <v>0</v>
      </c>
      <c r="DG24">
        <f>ROUND(ROUND(AF24*AJ24,2)*CX24,2)</f>
        <v>3994.78</v>
      </c>
      <c r="DH24">
        <f>ROUND(ROUND(AG24*AK24,2)*CX24,2)</f>
        <v>678.97</v>
      </c>
      <c r="DI24">
        <f t="shared" si="4"/>
        <v>0</v>
      </c>
      <c r="DJ24">
        <f>DG24</f>
        <v>3994.78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ROW(Source!A75)</f>
        <v>75</v>
      </c>
      <c r="B25">
        <v>84186534</v>
      </c>
      <c r="C25">
        <v>84186880</v>
      </c>
      <c r="D25">
        <v>37804456</v>
      </c>
      <c r="E25">
        <v>1</v>
      </c>
      <c r="F25">
        <v>1</v>
      </c>
      <c r="G25">
        <v>1</v>
      </c>
      <c r="H25">
        <v>2</v>
      </c>
      <c r="I25" t="s">
        <v>395</v>
      </c>
      <c r="J25" t="s">
        <v>396</v>
      </c>
      <c r="K25" t="s">
        <v>397</v>
      </c>
      <c r="L25">
        <v>1368</v>
      </c>
      <c r="N25">
        <v>1011</v>
      </c>
      <c r="O25" t="s">
        <v>394</v>
      </c>
      <c r="P25" t="s">
        <v>394</v>
      </c>
      <c r="Q25">
        <v>1</v>
      </c>
      <c r="W25">
        <v>0</v>
      </c>
      <c r="X25">
        <v>-671646184</v>
      </c>
      <c r="Y25">
        <f t="shared" si="0"/>
        <v>0.4</v>
      </c>
      <c r="AA25">
        <v>0</v>
      </c>
      <c r="AB25">
        <v>1305.74</v>
      </c>
      <c r="AC25">
        <v>365.04</v>
      </c>
      <c r="AD25">
        <v>0</v>
      </c>
      <c r="AE25">
        <v>0</v>
      </c>
      <c r="AF25">
        <v>91.76</v>
      </c>
      <c r="AG25">
        <v>10.35</v>
      </c>
      <c r="AH25">
        <v>0</v>
      </c>
      <c r="AI25">
        <v>1</v>
      </c>
      <c r="AJ25">
        <v>14.23</v>
      </c>
      <c r="AK25">
        <v>35.270000000000003</v>
      </c>
      <c r="AL25">
        <v>1</v>
      </c>
      <c r="AM25">
        <v>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0.4</v>
      </c>
      <c r="AU25" t="s">
        <v>3</v>
      </c>
      <c r="AV25">
        <v>0</v>
      </c>
      <c r="AW25">
        <v>2</v>
      </c>
      <c r="AX25">
        <v>84186903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f>ROUND(Y25*Source!I75*DO25,9)</f>
        <v>0</v>
      </c>
      <c r="CX25">
        <f>ROUND(Y25*Source!I75,9)</f>
        <v>0.4</v>
      </c>
      <c r="CY25">
        <f>AB25</f>
        <v>1305.74</v>
      </c>
      <c r="CZ25">
        <f>AF25</f>
        <v>91.76</v>
      </c>
      <c r="DA25">
        <f>AJ25</f>
        <v>14.23</v>
      </c>
      <c r="DB25">
        <f t="shared" si="1"/>
        <v>36.700000000000003</v>
      </c>
      <c r="DC25">
        <f t="shared" si="2"/>
        <v>4.1399999999999997</v>
      </c>
      <c r="DD25" t="s">
        <v>3</v>
      </c>
      <c r="DE25" t="s">
        <v>3</v>
      </c>
      <c r="DF25">
        <f>ROUND(ROUND(AE25,2)*CX25,2)</f>
        <v>0</v>
      </c>
      <c r="DG25">
        <f>ROUND(ROUND(AF25*AJ25,2)*CX25,2)</f>
        <v>522.29999999999995</v>
      </c>
      <c r="DH25">
        <f>ROUND(ROUND(AG25*AK25,2)*CX25,2)</f>
        <v>146.02000000000001</v>
      </c>
      <c r="DI25">
        <f t="shared" si="4"/>
        <v>0</v>
      </c>
      <c r="DJ25">
        <f>DG25</f>
        <v>522.29999999999995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ROW(Source!A75)</f>
        <v>75</v>
      </c>
      <c r="B26">
        <v>84186534</v>
      </c>
      <c r="C26">
        <v>84186880</v>
      </c>
      <c r="D26">
        <v>37732468</v>
      </c>
      <c r="E26">
        <v>1</v>
      </c>
      <c r="F26">
        <v>1</v>
      </c>
      <c r="G26">
        <v>1</v>
      </c>
      <c r="H26">
        <v>3</v>
      </c>
      <c r="I26" t="s">
        <v>445</v>
      </c>
      <c r="J26" t="s">
        <v>446</v>
      </c>
      <c r="K26" t="s">
        <v>447</v>
      </c>
      <c r="L26">
        <v>1348</v>
      </c>
      <c r="N26">
        <v>1009</v>
      </c>
      <c r="O26" t="s">
        <v>117</v>
      </c>
      <c r="P26" t="s">
        <v>117</v>
      </c>
      <c r="Q26">
        <v>1000</v>
      </c>
      <c r="W26">
        <v>0</v>
      </c>
      <c r="X26">
        <v>-1700027683</v>
      </c>
      <c r="Y26">
        <f t="shared" si="0"/>
        <v>4.0000000000000002E-4</v>
      </c>
      <c r="AA26">
        <v>83122.95</v>
      </c>
      <c r="AB26">
        <v>0</v>
      </c>
      <c r="AC26">
        <v>0</v>
      </c>
      <c r="AD26">
        <v>0</v>
      </c>
      <c r="AE26">
        <v>15954.5</v>
      </c>
      <c r="AF26">
        <v>0</v>
      </c>
      <c r="AG26">
        <v>0</v>
      </c>
      <c r="AH26">
        <v>0</v>
      </c>
      <c r="AI26">
        <v>5.21</v>
      </c>
      <c r="AJ26">
        <v>1</v>
      </c>
      <c r="AK26">
        <v>1</v>
      </c>
      <c r="AL26">
        <v>1</v>
      </c>
      <c r="AM26">
        <v>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4.0000000000000002E-4</v>
      </c>
      <c r="AU26" t="s">
        <v>3</v>
      </c>
      <c r="AV26">
        <v>0</v>
      </c>
      <c r="AW26">
        <v>2</v>
      </c>
      <c r="AX26">
        <v>84186904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ROUND(Y26*Source!I75,9)</f>
        <v>4.0000000000000002E-4</v>
      </c>
      <c r="CY26">
        <f t="shared" ref="CY26:CY40" si="12">AA26</f>
        <v>83122.95</v>
      </c>
      <c r="CZ26">
        <f t="shared" ref="CZ26:CZ40" si="13">AE26</f>
        <v>15954.5</v>
      </c>
      <c r="DA26">
        <f t="shared" ref="DA26:DA40" si="14">AI26</f>
        <v>5.21</v>
      </c>
      <c r="DB26">
        <f t="shared" si="1"/>
        <v>6.38</v>
      </c>
      <c r="DC26">
        <f t="shared" si="2"/>
        <v>0</v>
      </c>
      <c r="DD26" t="s">
        <v>3</v>
      </c>
      <c r="DE26" t="s">
        <v>3</v>
      </c>
      <c r="DF26">
        <f>ROUND(ROUND(AE26*AI26,2)*CX26,2)</f>
        <v>33.25</v>
      </c>
      <c r="DG26">
        <f t="shared" ref="DG26:DG42" si="15">ROUND(ROUND(AF26,2)*CX26,2)</f>
        <v>0</v>
      </c>
      <c r="DH26">
        <f t="shared" ref="DH26:DH42" si="16">ROUND(ROUND(AG26,2)*CX26,2)</f>
        <v>0</v>
      </c>
      <c r="DI26">
        <f t="shared" si="4"/>
        <v>0</v>
      </c>
      <c r="DJ26">
        <f t="shared" ref="DJ26:DJ40" si="17">DF26</f>
        <v>33.25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ROW(Source!A75)</f>
        <v>75</v>
      </c>
      <c r="B27">
        <v>84186534</v>
      </c>
      <c r="C27">
        <v>84186880</v>
      </c>
      <c r="D27">
        <v>37729879</v>
      </c>
      <c r="E27">
        <v>1</v>
      </c>
      <c r="F27">
        <v>1</v>
      </c>
      <c r="G27">
        <v>1</v>
      </c>
      <c r="H27">
        <v>3</v>
      </c>
      <c r="I27" t="s">
        <v>448</v>
      </c>
      <c r="J27" t="s">
        <v>449</v>
      </c>
      <c r="K27" t="s">
        <v>450</v>
      </c>
      <c r="L27">
        <v>1348</v>
      </c>
      <c r="N27">
        <v>1009</v>
      </c>
      <c r="O27" t="s">
        <v>117</v>
      </c>
      <c r="P27" t="s">
        <v>117</v>
      </c>
      <c r="Q27">
        <v>1000</v>
      </c>
      <c r="W27">
        <v>0</v>
      </c>
      <c r="X27">
        <v>-1121770783</v>
      </c>
      <c r="Y27">
        <f t="shared" si="0"/>
        <v>3.0000000000000001E-5</v>
      </c>
      <c r="AA27">
        <v>163867.51999999999</v>
      </c>
      <c r="AB27">
        <v>0</v>
      </c>
      <c r="AC27">
        <v>0</v>
      </c>
      <c r="AD27">
        <v>0</v>
      </c>
      <c r="AE27">
        <v>9662</v>
      </c>
      <c r="AF27">
        <v>0</v>
      </c>
      <c r="AG27">
        <v>0</v>
      </c>
      <c r="AH27">
        <v>0</v>
      </c>
      <c r="AI27">
        <v>16.96</v>
      </c>
      <c r="AJ27">
        <v>1</v>
      </c>
      <c r="AK27">
        <v>1</v>
      </c>
      <c r="AL27">
        <v>1</v>
      </c>
      <c r="AM27">
        <v>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3.0000000000000001E-5</v>
      </c>
      <c r="AU27" t="s">
        <v>3</v>
      </c>
      <c r="AV27">
        <v>0</v>
      </c>
      <c r="AW27">
        <v>2</v>
      </c>
      <c r="AX27">
        <v>84186905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ROUND(Y27*Source!I75,9)</f>
        <v>3.0000000000000001E-5</v>
      </c>
      <c r="CY27">
        <f t="shared" si="12"/>
        <v>163867.51999999999</v>
      </c>
      <c r="CZ27">
        <f t="shared" si="13"/>
        <v>9662</v>
      </c>
      <c r="DA27">
        <f t="shared" si="14"/>
        <v>16.96</v>
      </c>
      <c r="DB27">
        <f t="shared" si="1"/>
        <v>0.28999999999999998</v>
      </c>
      <c r="DC27">
        <f t="shared" si="2"/>
        <v>0</v>
      </c>
      <c r="DD27" t="s">
        <v>3</v>
      </c>
      <c r="DE27" t="s">
        <v>3</v>
      </c>
      <c r="DF27">
        <f>ROUND(ROUND(AE27*AI27,2)*CX27,2)</f>
        <v>4.92</v>
      </c>
      <c r="DG27">
        <f t="shared" si="15"/>
        <v>0</v>
      </c>
      <c r="DH27">
        <f t="shared" si="16"/>
        <v>0</v>
      </c>
      <c r="DI27">
        <f t="shared" si="4"/>
        <v>0</v>
      </c>
      <c r="DJ27">
        <f t="shared" si="17"/>
        <v>4.92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ROW(Source!A75)</f>
        <v>75</v>
      </c>
      <c r="B28">
        <v>84186534</v>
      </c>
      <c r="C28">
        <v>84186880</v>
      </c>
      <c r="D28">
        <v>37736859</v>
      </c>
      <c r="E28">
        <v>1</v>
      </c>
      <c r="F28">
        <v>1</v>
      </c>
      <c r="G28">
        <v>1</v>
      </c>
      <c r="H28">
        <v>3</v>
      </c>
      <c r="I28" t="s">
        <v>115</v>
      </c>
      <c r="J28" t="s">
        <v>118</v>
      </c>
      <c r="K28" t="s">
        <v>116</v>
      </c>
      <c r="L28">
        <v>1348</v>
      </c>
      <c r="N28">
        <v>1009</v>
      </c>
      <c r="O28" t="s">
        <v>117</v>
      </c>
      <c r="P28" t="s">
        <v>117</v>
      </c>
      <c r="Q28">
        <v>1000</v>
      </c>
      <c r="W28">
        <v>0</v>
      </c>
      <c r="X28">
        <v>-384985709</v>
      </c>
      <c r="Y28">
        <f t="shared" si="0"/>
        <v>0</v>
      </c>
      <c r="AA28">
        <v>208824.23</v>
      </c>
      <c r="AB28">
        <v>0</v>
      </c>
      <c r="AC28">
        <v>0</v>
      </c>
      <c r="AD28">
        <v>0</v>
      </c>
      <c r="AE28">
        <v>9040.01</v>
      </c>
      <c r="AF28">
        <v>0</v>
      </c>
      <c r="AG28">
        <v>0</v>
      </c>
      <c r="AH28">
        <v>0</v>
      </c>
      <c r="AI28">
        <v>23.1</v>
      </c>
      <c r="AJ28">
        <v>1</v>
      </c>
      <c r="AK28">
        <v>1</v>
      </c>
      <c r="AL28">
        <v>1</v>
      </c>
      <c r="AM28">
        <v>0</v>
      </c>
      <c r="AN28">
        <v>1</v>
      </c>
      <c r="AO28">
        <v>0</v>
      </c>
      <c r="AP28">
        <v>1</v>
      </c>
      <c r="AQ28">
        <v>0</v>
      </c>
      <c r="AR28">
        <v>0</v>
      </c>
      <c r="AS28" t="s">
        <v>3</v>
      </c>
      <c r="AT28">
        <v>0</v>
      </c>
      <c r="AU28" t="s">
        <v>3</v>
      </c>
      <c r="AV28">
        <v>0</v>
      </c>
      <c r="AW28">
        <v>2</v>
      </c>
      <c r="AX28">
        <v>84186906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ROUND(Y28*Source!I75,9)</f>
        <v>0</v>
      </c>
      <c r="CY28">
        <f t="shared" si="12"/>
        <v>208824.23</v>
      </c>
      <c r="CZ28">
        <f t="shared" si="13"/>
        <v>9040.01</v>
      </c>
      <c r="DA28">
        <f t="shared" si="14"/>
        <v>23.1</v>
      </c>
      <c r="DB28">
        <f t="shared" si="1"/>
        <v>0</v>
      </c>
      <c r="DC28">
        <f t="shared" si="2"/>
        <v>0</v>
      </c>
      <c r="DD28" t="s">
        <v>3</v>
      </c>
      <c r="DE28" t="s">
        <v>3</v>
      </c>
      <c r="DF28">
        <f>ROUND(ROUND(AE28*AI28,2)*CX28,2)</f>
        <v>0</v>
      </c>
      <c r="DG28">
        <f t="shared" si="15"/>
        <v>0</v>
      </c>
      <c r="DH28">
        <f t="shared" si="16"/>
        <v>0</v>
      </c>
      <c r="DI28">
        <f t="shared" si="4"/>
        <v>0</v>
      </c>
      <c r="DJ28">
        <f t="shared" si="17"/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ROW(Source!A75)</f>
        <v>75</v>
      </c>
      <c r="B29">
        <v>84186534</v>
      </c>
      <c r="C29">
        <v>84186880</v>
      </c>
      <c r="D29">
        <v>37729991</v>
      </c>
      <c r="E29">
        <v>1</v>
      </c>
      <c r="F29">
        <v>1</v>
      </c>
      <c r="G29">
        <v>1</v>
      </c>
      <c r="H29">
        <v>3</v>
      </c>
      <c r="I29" t="s">
        <v>451</v>
      </c>
      <c r="J29" t="s">
        <v>452</v>
      </c>
      <c r="K29" t="s">
        <v>453</v>
      </c>
      <c r="L29">
        <v>1346</v>
      </c>
      <c r="N29">
        <v>1009</v>
      </c>
      <c r="O29" t="s">
        <v>139</v>
      </c>
      <c r="P29" t="s">
        <v>139</v>
      </c>
      <c r="Q29">
        <v>1</v>
      </c>
      <c r="W29">
        <v>0</v>
      </c>
      <c r="X29">
        <v>844235703</v>
      </c>
      <c r="Y29">
        <f t="shared" si="0"/>
        <v>0.02</v>
      </c>
      <c r="AA29">
        <v>27.37</v>
      </c>
      <c r="AB29">
        <v>0</v>
      </c>
      <c r="AC29">
        <v>0</v>
      </c>
      <c r="AD29">
        <v>0</v>
      </c>
      <c r="AE29">
        <v>1.82</v>
      </c>
      <c r="AF29">
        <v>0</v>
      </c>
      <c r="AG29">
        <v>0</v>
      </c>
      <c r="AH29">
        <v>0</v>
      </c>
      <c r="AI29">
        <v>15.04</v>
      </c>
      <c r="AJ29">
        <v>1</v>
      </c>
      <c r="AK29">
        <v>1</v>
      </c>
      <c r="AL29">
        <v>1</v>
      </c>
      <c r="AM29">
        <v>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0.02</v>
      </c>
      <c r="AU29" t="s">
        <v>3</v>
      </c>
      <c r="AV29">
        <v>0</v>
      </c>
      <c r="AW29">
        <v>2</v>
      </c>
      <c r="AX29">
        <v>84186907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ROUND(Y29*Source!I75,9)</f>
        <v>0.02</v>
      </c>
      <c r="CY29">
        <f t="shared" si="12"/>
        <v>27.37</v>
      </c>
      <c r="CZ29">
        <f t="shared" si="13"/>
        <v>1.82</v>
      </c>
      <c r="DA29">
        <f t="shared" si="14"/>
        <v>15.04</v>
      </c>
      <c r="DB29">
        <f t="shared" si="1"/>
        <v>0.04</v>
      </c>
      <c r="DC29">
        <f t="shared" si="2"/>
        <v>0</v>
      </c>
      <c r="DD29" t="s">
        <v>3</v>
      </c>
      <c r="DE29" t="s">
        <v>3</v>
      </c>
      <c r="DF29">
        <f>ROUND(ROUND(AE29*AI29,2)*CX29,2)</f>
        <v>0.55000000000000004</v>
      </c>
      <c r="DG29">
        <f t="shared" si="15"/>
        <v>0</v>
      </c>
      <c r="DH29">
        <f t="shared" si="16"/>
        <v>0</v>
      </c>
      <c r="DI29">
        <f t="shared" si="4"/>
        <v>0</v>
      </c>
      <c r="DJ29">
        <f t="shared" si="17"/>
        <v>0.55000000000000004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ROW(Source!A75)</f>
        <v>75</v>
      </c>
      <c r="B30">
        <v>84186534</v>
      </c>
      <c r="C30">
        <v>84186880</v>
      </c>
      <c r="D30">
        <v>37729892</v>
      </c>
      <c r="E30">
        <v>1</v>
      </c>
      <c r="F30">
        <v>1</v>
      </c>
      <c r="G30">
        <v>1</v>
      </c>
      <c r="H30">
        <v>3</v>
      </c>
      <c r="I30" t="s">
        <v>454</v>
      </c>
      <c r="J30" t="s">
        <v>455</v>
      </c>
      <c r="K30" t="s">
        <v>456</v>
      </c>
      <c r="L30">
        <v>1346</v>
      </c>
      <c r="N30">
        <v>1009</v>
      </c>
      <c r="O30" t="s">
        <v>139</v>
      </c>
      <c r="P30" t="s">
        <v>139</v>
      </c>
      <c r="Q30">
        <v>1</v>
      </c>
      <c r="W30">
        <v>0</v>
      </c>
      <c r="X30">
        <v>-1589564529</v>
      </c>
      <c r="Y30">
        <f t="shared" si="0"/>
        <v>0.1</v>
      </c>
      <c r="AA30">
        <v>238.6</v>
      </c>
      <c r="AB30">
        <v>0</v>
      </c>
      <c r="AC30">
        <v>0</v>
      </c>
      <c r="AD30">
        <v>0</v>
      </c>
      <c r="AE30">
        <v>14.62</v>
      </c>
      <c r="AF30">
        <v>0</v>
      </c>
      <c r="AG30">
        <v>0</v>
      </c>
      <c r="AH30">
        <v>0</v>
      </c>
      <c r="AI30">
        <v>16.32</v>
      </c>
      <c r="AJ30">
        <v>1</v>
      </c>
      <c r="AK30">
        <v>1</v>
      </c>
      <c r="AL30">
        <v>1</v>
      </c>
      <c r="AM30">
        <v>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0.1</v>
      </c>
      <c r="AU30" t="s">
        <v>3</v>
      </c>
      <c r="AV30">
        <v>0</v>
      </c>
      <c r="AW30">
        <v>2</v>
      </c>
      <c r="AX30">
        <v>84186908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ROUND(Y30*Source!I75,9)</f>
        <v>0.1</v>
      </c>
      <c r="CY30">
        <f t="shared" si="12"/>
        <v>238.6</v>
      </c>
      <c r="CZ30">
        <f t="shared" si="13"/>
        <v>14.62</v>
      </c>
      <c r="DA30">
        <f t="shared" si="14"/>
        <v>16.32</v>
      </c>
      <c r="DB30">
        <f t="shared" si="1"/>
        <v>1.46</v>
      </c>
      <c r="DC30">
        <f t="shared" si="2"/>
        <v>0</v>
      </c>
      <c r="DD30" t="s">
        <v>3</v>
      </c>
      <c r="DE30" t="s">
        <v>3</v>
      </c>
      <c r="DF30">
        <f>ROUND(ROUND(AE30*AI30,2)*CX30,2)</f>
        <v>23.86</v>
      </c>
      <c r="DG30">
        <f t="shared" si="15"/>
        <v>0</v>
      </c>
      <c r="DH30">
        <f t="shared" si="16"/>
        <v>0</v>
      </c>
      <c r="DI30">
        <f t="shared" si="4"/>
        <v>0</v>
      </c>
      <c r="DJ30">
        <f t="shared" si="17"/>
        <v>23.86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ROW(Source!A75)</f>
        <v>75</v>
      </c>
      <c r="B31">
        <v>84186534</v>
      </c>
      <c r="C31">
        <v>84186880</v>
      </c>
      <c r="D31">
        <v>37735757</v>
      </c>
      <c r="E31">
        <v>1</v>
      </c>
      <c r="F31">
        <v>1</v>
      </c>
      <c r="G31">
        <v>1</v>
      </c>
      <c r="H31">
        <v>3</v>
      </c>
      <c r="I31" t="s">
        <v>120</v>
      </c>
      <c r="J31" t="s">
        <v>122</v>
      </c>
      <c r="K31" t="s">
        <v>121</v>
      </c>
      <c r="L31">
        <v>1348</v>
      </c>
      <c r="N31">
        <v>1009</v>
      </c>
      <c r="O31" t="s">
        <v>117</v>
      </c>
      <c r="P31" t="s">
        <v>117</v>
      </c>
      <c r="Q31">
        <v>1000</v>
      </c>
      <c r="W31">
        <v>0</v>
      </c>
      <c r="X31">
        <v>361960925</v>
      </c>
      <c r="Y31">
        <f t="shared" si="0"/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0</v>
      </c>
      <c r="AN31">
        <v>1</v>
      </c>
      <c r="AO31">
        <v>0</v>
      </c>
      <c r="AP31">
        <v>1</v>
      </c>
      <c r="AQ31">
        <v>0</v>
      </c>
      <c r="AR31">
        <v>0</v>
      </c>
      <c r="AS31" t="s">
        <v>3</v>
      </c>
      <c r="AT31">
        <v>0</v>
      </c>
      <c r="AU31" t="s">
        <v>3</v>
      </c>
      <c r="AV31">
        <v>0</v>
      </c>
      <c r="AW31">
        <v>2</v>
      </c>
      <c r="AX31">
        <v>84186909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ROUND(Y31*Source!I75,9)</f>
        <v>0</v>
      </c>
      <c r="CY31">
        <f t="shared" si="12"/>
        <v>0</v>
      </c>
      <c r="CZ31">
        <f t="shared" si="13"/>
        <v>0</v>
      </c>
      <c r="DA31">
        <f t="shared" si="14"/>
        <v>1</v>
      </c>
      <c r="DB31">
        <f t="shared" si="1"/>
        <v>0</v>
      </c>
      <c r="DC31">
        <f t="shared" si="2"/>
        <v>0</v>
      </c>
      <c r="DD31" t="s">
        <v>3</v>
      </c>
      <c r="DE31" t="s">
        <v>3</v>
      </c>
      <c r="DF31">
        <f>ROUND(ROUND(AE31,2)*CX31,2)</f>
        <v>0</v>
      </c>
      <c r="DG31">
        <f t="shared" si="15"/>
        <v>0</v>
      </c>
      <c r="DH31">
        <f t="shared" si="16"/>
        <v>0</v>
      </c>
      <c r="DI31">
        <f t="shared" si="4"/>
        <v>0</v>
      </c>
      <c r="DJ31">
        <f t="shared" si="17"/>
        <v>0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ROW(Source!A75)</f>
        <v>75</v>
      </c>
      <c r="B32">
        <v>84186534</v>
      </c>
      <c r="C32">
        <v>84186880</v>
      </c>
      <c r="D32">
        <v>37744299</v>
      </c>
      <c r="E32">
        <v>1</v>
      </c>
      <c r="F32">
        <v>1</v>
      </c>
      <c r="G32">
        <v>1</v>
      </c>
      <c r="H32">
        <v>3</v>
      </c>
      <c r="I32" t="s">
        <v>124</v>
      </c>
      <c r="J32" t="s">
        <v>127</v>
      </c>
      <c r="K32" t="s">
        <v>125</v>
      </c>
      <c r="L32">
        <v>1354</v>
      </c>
      <c r="N32">
        <v>1010</v>
      </c>
      <c r="O32" t="s">
        <v>126</v>
      </c>
      <c r="P32" t="s">
        <v>126</v>
      </c>
      <c r="Q32">
        <v>1</v>
      </c>
      <c r="W32">
        <v>0</v>
      </c>
      <c r="X32">
        <v>789151112</v>
      </c>
      <c r="Y32">
        <f t="shared" si="0"/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0</v>
      </c>
      <c r="AN32">
        <v>1</v>
      </c>
      <c r="AO32">
        <v>0</v>
      </c>
      <c r="AP32">
        <v>1</v>
      </c>
      <c r="AQ32">
        <v>0</v>
      </c>
      <c r="AR32">
        <v>0</v>
      </c>
      <c r="AS32" t="s">
        <v>3</v>
      </c>
      <c r="AT32">
        <v>0</v>
      </c>
      <c r="AU32" t="s">
        <v>3</v>
      </c>
      <c r="AV32">
        <v>0</v>
      </c>
      <c r="AW32">
        <v>2</v>
      </c>
      <c r="AX32">
        <v>84186910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ROUND(Y32*Source!I75,9)</f>
        <v>0</v>
      </c>
      <c r="CY32">
        <f t="shared" si="12"/>
        <v>0</v>
      </c>
      <c r="CZ32">
        <f t="shared" si="13"/>
        <v>0</v>
      </c>
      <c r="DA32">
        <f t="shared" si="14"/>
        <v>1</v>
      </c>
      <c r="DB32">
        <f t="shared" si="1"/>
        <v>0</v>
      </c>
      <c r="DC32">
        <f t="shared" si="2"/>
        <v>0</v>
      </c>
      <c r="DD32" t="s">
        <v>3</v>
      </c>
      <c r="DE32" t="s">
        <v>3</v>
      </c>
      <c r="DF32">
        <f>ROUND(ROUND(AE32,2)*CX32,2)</f>
        <v>0</v>
      </c>
      <c r="DG32">
        <f t="shared" si="15"/>
        <v>0</v>
      </c>
      <c r="DH32">
        <f t="shared" si="16"/>
        <v>0</v>
      </c>
      <c r="DI32">
        <f t="shared" si="4"/>
        <v>0</v>
      </c>
      <c r="DJ32">
        <f t="shared" si="17"/>
        <v>0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ROW(Source!A75)</f>
        <v>75</v>
      </c>
      <c r="B33">
        <v>84186534</v>
      </c>
      <c r="C33">
        <v>84186880</v>
      </c>
      <c r="D33">
        <v>37744290</v>
      </c>
      <c r="E33">
        <v>1</v>
      </c>
      <c r="F33">
        <v>1</v>
      </c>
      <c r="G33">
        <v>1</v>
      </c>
      <c r="H33">
        <v>3</v>
      </c>
      <c r="I33" t="s">
        <v>129</v>
      </c>
      <c r="J33" t="s">
        <v>131</v>
      </c>
      <c r="K33" t="s">
        <v>130</v>
      </c>
      <c r="L33">
        <v>1354</v>
      </c>
      <c r="N33">
        <v>1010</v>
      </c>
      <c r="O33" t="s">
        <v>126</v>
      </c>
      <c r="P33" t="s">
        <v>126</v>
      </c>
      <c r="Q33">
        <v>1</v>
      </c>
      <c r="W33">
        <v>0</v>
      </c>
      <c r="X33">
        <v>-950202787</v>
      </c>
      <c r="Y33">
        <f t="shared" ref="Y33:Y64" si="18">AT33</f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0</v>
      </c>
      <c r="AN33">
        <v>1</v>
      </c>
      <c r="AO33">
        <v>0</v>
      </c>
      <c r="AP33">
        <v>1</v>
      </c>
      <c r="AQ33">
        <v>0</v>
      </c>
      <c r="AR33">
        <v>0</v>
      </c>
      <c r="AS33" t="s">
        <v>3</v>
      </c>
      <c r="AT33">
        <v>0</v>
      </c>
      <c r="AU33" t="s">
        <v>3</v>
      </c>
      <c r="AV33">
        <v>0</v>
      </c>
      <c r="AW33">
        <v>2</v>
      </c>
      <c r="AX33">
        <v>84186911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ROUND(Y33*Source!I75,9)</f>
        <v>0</v>
      </c>
      <c r="CY33">
        <f t="shared" si="12"/>
        <v>0</v>
      </c>
      <c r="CZ33">
        <f t="shared" si="13"/>
        <v>0</v>
      </c>
      <c r="DA33">
        <f t="shared" si="14"/>
        <v>1</v>
      </c>
      <c r="DB33">
        <f t="shared" ref="DB33:DB64" si="19">ROUND(ROUND(AT33*CZ33,2),2)</f>
        <v>0</v>
      </c>
      <c r="DC33">
        <f t="shared" ref="DC33:DC64" si="20">ROUND(ROUND(AT33*AG33,2),2)</f>
        <v>0</v>
      </c>
      <c r="DD33" t="s">
        <v>3</v>
      </c>
      <c r="DE33" t="s">
        <v>3</v>
      </c>
      <c r="DF33">
        <f>ROUND(ROUND(AE33,2)*CX33,2)</f>
        <v>0</v>
      </c>
      <c r="DG33">
        <f t="shared" si="15"/>
        <v>0</v>
      </c>
      <c r="DH33">
        <f t="shared" si="16"/>
        <v>0</v>
      </c>
      <c r="DI33">
        <f t="shared" ref="DI33:DI64" si="21">ROUND(ROUND(AH33,2)*CX33,2)</f>
        <v>0</v>
      </c>
      <c r="DJ33">
        <f t="shared" si="17"/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ROW(Source!A75)</f>
        <v>75</v>
      </c>
      <c r="B34">
        <v>84186534</v>
      </c>
      <c r="C34">
        <v>84186880</v>
      </c>
      <c r="D34">
        <v>37744198</v>
      </c>
      <c r="E34">
        <v>1</v>
      </c>
      <c r="F34">
        <v>1</v>
      </c>
      <c r="G34">
        <v>1</v>
      </c>
      <c r="H34">
        <v>3</v>
      </c>
      <c r="I34" t="s">
        <v>133</v>
      </c>
      <c r="J34" t="s">
        <v>135</v>
      </c>
      <c r="K34" t="s">
        <v>134</v>
      </c>
      <c r="L34">
        <v>1354</v>
      </c>
      <c r="N34">
        <v>1010</v>
      </c>
      <c r="O34" t="s">
        <v>126</v>
      </c>
      <c r="P34" t="s">
        <v>126</v>
      </c>
      <c r="Q34">
        <v>1</v>
      </c>
      <c r="W34">
        <v>0</v>
      </c>
      <c r="X34">
        <v>1139075706</v>
      </c>
      <c r="Y34">
        <f t="shared" si="18"/>
        <v>0.1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0</v>
      </c>
      <c r="AN34">
        <v>0</v>
      </c>
      <c r="AO34">
        <v>0</v>
      </c>
      <c r="AP34">
        <v>1</v>
      </c>
      <c r="AQ34">
        <v>0</v>
      </c>
      <c r="AR34">
        <v>0</v>
      </c>
      <c r="AS34" t="s">
        <v>3</v>
      </c>
      <c r="AT34">
        <v>0.1</v>
      </c>
      <c r="AU34" t="s">
        <v>3</v>
      </c>
      <c r="AV34">
        <v>0</v>
      </c>
      <c r="AW34">
        <v>2</v>
      </c>
      <c r="AX34">
        <v>84186912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ROUND(Y34*Source!I75,9)</f>
        <v>0.1</v>
      </c>
      <c r="CY34">
        <f t="shared" si="12"/>
        <v>0</v>
      </c>
      <c r="CZ34">
        <f t="shared" si="13"/>
        <v>0</v>
      </c>
      <c r="DA34">
        <f t="shared" si="14"/>
        <v>1</v>
      </c>
      <c r="DB34">
        <f t="shared" si="19"/>
        <v>0</v>
      </c>
      <c r="DC34">
        <f t="shared" si="20"/>
        <v>0</v>
      </c>
      <c r="DD34" t="s">
        <v>3</v>
      </c>
      <c r="DE34" t="s">
        <v>3</v>
      </c>
      <c r="DF34">
        <f>ROUND(ROUND(AE34,2)*CX34,2)</f>
        <v>0</v>
      </c>
      <c r="DG34">
        <f t="shared" si="15"/>
        <v>0</v>
      </c>
      <c r="DH34">
        <f t="shared" si="16"/>
        <v>0</v>
      </c>
      <c r="DI34">
        <f t="shared" si="21"/>
        <v>0</v>
      </c>
      <c r="DJ34">
        <f t="shared" si="17"/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ROW(Source!A75)</f>
        <v>75</v>
      </c>
      <c r="B35">
        <v>84186534</v>
      </c>
      <c r="C35">
        <v>84186880</v>
      </c>
      <c r="D35">
        <v>37745010</v>
      </c>
      <c r="E35">
        <v>1</v>
      </c>
      <c r="F35">
        <v>1</v>
      </c>
      <c r="G35">
        <v>1</v>
      </c>
      <c r="H35">
        <v>3</v>
      </c>
      <c r="I35" t="s">
        <v>457</v>
      </c>
      <c r="J35" t="s">
        <v>458</v>
      </c>
      <c r="K35" t="s">
        <v>459</v>
      </c>
      <c r="L35">
        <v>1348</v>
      </c>
      <c r="N35">
        <v>1009</v>
      </c>
      <c r="O35" t="s">
        <v>117</v>
      </c>
      <c r="P35" t="s">
        <v>117</v>
      </c>
      <c r="Q35">
        <v>1000</v>
      </c>
      <c r="W35">
        <v>0</v>
      </c>
      <c r="X35">
        <v>911236404</v>
      </c>
      <c r="Y35">
        <f t="shared" si="18"/>
        <v>1E-4</v>
      </c>
      <c r="AA35">
        <v>85854.59</v>
      </c>
      <c r="AB35">
        <v>0</v>
      </c>
      <c r="AC35">
        <v>0</v>
      </c>
      <c r="AD35">
        <v>0</v>
      </c>
      <c r="AE35">
        <v>9550.01</v>
      </c>
      <c r="AF35">
        <v>0</v>
      </c>
      <c r="AG35">
        <v>0</v>
      </c>
      <c r="AH35">
        <v>0</v>
      </c>
      <c r="AI35">
        <v>8.99</v>
      </c>
      <c r="AJ35">
        <v>1</v>
      </c>
      <c r="AK35">
        <v>1</v>
      </c>
      <c r="AL35">
        <v>1</v>
      </c>
      <c r="AM35">
        <v>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1E-4</v>
      </c>
      <c r="AU35" t="s">
        <v>3</v>
      </c>
      <c r="AV35">
        <v>0</v>
      </c>
      <c r="AW35">
        <v>2</v>
      </c>
      <c r="AX35">
        <v>84186913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ROUND(Y35*Source!I75,9)</f>
        <v>1E-4</v>
      </c>
      <c r="CY35">
        <f t="shared" si="12"/>
        <v>85854.59</v>
      </c>
      <c r="CZ35">
        <f t="shared" si="13"/>
        <v>9550.01</v>
      </c>
      <c r="DA35">
        <f t="shared" si="14"/>
        <v>8.99</v>
      </c>
      <c r="DB35">
        <f t="shared" si="19"/>
        <v>0.96</v>
      </c>
      <c r="DC35">
        <f t="shared" si="20"/>
        <v>0</v>
      </c>
      <c r="DD35" t="s">
        <v>3</v>
      </c>
      <c r="DE35" t="s">
        <v>3</v>
      </c>
      <c r="DF35">
        <f>ROUND(ROUND(AE35*AI35,2)*CX35,2)</f>
        <v>8.59</v>
      </c>
      <c r="DG35">
        <f t="shared" si="15"/>
        <v>0</v>
      </c>
      <c r="DH35">
        <f t="shared" si="16"/>
        <v>0</v>
      </c>
      <c r="DI35">
        <f t="shared" si="21"/>
        <v>0</v>
      </c>
      <c r="DJ35">
        <f t="shared" si="17"/>
        <v>8.59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ROW(Source!A75)</f>
        <v>75</v>
      </c>
      <c r="B36">
        <v>84186534</v>
      </c>
      <c r="C36">
        <v>84186880</v>
      </c>
      <c r="D36">
        <v>37750429</v>
      </c>
      <c r="E36">
        <v>1</v>
      </c>
      <c r="F36">
        <v>1</v>
      </c>
      <c r="G36">
        <v>1</v>
      </c>
      <c r="H36">
        <v>3</v>
      </c>
      <c r="I36" t="s">
        <v>137</v>
      </c>
      <c r="J36" t="s">
        <v>140</v>
      </c>
      <c r="K36" t="s">
        <v>138</v>
      </c>
      <c r="L36">
        <v>1346</v>
      </c>
      <c r="N36">
        <v>1009</v>
      </c>
      <c r="O36" t="s">
        <v>139</v>
      </c>
      <c r="P36" t="s">
        <v>139</v>
      </c>
      <c r="Q36">
        <v>1</v>
      </c>
      <c r="W36">
        <v>0</v>
      </c>
      <c r="X36">
        <v>-1695541033</v>
      </c>
      <c r="Y36">
        <f t="shared" si="18"/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0</v>
      </c>
      <c r="AN36">
        <v>1</v>
      </c>
      <c r="AO36">
        <v>0</v>
      </c>
      <c r="AP36">
        <v>1</v>
      </c>
      <c r="AQ36">
        <v>0</v>
      </c>
      <c r="AR36">
        <v>0</v>
      </c>
      <c r="AS36" t="s">
        <v>3</v>
      </c>
      <c r="AT36">
        <v>0</v>
      </c>
      <c r="AU36" t="s">
        <v>3</v>
      </c>
      <c r="AV36">
        <v>0</v>
      </c>
      <c r="AW36">
        <v>2</v>
      </c>
      <c r="AX36">
        <v>84186914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ROUND(Y36*Source!I75,9)</f>
        <v>0</v>
      </c>
      <c r="CY36">
        <f t="shared" si="12"/>
        <v>0</v>
      </c>
      <c r="CZ36">
        <f t="shared" si="13"/>
        <v>0</v>
      </c>
      <c r="DA36">
        <f t="shared" si="14"/>
        <v>1</v>
      </c>
      <c r="DB36">
        <f t="shared" si="19"/>
        <v>0</v>
      </c>
      <c r="DC36">
        <f t="shared" si="20"/>
        <v>0</v>
      </c>
      <c r="DD36" t="s">
        <v>3</v>
      </c>
      <c r="DE36" t="s">
        <v>3</v>
      </c>
      <c r="DF36">
        <f>ROUND(ROUND(AE36,2)*CX36,2)</f>
        <v>0</v>
      </c>
      <c r="DG36">
        <f t="shared" si="15"/>
        <v>0</v>
      </c>
      <c r="DH36">
        <f t="shared" si="16"/>
        <v>0</v>
      </c>
      <c r="DI36">
        <f t="shared" si="21"/>
        <v>0</v>
      </c>
      <c r="DJ36">
        <f t="shared" si="17"/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ROW(Source!A75)</f>
        <v>75</v>
      </c>
      <c r="B37">
        <v>84186534</v>
      </c>
      <c r="C37">
        <v>84186880</v>
      </c>
      <c r="D37">
        <v>37751168</v>
      </c>
      <c r="E37">
        <v>1</v>
      </c>
      <c r="F37">
        <v>1</v>
      </c>
      <c r="G37">
        <v>1</v>
      </c>
      <c r="H37">
        <v>3</v>
      </c>
      <c r="I37" t="s">
        <v>142</v>
      </c>
      <c r="J37" t="s">
        <v>144</v>
      </c>
      <c r="K37" t="s">
        <v>143</v>
      </c>
      <c r="L37">
        <v>1346</v>
      </c>
      <c r="N37">
        <v>1009</v>
      </c>
      <c r="O37" t="s">
        <v>139</v>
      </c>
      <c r="P37" t="s">
        <v>139</v>
      </c>
      <c r="Q37">
        <v>1</v>
      </c>
      <c r="W37">
        <v>0</v>
      </c>
      <c r="X37">
        <v>-2040775826</v>
      </c>
      <c r="Y37">
        <f t="shared" si="18"/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0</v>
      </c>
      <c r="AN37">
        <v>1</v>
      </c>
      <c r="AO37">
        <v>0</v>
      </c>
      <c r="AP37">
        <v>1</v>
      </c>
      <c r="AQ37">
        <v>0</v>
      </c>
      <c r="AR37">
        <v>0</v>
      </c>
      <c r="AS37" t="s">
        <v>3</v>
      </c>
      <c r="AT37">
        <v>0</v>
      </c>
      <c r="AU37" t="s">
        <v>3</v>
      </c>
      <c r="AV37">
        <v>0</v>
      </c>
      <c r="AW37">
        <v>2</v>
      </c>
      <c r="AX37">
        <v>84186915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ROUND(Y37*Source!I75,9)</f>
        <v>0</v>
      </c>
      <c r="CY37">
        <f t="shared" si="12"/>
        <v>0</v>
      </c>
      <c r="CZ37">
        <f t="shared" si="13"/>
        <v>0</v>
      </c>
      <c r="DA37">
        <f t="shared" si="14"/>
        <v>1</v>
      </c>
      <c r="DB37">
        <f t="shared" si="19"/>
        <v>0</v>
      </c>
      <c r="DC37">
        <f t="shared" si="20"/>
        <v>0</v>
      </c>
      <c r="DD37" t="s">
        <v>3</v>
      </c>
      <c r="DE37" t="s">
        <v>3</v>
      </c>
      <c r="DF37">
        <f>ROUND(ROUND(AE37,2)*CX37,2)</f>
        <v>0</v>
      </c>
      <c r="DG37">
        <f t="shared" si="15"/>
        <v>0</v>
      </c>
      <c r="DH37">
        <f t="shared" si="16"/>
        <v>0</v>
      </c>
      <c r="DI37">
        <f t="shared" si="21"/>
        <v>0</v>
      </c>
      <c r="DJ37">
        <f t="shared" si="17"/>
        <v>0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ROW(Source!A75)</f>
        <v>75</v>
      </c>
      <c r="B38">
        <v>84186534</v>
      </c>
      <c r="C38">
        <v>84186880</v>
      </c>
      <c r="D38">
        <v>37750801</v>
      </c>
      <c r="E38">
        <v>1</v>
      </c>
      <c r="F38">
        <v>1</v>
      </c>
      <c r="G38">
        <v>1</v>
      </c>
      <c r="H38">
        <v>3</v>
      </c>
      <c r="I38" t="s">
        <v>146</v>
      </c>
      <c r="J38" t="s">
        <v>148</v>
      </c>
      <c r="K38" t="s">
        <v>147</v>
      </c>
      <c r="L38">
        <v>1348</v>
      </c>
      <c r="N38">
        <v>1009</v>
      </c>
      <c r="O38" t="s">
        <v>117</v>
      </c>
      <c r="P38" t="s">
        <v>117</v>
      </c>
      <c r="Q38">
        <v>1000</v>
      </c>
      <c r="W38">
        <v>0</v>
      </c>
      <c r="X38">
        <v>-388174517</v>
      </c>
      <c r="Y38">
        <f t="shared" si="18"/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0</v>
      </c>
      <c r="AN38">
        <v>1</v>
      </c>
      <c r="AO38">
        <v>0</v>
      </c>
      <c r="AP38">
        <v>1</v>
      </c>
      <c r="AQ38">
        <v>0</v>
      </c>
      <c r="AR38">
        <v>0</v>
      </c>
      <c r="AS38" t="s">
        <v>3</v>
      </c>
      <c r="AT38">
        <v>0</v>
      </c>
      <c r="AU38" t="s">
        <v>3</v>
      </c>
      <c r="AV38">
        <v>0</v>
      </c>
      <c r="AW38">
        <v>2</v>
      </c>
      <c r="AX38">
        <v>84186916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ROUND(Y38*Source!I75,9)</f>
        <v>0</v>
      </c>
      <c r="CY38">
        <f t="shared" si="12"/>
        <v>0</v>
      </c>
      <c r="CZ38">
        <f t="shared" si="13"/>
        <v>0</v>
      </c>
      <c r="DA38">
        <f t="shared" si="14"/>
        <v>1</v>
      </c>
      <c r="DB38">
        <f t="shared" si="19"/>
        <v>0</v>
      </c>
      <c r="DC38">
        <f t="shared" si="20"/>
        <v>0</v>
      </c>
      <c r="DD38" t="s">
        <v>3</v>
      </c>
      <c r="DE38" t="s">
        <v>3</v>
      </c>
      <c r="DF38">
        <f>ROUND(ROUND(AE38,2)*CX38,2)</f>
        <v>0</v>
      </c>
      <c r="DG38">
        <f t="shared" si="15"/>
        <v>0</v>
      </c>
      <c r="DH38">
        <f t="shared" si="16"/>
        <v>0</v>
      </c>
      <c r="DI38">
        <f t="shared" si="21"/>
        <v>0</v>
      </c>
      <c r="DJ38">
        <f t="shared" si="17"/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ROW(Source!A75)</f>
        <v>75</v>
      </c>
      <c r="B39">
        <v>84186534</v>
      </c>
      <c r="C39">
        <v>84186880</v>
      </c>
      <c r="D39">
        <v>37775906</v>
      </c>
      <c r="E39">
        <v>1</v>
      </c>
      <c r="F39">
        <v>1</v>
      </c>
      <c r="G39">
        <v>1</v>
      </c>
      <c r="H39">
        <v>3</v>
      </c>
      <c r="I39" t="s">
        <v>150</v>
      </c>
      <c r="J39" t="s">
        <v>152</v>
      </c>
      <c r="K39" t="s">
        <v>151</v>
      </c>
      <c r="L39">
        <v>1354</v>
      </c>
      <c r="N39">
        <v>1010</v>
      </c>
      <c r="O39" t="s">
        <v>126</v>
      </c>
      <c r="P39" t="s">
        <v>126</v>
      </c>
      <c r="Q39">
        <v>1</v>
      </c>
      <c r="W39">
        <v>0</v>
      </c>
      <c r="X39">
        <v>-744192612</v>
      </c>
      <c r="Y39">
        <f t="shared" si="18"/>
        <v>0</v>
      </c>
      <c r="AA39">
        <v>19557.82</v>
      </c>
      <c r="AB39">
        <v>0</v>
      </c>
      <c r="AC39">
        <v>0</v>
      </c>
      <c r="AD39">
        <v>0</v>
      </c>
      <c r="AE39">
        <v>2074</v>
      </c>
      <c r="AF39">
        <v>0</v>
      </c>
      <c r="AG39">
        <v>0</v>
      </c>
      <c r="AH39">
        <v>0</v>
      </c>
      <c r="AI39">
        <v>9.43</v>
      </c>
      <c r="AJ39">
        <v>1</v>
      </c>
      <c r="AK39">
        <v>1</v>
      </c>
      <c r="AL39">
        <v>1</v>
      </c>
      <c r="AM39">
        <v>0</v>
      </c>
      <c r="AN39">
        <v>1</v>
      </c>
      <c r="AO39">
        <v>0</v>
      </c>
      <c r="AP39">
        <v>1</v>
      </c>
      <c r="AQ39">
        <v>0</v>
      </c>
      <c r="AR39">
        <v>0</v>
      </c>
      <c r="AS39" t="s">
        <v>3</v>
      </c>
      <c r="AT39">
        <v>0</v>
      </c>
      <c r="AU39" t="s">
        <v>3</v>
      </c>
      <c r="AV39">
        <v>0</v>
      </c>
      <c r="AW39">
        <v>2</v>
      </c>
      <c r="AX39">
        <v>84186917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ROUND(Y39*Source!I75,9)</f>
        <v>0</v>
      </c>
      <c r="CY39">
        <f t="shared" si="12"/>
        <v>19557.82</v>
      </c>
      <c r="CZ39">
        <f t="shared" si="13"/>
        <v>2074</v>
      </c>
      <c r="DA39">
        <f t="shared" si="14"/>
        <v>9.43</v>
      </c>
      <c r="DB39">
        <f t="shared" si="19"/>
        <v>0</v>
      </c>
      <c r="DC39">
        <f t="shared" si="20"/>
        <v>0</v>
      </c>
      <c r="DD39" t="s">
        <v>3</v>
      </c>
      <c r="DE39" t="s">
        <v>3</v>
      </c>
      <c r="DF39">
        <f>ROUND(ROUND(AE39*AI39,2)*CX39,2)</f>
        <v>0</v>
      </c>
      <c r="DG39">
        <f t="shared" si="15"/>
        <v>0</v>
      </c>
      <c r="DH39">
        <f t="shared" si="16"/>
        <v>0</v>
      </c>
      <c r="DI39">
        <f t="shared" si="21"/>
        <v>0</v>
      </c>
      <c r="DJ39">
        <f t="shared" si="17"/>
        <v>0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ROW(Source!A75)</f>
        <v>75</v>
      </c>
      <c r="B40">
        <v>84186534</v>
      </c>
      <c r="C40">
        <v>84186880</v>
      </c>
      <c r="D40">
        <v>37792552</v>
      </c>
      <c r="E40">
        <v>1</v>
      </c>
      <c r="F40">
        <v>1</v>
      </c>
      <c r="G40">
        <v>1</v>
      </c>
      <c r="H40">
        <v>3</v>
      </c>
      <c r="I40" t="s">
        <v>460</v>
      </c>
      <c r="J40" t="s">
        <v>461</v>
      </c>
      <c r="K40" t="s">
        <v>462</v>
      </c>
      <c r="L40">
        <v>1354</v>
      </c>
      <c r="N40">
        <v>1010</v>
      </c>
      <c r="O40" t="s">
        <v>126</v>
      </c>
      <c r="P40" t="s">
        <v>126</v>
      </c>
      <c r="Q40">
        <v>1</v>
      </c>
      <c r="W40">
        <v>0</v>
      </c>
      <c r="X40">
        <v>1199042919</v>
      </c>
      <c r="Y40">
        <f t="shared" si="18"/>
        <v>6</v>
      </c>
      <c r="AA40">
        <v>15.19</v>
      </c>
      <c r="AB40">
        <v>0</v>
      </c>
      <c r="AC40">
        <v>0</v>
      </c>
      <c r="AD40">
        <v>0</v>
      </c>
      <c r="AE40">
        <v>6.2</v>
      </c>
      <c r="AF40">
        <v>0</v>
      </c>
      <c r="AG40">
        <v>0</v>
      </c>
      <c r="AH40">
        <v>0</v>
      </c>
      <c r="AI40">
        <v>2.4500000000000002</v>
      </c>
      <c r="AJ40">
        <v>1</v>
      </c>
      <c r="AK40">
        <v>1</v>
      </c>
      <c r="AL40">
        <v>1</v>
      </c>
      <c r="AM40">
        <v>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6</v>
      </c>
      <c r="AU40" t="s">
        <v>3</v>
      </c>
      <c r="AV40">
        <v>0</v>
      </c>
      <c r="AW40">
        <v>2</v>
      </c>
      <c r="AX40">
        <v>84186918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ROUND(Y40*Source!I75,9)</f>
        <v>6</v>
      </c>
      <c r="CY40">
        <f t="shared" si="12"/>
        <v>15.19</v>
      </c>
      <c r="CZ40">
        <f t="shared" si="13"/>
        <v>6.2</v>
      </c>
      <c r="DA40">
        <f t="shared" si="14"/>
        <v>2.4500000000000002</v>
      </c>
      <c r="DB40">
        <f t="shared" si="19"/>
        <v>37.200000000000003</v>
      </c>
      <c r="DC40">
        <f t="shared" si="20"/>
        <v>0</v>
      </c>
      <c r="DD40" t="s">
        <v>3</v>
      </c>
      <c r="DE40" t="s">
        <v>3</v>
      </c>
      <c r="DF40">
        <f>ROUND(ROUND(AE40*AI40,2)*CX40,2)</f>
        <v>91.14</v>
      </c>
      <c r="DG40">
        <f t="shared" si="15"/>
        <v>0</v>
      </c>
      <c r="DH40">
        <f t="shared" si="16"/>
        <v>0</v>
      </c>
      <c r="DI40">
        <f t="shared" si="21"/>
        <v>0</v>
      </c>
      <c r="DJ40">
        <f t="shared" si="17"/>
        <v>91.14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ROW(Source!A96)</f>
        <v>96</v>
      </c>
      <c r="B41">
        <v>84186534</v>
      </c>
      <c r="C41">
        <v>84186939</v>
      </c>
      <c r="D41">
        <v>23129536</v>
      </c>
      <c r="E41">
        <v>1</v>
      </c>
      <c r="F41">
        <v>1</v>
      </c>
      <c r="G41">
        <v>1</v>
      </c>
      <c r="H41">
        <v>1</v>
      </c>
      <c r="I41" t="s">
        <v>440</v>
      </c>
      <c r="J41" t="s">
        <v>3</v>
      </c>
      <c r="K41" t="s">
        <v>441</v>
      </c>
      <c r="L41">
        <v>1369</v>
      </c>
      <c r="N41">
        <v>1013</v>
      </c>
      <c r="O41" t="s">
        <v>388</v>
      </c>
      <c r="P41" t="s">
        <v>388</v>
      </c>
      <c r="Q41">
        <v>1</v>
      </c>
      <c r="W41">
        <v>0</v>
      </c>
      <c r="X41">
        <v>1663406391</v>
      </c>
      <c r="Y41">
        <f t="shared" si="18"/>
        <v>4.29</v>
      </c>
      <c r="AA41">
        <v>0</v>
      </c>
      <c r="AB41">
        <v>0</v>
      </c>
      <c r="AC41">
        <v>0</v>
      </c>
      <c r="AD41">
        <v>8.2799999999999994</v>
      </c>
      <c r="AE41">
        <v>0</v>
      </c>
      <c r="AF41">
        <v>0</v>
      </c>
      <c r="AG41">
        <v>0</v>
      </c>
      <c r="AH41">
        <v>8.2799999999999994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4.29</v>
      </c>
      <c r="AU41" t="s">
        <v>3</v>
      </c>
      <c r="AV41">
        <v>1</v>
      </c>
      <c r="AW41">
        <v>2</v>
      </c>
      <c r="AX41">
        <v>84186954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U41">
        <f>ROUND(AT41*Source!I96*AH41*AL41,2)</f>
        <v>35.520000000000003</v>
      </c>
      <c r="CV41">
        <f>ROUND(Y41*Source!I96,9)</f>
        <v>4.29</v>
      </c>
      <c r="CW41">
        <v>0</v>
      </c>
      <c r="CX41">
        <f>ROUND(Y41*Source!I96,9)</f>
        <v>4.29</v>
      </c>
      <c r="CY41">
        <f>AD41</f>
        <v>8.2799999999999994</v>
      </c>
      <c r="CZ41">
        <f>AH41</f>
        <v>8.2799999999999994</v>
      </c>
      <c r="DA41">
        <f>AL41</f>
        <v>1</v>
      </c>
      <c r="DB41">
        <f t="shared" si="19"/>
        <v>35.520000000000003</v>
      </c>
      <c r="DC41">
        <f t="shared" si="20"/>
        <v>0</v>
      </c>
      <c r="DD41" t="s">
        <v>3</v>
      </c>
      <c r="DE41" t="s">
        <v>3</v>
      </c>
      <c r="DF41">
        <f>ROUND(ROUND(AE41,2)*CX41,2)</f>
        <v>0</v>
      </c>
      <c r="DG41">
        <f t="shared" si="15"/>
        <v>0</v>
      </c>
      <c r="DH41">
        <f t="shared" si="16"/>
        <v>0</v>
      </c>
      <c r="DI41">
        <f t="shared" si="21"/>
        <v>35.520000000000003</v>
      </c>
      <c r="DJ41">
        <f>DI41</f>
        <v>35.520000000000003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ROW(Source!A96)</f>
        <v>96</v>
      </c>
      <c r="B42">
        <v>84186534</v>
      </c>
      <c r="C42">
        <v>84186939</v>
      </c>
      <c r="D42">
        <v>121548</v>
      </c>
      <c r="E42">
        <v>1</v>
      </c>
      <c r="F42">
        <v>1</v>
      </c>
      <c r="G42">
        <v>1</v>
      </c>
      <c r="H42">
        <v>1</v>
      </c>
      <c r="I42" t="s">
        <v>95</v>
      </c>
      <c r="J42" t="s">
        <v>3</v>
      </c>
      <c r="K42" t="s">
        <v>389</v>
      </c>
      <c r="L42">
        <v>608254</v>
      </c>
      <c r="N42">
        <v>1013</v>
      </c>
      <c r="O42" t="s">
        <v>390</v>
      </c>
      <c r="P42" t="s">
        <v>390</v>
      </c>
      <c r="Q42">
        <v>1</v>
      </c>
      <c r="W42">
        <v>0</v>
      </c>
      <c r="X42">
        <v>-185737400</v>
      </c>
      <c r="Y42">
        <f t="shared" si="18"/>
        <v>0.97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0.97</v>
      </c>
      <c r="AU42" t="s">
        <v>3</v>
      </c>
      <c r="AV42">
        <v>2</v>
      </c>
      <c r="AW42">
        <v>2</v>
      </c>
      <c r="AX42">
        <v>84186955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ROUND(Y42*Source!I96,9)</f>
        <v>0.97</v>
      </c>
      <c r="CY42">
        <f>AD42</f>
        <v>0</v>
      </c>
      <c r="CZ42">
        <f>AH42</f>
        <v>0</v>
      </c>
      <c r="DA42">
        <f>AL42</f>
        <v>1</v>
      </c>
      <c r="DB42">
        <f t="shared" si="19"/>
        <v>0</v>
      </c>
      <c r="DC42">
        <f t="shared" si="20"/>
        <v>0</v>
      </c>
      <c r="DD42" t="s">
        <v>3</v>
      </c>
      <c r="DE42" t="s">
        <v>3</v>
      </c>
      <c r="DF42">
        <f>ROUND(ROUND(AE42,2)*CX42,2)</f>
        <v>0</v>
      </c>
      <c r="DG42">
        <f t="shared" si="15"/>
        <v>0</v>
      </c>
      <c r="DH42">
        <f t="shared" si="16"/>
        <v>0</v>
      </c>
      <c r="DI42">
        <f t="shared" si="21"/>
        <v>0</v>
      </c>
      <c r="DJ42">
        <f>DI42</f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ROW(Source!A96)</f>
        <v>96</v>
      </c>
      <c r="B43">
        <v>84186534</v>
      </c>
      <c r="C43">
        <v>84186939</v>
      </c>
      <c r="D43">
        <v>37802579</v>
      </c>
      <c r="E43">
        <v>1</v>
      </c>
      <c r="F43">
        <v>1</v>
      </c>
      <c r="G43">
        <v>1</v>
      </c>
      <c r="H43">
        <v>2</v>
      </c>
      <c r="I43" t="s">
        <v>391</v>
      </c>
      <c r="J43" t="s">
        <v>392</v>
      </c>
      <c r="K43" t="s">
        <v>393</v>
      </c>
      <c r="L43">
        <v>1368</v>
      </c>
      <c r="N43">
        <v>1011</v>
      </c>
      <c r="O43" t="s">
        <v>394</v>
      </c>
      <c r="P43" t="s">
        <v>394</v>
      </c>
      <c r="Q43">
        <v>1</v>
      </c>
      <c r="W43">
        <v>0</v>
      </c>
      <c r="X43">
        <v>1698075389</v>
      </c>
      <c r="Y43">
        <f t="shared" si="18"/>
        <v>0.97</v>
      </c>
      <c r="AA43">
        <v>0</v>
      </c>
      <c r="AB43">
        <v>898.36</v>
      </c>
      <c r="AC43">
        <v>317.43</v>
      </c>
      <c r="AD43">
        <v>0</v>
      </c>
      <c r="AE43">
        <v>0</v>
      </c>
      <c r="AF43">
        <v>85.64</v>
      </c>
      <c r="AG43">
        <v>9</v>
      </c>
      <c r="AH43">
        <v>0</v>
      </c>
      <c r="AI43">
        <v>1</v>
      </c>
      <c r="AJ43">
        <v>10.49</v>
      </c>
      <c r="AK43">
        <v>35.270000000000003</v>
      </c>
      <c r="AL43">
        <v>1</v>
      </c>
      <c r="AM43">
        <v>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0.97</v>
      </c>
      <c r="AU43" t="s">
        <v>3</v>
      </c>
      <c r="AV43">
        <v>0</v>
      </c>
      <c r="AW43">
        <v>2</v>
      </c>
      <c r="AX43">
        <v>84186956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f>ROUND(Y43*Source!I96*DO43,9)</f>
        <v>0</v>
      </c>
      <c r="CX43">
        <f>ROUND(Y43*Source!I96,9)</f>
        <v>0.97</v>
      </c>
      <c r="CY43">
        <f>AB43</f>
        <v>898.36</v>
      </c>
      <c r="CZ43">
        <f>AF43</f>
        <v>85.64</v>
      </c>
      <c r="DA43">
        <f>AJ43</f>
        <v>10.49</v>
      </c>
      <c r="DB43">
        <f t="shared" si="19"/>
        <v>83.07</v>
      </c>
      <c r="DC43">
        <f t="shared" si="20"/>
        <v>8.73</v>
      </c>
      <c r="DD43" t="s">
        <v>3</v>
      </c>
      <c r="DE43" t="s">
        <v>3</v>
      </c>
      <c r="DF43">
        <f>ROUND(ROUND(AE43,2)*CX43,2)</f>
        <v>0</v>
      </c>
      <c r="DG43">
        <f>ROUND(ROUND(AF43*AJ43,2)*CX43,2)</f>
        <v>871.41</v>
      </c>
      <c r="DH43">
        <f>ROUND(ROUND(AG43*AK43,2)*CX43,2)</f>
        <v>307.91000000000003</v>
      </c>
      <c r="DI43">
        <f t="shared" si="21"/>
        <v>0</v>
      </c>
      <c r="DJ43">
        <f>DG43</f>
        <v>871.41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ROW(Source!A96)</f>
        <v>96</v>
      </c>
      <c r="B44">
        <v>84186534</v>
      </c>
      <c r="C44">
        <v>84186939</v>
      </c>
      <c r="D44">
        <v>37804456</v>
      </c>
      <c r="E44">
        <v>1</v>
      </c>
      <c r="F44">
        <v>1</v>
      </c>
      <c r="G44">
        <v>1</v>
      </c>
      <c r="H44">
        <v>2</v>
      </c>
      <c r="I44" t="s">
        <v>395</v>
      </c>
      <c r="J44" t="s">
        <v>396</v>
      </c>
      <c r="K44" t="s">
        <v>397</v>
      </c>
      <c r="L44">
        <v>1368</v>
      </c>
      <c r="N44">
        <v>1011</v>
      </c>
      <c r="O44" t="s">
        <v>394</v>
      </c>
      <c r="P44" t="s">
        <v>394</v>
      </c>
      <c r="Q44">
        <v>1</v>
      </c>
      <c r="W44">
        <v>0</v>
      </c>
      <c r="X44">
        <v>-671646184</v>
      </c>
      <c r="Y44">
        <f t="shared" si="18"/>
        <v>0.22</v>
      </c>
      <c r="AA44">
        <v>0</v>
      </c>
      <c r="AB44">
        <v>1305.74</v>
      </c>
      <c r="AC44">
        <v>365.04</v>
      </c>
      <c r="AD44">
        <v>0</v>
      </c>
      <c r="AE44">
        <v>0</v>
      </c>
      <c r="AF44">
        <v>91.76</v>
      </c>
      <c r="AG44">
        <v>10.35</v>
      </c>
      <c r="AH44">
        <v>0</v>
      </c>
      <c r="AI44">
        <v>1</v>
      </c>
      <c r="AJ44">
        <v>14.23</v>
      </c>
      <c r="AK44">
        <v>35.270000000000003</v>
      </c>
      <c r="AL44">
        <v>1</v>
      </c>
      <c r="AM44">
        <v>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0.22</v>
      </c>
      <c r="AU44" t="s">
        <v>3</v>
      </c>
      <c r="AV44">
        <v>0</v>
      </c>
      <c r="AW44">
        <v>2</v>
      </c>
      <c r="AX44">
        <v>84186957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f>ROUND(Y44*Source!I96*DO44,9)</f>
        <v>0</v>
      </c>
      <c r="CX44">
        <f>ROUND(Y44*Source!I96,9)</f>
        <v>0.22</v>
      </c>
      <c r="CY44">
        <f>AB44</f>
        <v>1305.74</v>
      </c>
      <c r="CZ44">
        <f>AF44</f>
        <v>91.76</v>
      </c>
      <c r="DA44">
        <f>AJ44</f>
        <v>14.23</v>
      </c>
      <c r="DB44">
        <f t="shared" si="19"/>
        <v>20.190000000000001</v>
      </c>
      <c r="DC44">
        <f t="shared" si="20"/>
        <v>2.2799999999999998</v>
      </c>
      <c r="DD44" t="s">
        <v>3</v>
      </c>
      <c r="DE44" t="s">
        <v>3</v>
      </c>
      <c r="DF44">
        <f>ROUND(ROUND(AE44,2)*CX44,2)</f>
        <v>0</v>
      </c>
      <c r="DG44">
        <f>ROUND(ROUND(AF44*AJ44,2)*CX44,2)</f>
        <v>287.26</v>
      </c>
      <c r="DH44">
        <f>ROUND(ROUND(AG44*AK44,2)*CX44,2)</f>
        <v>80.31</v>
      </c>
      <c r="DI44">
        <f t="shared" si="21"/>
        <v>0</v>
      </c>
      <c r="DJ44">
        <f>DG44</f>
        <v>287.26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ROW(Source!A96)</f>
        <v>96</v>
      </c>
      <c r="B45">
        <v>84186534</v>
      </c>
      <c r="C45">
        <v>84186939</v>
      </c>
      <c r="D45">
        <v>37729879</v>
      </c>
      <c r="E45">
        <v>1</v>
      </c>
      <c r="F45">
        <v>1</v>
      </c>
      <c r="G45">
        <v>1</v>
      </c>
      <c r="H45">
        <v>3</v>
      </c>
      <c r="I45" t="s">
        <v>448</v>
      </c>
      <c r="J45" t="s">
        <v>449</v>
      </c>
      <c r="K45" t="s">
        <v>450</v>
      </c>
      <c r="L45">
        <v>1348</v>
      </c>
      <c r="N45">
        <v>1009</v>
      </c>
      <c r="O45" t="s">
        <v>117</v>
      </c>
      <c r="P45" t="s">
        <v>117</v>
      </c>
      <c r="Q45">
        <v>1000</v>
      </c>
      <c r="W45">
        <v>0</v>
      </c>
      <c r="X45">
        <v>-1121770783</v>
      </c>
      <c r="Y45">
        <f t="shared" si="18"/>
        <v>3.0000000000000001E-5</v>
      </c>
      <c r="AA45">
        <v>163867.51999999999</v>
      </c>
      <c r="AB45">
        <v>0</v>
      </c>
      <c r="AC45">
        <v>0</v>
      </c>
      <c r="AD45">
        <v>0</v>
      </c>
      <c r="AE45">
        <v>9662</v>
      </c>
      <c r="AF45">
        <v>0</v>
      </c>
      <c r="AG45">
        <v>0</v>
      </c>
      <c r="AH45">
        <v>0</v>
      </c>
      <c r="AI45">
        <v>16.96</v>
      </c>
      <c r="AJ45">
        <v>1</v>
      </c>
      <c r="AK45">
        <v>1</v>
      </c>
      <c r="AL45">
        <v>1</v>
      </c>
      <c r="AM45">
        <v>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3.0000000000000001E-5</v>
      </c>
      <c r="AU45" t="s">
        <v>3</v>
      </c>
      <c r="AV45">
        <v>0</v>
      </c>
      <c r="AW45">
        <v>2</v>
      </c>
      <c r="AX45">
        <v>84186958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ROUND(Y45*Source!I96,9)</f>
        <v>3.0000000000000001E-5</v>
      </c>
      <c r="CY45">
        <f t="shared" ref="CY45:CY54" si="22">AA45</f>
        <v>163867.51999999999</v>
      </c>
      <c r="CZ45">
        <f t="shared" ref="CZ45:CZ54" si="23">AE45</f>
        <v>9662</v>
      </c>
      <c r="DA45">
        <f t="shared" ref="DA45:DA54" si="24">AI45</f>
        <v>16.96</v>
      </c>
      <c r="DB45">
        <f t="shared" si="19"/>
        <v>0.28999999999999998</v>
      </c>
      <c r="DC45">
        <f t="shared" si="20"/>
        <v>0</v>
      </c>
      <c r="DD45" t="s">
        <v>3</v>
      </c>
      <c r="DE45" t="s">
        <v>3</v>
      </c>
      <c r="DF45">
        <f>ROUND(ROUND(AE45*AI45,2)*CX45,2)</f>
        <v>4.92</v>
      </c>
      <c r="DG45">
        <f t="shared" ref="DG45:DG56" si="25">ROUND(ROUND(AF45,2)*CX45,2)</f>
        <v>0</v>
      </c>
      <c r="DH45">
        <f t="shared" ref="DH45:DH56" si="26">ROUND(ROUND(AG45,2)*CX45,2)</f>
        <v>0</v>
      </c>
      <c r="DI45">
        <f t="shared" si="21"/>
        <v>0</v>
      </c>
      <c r="DJ45">
        <f t="shared" ref="DJ45:DJ54" si="27">DF45</f>
        <v>4.92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ROW(Source!A96)</f>
        <v>96</v>
      </c>
      <c r="B46">
        <v>84186534</v>
      </c>
      <c r="C46">
        <v>84186939</v>
      </c>
      <c r="D46">
        <v>37729917</v>
      </c>
      <c r="E46">
        <v>1</v>
      </c>
      <c r="F46">
        <v>1</v>
      </c>
      <c r="G46">
        <v>1</v>
      </c>
      <c r="H46">
        <v>3</v>
      </c>
      <c r="I46" t="s">
        <v>463</v>
      </c>
      <c r="J46" t="s">
        <v>464</v>
      </c>
      <c r="K46" t="s">
        <v>465</v>
      </c>
      <c r="L46">
        <v>1348</v>
      </c>
      <c r="N46">
        <v>1009</v>
      </c>
      <c r="O46" t="s">
        <v>117</v>
      </c>
      <c r="P46" t="s">
        <v>117</v>
      </c>
      <c r="Q46">
        <v>1000</v>
      </c>
      <c r="W46">
        <v>0</v>
      </c>
      <c r="X46">
        <v>-31802417</v>
      </c>
      <c r="Y46">
        <f t="shared" si="18"/>
        <v>3.0000000000000001E-5</v>
      </c>
      <c r="AA46">
        <v>74870.41</v>
      </c>
      <c r="AB46">
        <v>0</v>
      </c>
      <c r="AC46">
        <v>0</v>
      </c>
      <c r="AD46">
        <v>0</v>
      </c>
      <c r="AE46">
        <v>6667</v>
      </c>
      <c r="AF46">
        <v>0</v>
      </c>
      <c r="AG46">
        <v>0</v>
      </c>
      <c r="AH46">
        <v>0</v>
      </c>
      <c r="AI46">
        <v>11.23</v>
      </c>
      <c r="AJ46">
        <v>1</v>
      </c>
      <c r="AK46">
        <v>1</v>
      </c>
      <c r="AL46">
        <v>1</v>
      </c>
      <c r="AM46">
        <v>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3.0000000000000001E-5</v>
      </c>
      <c r="AU46" t="s">
        <v>3</v>
      </c>
      <c r="AV46">
        <v>0</v>
      </c>
      <c r="AW46">
        <v>2</v>
      </c>
      <c r="AX46">
        <v>84186959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ROUND(Y46*Source!I96,9)</f>
        <v>3.0000000000000001E-5</v>
      </c>
      <c r="CY46">
        <f t="shared" si="22"/>
        <v>74870.41</v>
      </c>
      <c r="CZ46">
        <f t="shared" si="23"/>
        <v>6667</v>
      </c>
      <c r="DA46">
        <f t="shared" si="24"/>
        <v>11.23</v>
      </c>
      <c r="DB46">
        <f t="shared" si="19"/>
        <v>0.2</v>
      </c>
      <c r="DC46">
        <f t="shared" si="20"/>
        <v>0</v>
      </c>
      <c r="DD46" t="s">
        <v>3</v>
      </c>
      <c r="DE46" t="s">
        <v>3</v>
      </c>
      <c r="DF46">
        <f>ROUND(ROUND(AE46*AI46,2)*CX46,2)</f>
        <v>2.25</v>
      </c>
      <c r="DG46">
        <f t="shared" si="25"/>
        <v>0</v>
      </c>
      <c r="DH46">
        <f t="shared" si="26"/>
        <v>0</v>
      </c>
      <c r="DI46">
        <f t="shared" si="21"/>
        <v>0</v>
      </c>
      <c r="DJ46">
        <f t="shared" si="27"/>
        <v>2.25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ROW(Source!A96)</f>
        <v>96</v>
      </c>
      <c r="B47">
        <v>84186534</v>
      </c>
      <c r="C47">
        <v>84186939</v>
      </c>
      <c r="D47">
        <v>37736859</v>
      </c>
      <c r="E47">
        <v>1</v>
      </c>
      <c r="F47">
        <v>1</v>
      </c>
      <c r="G47">
        <v>1</v>
      </c>
      <c r="H47">
        <v>3</v>
      </c>
      <c r="I47" t="s">
        <v>115</v>
      </c>
      <c r="J47" t="s">
        <v>118</v>
      </c>
      <c r="K47" t="s">
        <v>116</v>
      </c>
      <c r="L47">
        <v>1348</v>
      </c>
      <c r="N47">
        <v>1009</v>
      </c>
      <c r="O47" t="s">
        <v>117</v>
      </c>
      <c r="P47" t="s">
        <v>117</v>
      </c>
      <c r="Q47">
        <v>1000</v>
      </c>
      <c r="W47">
        <v>0</v>
      </c>
      <c r="X47">
        <v>-384985709</v>
      </c>
      <c r="Y47">
        <f t="shared" si="18"/>
        <v>0</v>
      </c>
      <c r="AA47">
        <v>208824.23</v>
      </c>
      <c r="AB47">
        <v>0</v>
      </c>
      <c r="AC47">
        <v>0</v>
      </c>
      <c r="AD47">
        <v>0</v>
      </c>
      <c r="AE47">
        <v>9040.01</v>
      </c>
      <c r="AF47">
        <v>0</v>
      </c>
      <c r="AG47">
        <v>0</v>
      </c>
      <c r="AH47">
        <v>0</v>
      </c>
      <c r="AI47">
        <v>23.1</v>
      </c>
      <c r="AJ47">
        <v>1</v>
      </c>
      <c r="AK47">
        <v>1</v>
      </c>
      <c r="AL47">
        <v>1</v>
      </c>
      <c r="AM47">
        <v>0</v>
      </c>
      <c r="AN47">
        <v>1</v>
      </c>
      <c r="AO47">
        <v>0</v>
      </c>
      <c r="AP47">
        <v>1</v>
      </c>
      <c r="AQ47">
        <v>0</v>
      </c>
      <c r="AR47">
        <v>0</v>
      </c>
      <c r="AS47" t="s">
        <v>3</v>
      </c>
      <c r="AT47">
        <v>0</v>
      </c>
      <c r="AU47" t="s">
        <v>3</v>
      </c>
      <c r="AV47">
        <v>0</v>
      </c>
      <c r="AW47">
        <v>2</v>
      </c>
      <c r="AX47">
        <v>84186960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ROUND(Y47*Source!I96,9)</f>
        <v>0</v>
      </c>
      <c r="CY47">
        <f t="shared" si="22"/>
        <v>208824.23</v>
      </c>
      <c r="CZ47">
        <f t="shared" si="23"/>
        <v>9040.01</v>
      </c>
      <c r="DA47">
        <f t="shared" si="24"/>
        <v>23.1</v>
      </c>
      <c r="DB47">
        <f t="shared" si="19"/>
        <v>0</v>
      </c>
      <c r="DC47">
        <f t="shared" si="20"/>
        <v>0</v>
      </c>
      <c r="DD47" t="s">
        <v>3</v>
      </c>
      <c r="DE47" t="s">
        <v>3</v>
      </c>
      <c r="DF47">
        <f>ROUND(ROUND(AE47*AI47,2)*CX47,2)</f>
        <v>0</v>
      </c>
      <c r="DG47">
        <f t="shared" si="25"/>
        <v>0</v>
      </c>
      <c r="DH47">
        <f t="shared" si="26"/>
        <v>0</v>
      </c>
      <c r="DI47">
        <f t="shared" si="21"/>
        <v>0</v>
      </c>
      <c r="DJ47">
        <f t="shared" si="27"/>
        <v>0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ROW(Source!A96)</f>
        <v>96</v>
      </c>
      <c r="B48">
        <v>84186534</v>
      </c>
      <c r="C48">
        <v>84186939</v>
      </c>
      <c r="D48">
        <v>37729991</v>
      </c>
      <c r="E48">
        <v>1</v>
      </c>
      <c r="F48">
        <v>1</v>
      </c>
      <c r="G48">
        <v>1</v>
      </c>
      <c r="H48">
        <v>3</v>
      </c>
      <c r="I48" t="s">
        <v>451</v>
      </c>
      <c r="J48" t="s">
        <v>452</v>
      </c>
      <c r="K48" t="s">
        <v>453</v>
      </c>
      <c r="L48">
        <v>1346</v>
      </c>
      <c r="N48">
        <v>1009</v>
      </c>
      <c r="O48" t="s">
        <v>139</v>
      </c>
      <c r="P48" t="s">
        <v>139</v>
      </c>
      <c r="Q48">
        <v>1</v>
      </c>
      <c r="W48">
        <v>0</v>
      </c>
      <c r="X48">
        <v>844235703</v>
      </c>
      <c r="Y48">
        <f t="shared" si="18"/>
        <v>0.02</v>
      </c>
      <c r="AA48">
        <v>27.37</v>
      </c>
      <c r="AB48">
        <v>0</v>
      </c>
      <c r="AC48">
        <v>0</v>
      </c>
      <c r="AD48">
        <v>0</v>
      </c>
      <c r="AE48">
        <v>1.82</v>
      </c>
      <c r="AF48">
        <v>0</v>
      </c>
      <c r="AG48">
        <v>0</v>
      </c>
      <c r="AH48">
        <v>0</v>
      </c>
      <c r="AI48">
        <v>15.04</v>
      </c>
      <c r="AJ48">
        <v>1</v>
      </c>
      <c r="AK48">
        <v>1</v>
      </c>
      <c r="AL48">
        <v>1</v>
      </c>
      <c r="AM48">
        <v>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0.02</v>
      </c>
      <c r="AU48" t="s">
        <v>3</v>
      </c>
      <c r="AV48">
        <v>0</v>
      </c>
      <c r="AW48">
        <v>2</v>
      </c>
      <c r="AX48">
        <v>84186961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ROUND(Y48*Source!I96,9)</f>
        <v>0.02</v>
      </c>
      <c r="CY48">
        <f t="shared" si="22"/>
        <v>27.37</v>
      </c>
      <c r="CZ48">
        <f t="shared" si="23"/>
        <v>1.82</v>
      </c>
      <c r="DA48">
        <f t="shared" si="24"/>
        <v>15.04</v>
      </c>
      <c r="DB48">
        <f t="shared" si="19"/>
        <v>0.04</v>
      </c>
      <c r="DC48">
        <f t="shared" si="20"/>
        <v>0</v>
      </c>
      <c r="DD48" t="s">
        <v>3</v>
      </c>
      <c r="DE48" t="s">
        <v>3</v>
      </c>
      <c r="DF48">
        <f>ROUND(ROUND(AE48*AI48,2)*CX48,2)</f>
        <v>0.55000000000000004</v>
      </c>
      <c r="DG48">
        <f t="shared" si="25"/>
        <v>0</v>
      </c>
      <c r="DH48">
        <f t="shared" si="26"/>
        <v>0</v>
      </c>
      <c r="DI48">
        <f t="shared" si="21"/>
        <v>0</v>
      </c>
      <c r="DJ48">
        <f t="shared" si="27"/>
        <v>0.55000000000000004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ROW(Source!A96)</f>
        <v>96</v>
      </c>
      <c r="B49">
        <v>84186534</v>
      </c>
      <c r="C49">
        <v>84186939</v>
      </c>
      <c r="D49">
        <v>37729892</v>
      </c>
      <c r="E49">
        <v>1</v>
      </c>
      <c r="F49">
        <v>1</v>
      </c>
      <c r="G49">
        <v>1</v>
      </c>
      <c r="H49">
        <v>3</v>
      </c>
      <c r="I49" t="s">
        <v>454</v>
      </c>
      <c r="J49" t="s">
        <v>455</v>
      </c>
      <c r="K49" t="s">
        <v>456</v>
      </c>
      <c r="L49">
        <v>1346</v>
      </c>
      <c r="N49">
        <v>1009</v>
      </c>
      <c r="O49" t="s">
        <v>139</v>
      </c>
      <c r="P49" t="s">
        <v>139</v>
      </c>
      <c r="Q49">
        <v>1</v>
      </c>
      <c r="W49">
        <v>0</v>
      </c>
      <c r="X49">
        <v>-1589564529</v>
      </c>
      <c r="Y49">
        <f t="shared" si="18"/>
        <v>0.1</v>
      </c>
      <c r="AA49">
        <v>238.6</v>
      </c>
      <c r="AB49">
        <v>0</v>
      </c>
      <c r="AC49">
        <v>0</v>
      </c>
      <c r="AD49">
        <v>0</v>
      </c>
      <c r="AE49">
        <v>14.62</v>
      </c>
      <c r="AF49">
        <v>0</v>
      </c>
      <c r="AG49">
        <v>0</v>
      </c>
      <c r="AH49">
        <v>0</v>
      </c>
      <c r="AI49">
        <v>16.32</v>
      </c>
      <c r="AJ49">
        <v>1</v>
      </c>
      <c r="AK49">
        <v>1</v>
      </c>
      <c r="AL49">
        <v>1</v>
      </c>
      <c r="AM49">
        <v>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0.1</v>
      </c>
      <c r="AU49" t="s">
        <v>3</v>
      </c>
      <c r="AV49">
        <v>0</v>
      </c>
      <c r="AW49">
        <v>2</v>
      </c>
      <c r="AX49">
        <v>84186962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ROUND(Y49*Source!I96,9)</f>
        <v>0.1</v>
      </c>
      <c r="CY49">
        <f t="shared" si="22"/>
        <v>238.6</v>
      </c>
      <c r="CZ49">
        <f t="shared" si="23"/>
        <v>14.62</v>
      </c>
      <c r="DA49">
        <f t="shared" si="24"/>
        <v>16.32</v>
      </c>
      <c r="DB49">
        <f t="shared" si="19"/>
        <v>1.46</v>
      </c>
      <c r="DC49">
        <f t="shared" si="20"/>
        <v>0</v>
      </c>
      <c r="DD49" t="s">
        <v>3</v>
      </c>
      <c r="DE49" t="s">
        <v>3</v>
      </c>
      <c r="DF49">
        <f>ROUND(ROUND(AE49*AI49,2)*CX49,2)</f>
        <v>23.86</v>
      </c>
      <c r="DG49">
        <f t="shared" si="25"/>
        <v>0</v>
      </c>
      <c r="DH49">
        <f t="shared" si="26"/>
        <v>0</v>
      </c>
      <c r="DI49">
        <f t="shared" si="21"/>
        <v>0</v>
      </c>
      <c r="DJ49">
        <f t="shared" si="27"/>
        <v>23.86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ROW(Source!A96)</f>
        <v>96</v>
      </c>
      <c r="B50">
        <v>84186534</v>
      </c>
      <c r="C50">
        <v>84186939</v>
      </c>
      <c r="D50">
        <v>37735757</v>
      </c>
      <c r="E50">
        <v>1</v>
      </c>
      <c r="F50">
        <v>1</v>
      </c>
      <c r="G50">
        <v>1</v>
      </c>
      <c r="H50">
        <v>3</v>
      </c>
      <c r="I50" t="s">
        <v>120</v>
      </c>
      <c r="J50" t="s">
        <v>122</v>
      </c>
      <c r="K50" t="s">
        <v>121</v>
      </c>
      <c r="L50">
        <v>1348</v>
      </c>
      <c r="N50">
        <v>1009</v>
      </c>
      <c r="O50" t="s">
        <v>117</v>
      </c>
      <c r="P50" t="s">
        <v>117</v>
      </c>
      <c r="Q50">
        <v>1000</v>
      </c>
      <c r="W50">
        <v>0</v>
      </c>
      <c r="X50">
        <v>361960925</v>
      </c>
      <c r="Y50">
        <f t="shared" si="18"/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0</v>
      </c>
      <c r="AN50">
        <v>1</v>
      </c>
      <c r="AO50">
        <v>0</v>
      </c>
      <c r="AP50">
        <v>1</v>
      </c>
      <c r="AQ50">
        <v>0</v>
      </c>
      <c r="AR50">
        <v>0</v>
      </c>
      <c r="AS50" t="s">
        <v>3</v>
      </c>
      <c r="AT50">
        <v>0</v>
      </c>
      <c r="AU50" t="s">
        <v>3</v>
      </c>
      <c r="AV50">
        <v>0</v>
      </c>
      <c r="AW50">
        <v>2</v>
      </c>
      <c r="AX50">
        <v>84186963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ROUND(Y50*Source!I96,9)</f>
        <v>0</v>
      </c>
      <c r="CY50">
        <f t="shared" si="22"/>
        <v>0</v>
      </c>
      <c r="CZ50">
        <f t="shared" si="23"/>
        <v>0</v>
      </c>
      <c r="DA50">
        <f t="shared" si="24"/>
        <v>1</v>
      </c>
      <c r="DB50">
        <f t="shared" si="19"/>
        <v>0</v>
      </c>
      <c r="DC50">
        <f t="shared" si="20"/>
        <v>0</v>
      </c>
      <c r="DD50" t="s">
        <v>3</v>
      </c>
      <c r="DE50" t="s">
        <v>3</v>
      </c>
      <c r="DF50">
        <f>ROUND(ROUND(AE50,2)*CX50,2)</f>
        <v>0</v>
      </c>
      <c r="DG50">
        <f t="shared" si="25"/>
        <v>0</v>
      </c>
      <c r="DH50">
        <f t="shared" si="26"/>
        <v>0</v>
      </c>
      <c r="DI50">
        <f t="shared" si="21"/>
        <v>0</v>
      </c>
      <c r="DJ50">
        <f t="shared" si="27"/>
        <v>0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ROW(Source!A96)</f>
        <v>96</v>
      </c>
      <c r="B51">
        <v>84186534</v>
      </c>
      <c r="C51">
        <v>84186939</v>
      </c>
      <c r="D51">
        <v>37744299</v>
      </c>
      <c r="E51">
        <v>1</v>
      </c>
      <c r="F51">
        <v>1</v>
      </c>
      <c r="G51">
        <v>1</v>
      </c>
      <c r="H51">
        <v>3</v>
      </c>
      <c r="I51" t="s">
        <v>124</v>
      </c>
      <c r="J51" t="s">
        <v>127</v>
      </c>
      <c r="K51" t="s">
        <v>125</v>
      </c>
      <c r="L51">
        <v>1354</v>
      </c>
      <c r="N51">
        <v>1010</v>
      </c>
      <c r="O51" t="s">
        <v>126</v>
      </c>
      <c r="P51" t="s">
        <v>126</v>
      </c>
      <c r="Q51">
        <v>1</v>
      </c>
      <c r="W51">
        <v>0</v>
      </c>
      <c r="X51">
        <v>789151112</v>
      </c>
      <c r="Y51">
        <f t="shared" si="18"/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0</v>
      </c>
      <c r="AN51">
        <v>1</v>
      </c>
      <c r="AO51">
        <v>0</v>
      </c>
      <c r="AP51">
        <v>1</v>
      </c>
      <c r="AQ51">
        <v>0</v>
      </c>
      <c r="AR51">
        <v>0</v>
      </c>
      <c r="AS51" t="s">
        <v>3</v>
      </c>
      <c r="AT51">
        <v>0</v>
      </c>
      <c r="AU51" t="s">
        <v>3</v>
      </c>
      <c r="AV51">
        <v>0</v>
      </c>
      <c r="AW51">
        <v>2</v>
      </c>
      <c r="AX51">
        <v>84186964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ROUND(Y51*Source!I96,9)</f>
        <v>0</v>
      </c>
      <c r="CY51">
        <f t="shared" si="22"/>
        <v>0</v>
      </c>
      <c r="CZ51">
        <f t="shared" si="23"/>
        <v>0</v>
      </c>
      <c r="DA51">
        <f t="shared" si="24"/>
        <v>1</v>
      </c>
      <c r="DB51">
        <f t="shared" si="19"/>
        <v>0</v>
      </c>
      <c r="DC51">
        <f t="shared" si="20"/>
        <v>0</v>
      </c>
      <c r="DD51" t="s">
        <v>3</v>
      </c>
      <c r="DE51" t="s">
        <v>3</v>
      </c>
      <c r="DF51">
        <f>ROUND(ROUND(AE51,2)*CX51,2)</f>
        <v>0</v>
      </c>
      <c r="DG51">
        <f t="shared" si="25"/>
        <v>0</v>
      </c>
      <c r="DH51">
        <f t="shared" si="26"/>
        <v>0</v>
      </c>
      <c r="DI51">
        <f t="shared" si="21"/>
        <v>0</v>
      </c>
      <c r="DJ51">
        <f t="shared" si="27"/>
        <v>0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ROW(Source!A96)</f>
        <v>96</v>
      </c>
      <c r="B52">
        <v>84186534</v>
      </c>
      <c r="C52">
        <v>84186939</v>
      </c>
      <c r="D52">
        <v>37745010</v>
      </c>
      <c r="E52">
        <v>1</v>
      </c>
      <c r="F52">
        <v>1</v>
      </c>
      <c r="G52">
        <v>1</v>
      </c>
      <c r="H52">
        <v>3</v>
      </c>
      <c r="I52" t="s">
        <v>457</v>
      </c>
      <c r="J52" t="s">
        <v>458</v>
      </c>
      <c r="K52" t="s">
        <v>459</v>
      </c>
      <c r="L52">
        <v>1348</v>
      </c>
      <c r="N52">
        <v>1009</v>
      </c>
      <c r="O52" t="s">
        <v>117</v>
      </c>
      <c r="P52" t="s">
        <v>117</v>
      </c>
      <c r="Q52">
        <v>1000</v>
      </c>
      <c r="W52">
        <v>0</v>
      </c>
      <c r="X52">
        <v>911236404</v>
      </c>
      <c r="Y52">
        <f t="shared" si="18"/>
        <v>1E-4</v>
      </c>
      <c r="AA52">
        <v>85854.59</v>
      </c>
      <c r="AB52">
        <v>0</v>
      </c>
      <c r="AC52">
        <v>0</v>
      </c>
      <c r="AD52">
        <v>0</v>
      </c>
      <c r="AE52">
        <v>9550.01</v>
      </c>
      <c r="AF52">
        <v>0</v>
      </c>
      <c r="AG52">
        <v>0</v>
      </c>
      <c r="AH52">
        <v>0</v>
      </c>
      <c r="AI52">
        <v>8.99</v>
      </c>
      <c r="AJ52">
        <v>1</v>
      </c>
      <c r="AK52">
        <v>1</v>
      </c>
      <c r="AL52">
        <v>1</v>
      </c>
      <c r="AM52">
        <v>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1E-4</v>
      </c>
      <c r="AU52" t="s">
        <v>3</v>
      </c>
      <c r="AV52">
        <v>0</v>
      </c>
      <c r="AW52">
        <v>2</v>
      </c>
      <c r="AX52">
        <v>84186965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ROUND(Y52*Source!I96,9)</f>
        <v>1E-4</v>
      </c>
      <c r="CY52">
        <f t="shared" si="22"/>
        <v>85854.59</v>
      </c>
      <c r="CZ52">
        <f t="shared" si="23"/>
        <v>9550.01</v>
      </c>
      <c r="DA52">
        <f t="shared" si="24"/>
        <v>8.99</v>
      </c>
      <c r="DB52">
        <f t="shared" si="19"/>
        <v>0.96</v>
      </c>
      <c r="DC52">
        <f t="shared" si="20"/>
        <v>0</v>
      </c>
      <c r="DD52" t="s">
        <v>3</v>
      </c>
      <c r="DE52" t="s">
        <v>3</v>
      </c>
      <c r="DF52">
        <f>ROUND(ROUND(AE52*AI52,2)*CX52,2)</f>
        <v>8.59</v>
      </c>
      <c r="DG52">
        <f t="shared" si="25"/>
        <v>0</v>
      </c>
      <c r="DH52">
        <f t="shared" si="26"/>
        <v>0</v>
      </c>
      <c r="DI52">
        <f t="shared" si="21"/>
        <v>0</v>
      </c>
      <c r="DJ52">
        <f t="shared" si="27"/>
        <v>8.59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ROW(Source!A96)</f>
        <v>96</v>
      </c>
      <c r="B53">
        <v>84186534</v>
      </c>
      <c r="C53">
        <v>84186939</v>
      </c>
      <c r="D53">
        <v>37750429</v>
      </c>
      <c r="E53">
        <v>1</v>
      </c>
      <c r="F53">
        <v>1</v>
      </c>
      <c r="G53">
        <v>1</v>
      </c>
      <c r="H53">
        <v>3</v>
      </c>
      <c r="I53" t="s">
        <v>137</v>
      </c>
      <c r="J53" t="s">
        <v>140</v>
      </c>
      <c r="K53" t="s">
        <v>138</v>
      </c>
      <c r="L53">
        <v>1346</v>
      </c>
      <c r="N53">
        <v>1009</v>
      </c>
      <c r="O53" t="s">
        <v>139</v>
      </c>
      <c r="P53" t="s">
        <v>139</v>
      </c>
      <c r="Q53">
        <v>1</v>
      </c>
      <c r="W53">
        <v>0</v>
      </c>
      <c r="X53">
        <v>-1695541033</v>
      </c>
      <c r="Y53">
        <f t="shared" si="18"/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0</v>
      </c>
      <c r="AN53">
        <v>1</v>
      </c>
      <c r="AO53">
        <v>0</v>
      </c>
      <c r="AP53">
        <v>1</v>
      </c>
      <c r="AQ53">
        <v>0</v>
      </c>
      <c r="AR53">
        <v>0</v>
      </c>
      <c r="AS53" t="s">
        <v>3</v>
      </c>
      <c r="AT53">
        <v>0</v>
      </c>
      <c r="AU53" t="s">
        <v>3</v>
      </c>
      <c r="AV53">
        <v>0</v>
      </c>
      <c r="AW53">
        <v>2</v>
      </c>
      <c r="AX53">
        <v>84186966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v>0</v>
      </c>
      <c r="CX53">
        <f>ROUND(Y53*Source!I96,9)</f>
        <v>0</v>
      </c>
      <c r="CY53">
        <f t="shared" si="22"/>
        <v>0</v>
      </c>
      <c r="CZ53">
        <f t="shared" si="23"/>
        <v>0</v>
      </c>
      <c r="DA53">
        <f t="shared" si="24"/>
        <v>1</v>
      </c>
      <c r="DB53">
        <f t="shared" si="19"/>
        <v>0</v>
      </c>
      <c r="DC53">
        <f t="shared" si="20"/>
        <v>0</v>
      </c>
      <c r="DD53" t="s">
        <v>3</v>
      </c>
      <c r="DE53" t="s">
        <v>3</v>
      </c>
      <c r="DF53">
        <f t="shared" ref="DF53:DF59" si="28">ROUND(ROUND(AE53,2)*CX53,2)</f>
        <v>0</v>
      </c>
      <c r="DG53">
        <f t="shared" si="25"/>
        <v>0</v>
      </c>
      <c r="DH53">
        <f t="shared" si="26"/>
        <v>0</v>
      </c>
      <c r="DI53">
        <f t="shared" si="21"/>
        <v>0</v>
      </c>
      <c r="DJ53">
        <f t="shared" si="27"/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ROW(Source!A96)</f>
        <v>96</v>
      </c>
      <c r="B54">
        <v>84186534</v>
      </c>
      <c r="C54">
        <v>84186939</v>
      </c>
      <c r="D54">
        <v>37751168</v>
      </c>
      <c r="E54">
        <v>1</v>
      </c>
      <c r="F54">
        <v>1</v>
      </c>
      <c r="G54">
        <v>1</v>
      </c>
      <c r="H54">
        <v>3</v>
      </c>
      <c r="I54" t="s">
        <v>142</v>
      </c>
      <c r="J54" t="s">
        <v>144</v>
      </c>
      <c r="K54" t="s">
        <v>143</v>
      </c>
      <c r="L54">
        <v>1346</v>
      </c>
      <c r="N54">
        <v>1009</v>
      </c>
      <c r="O54" t="s">
        <v>139</v>
      </c>
      <c r="P54" t="s">
        <v>139</v>
      </c>
      <c r="Q54">
        <v>1</v>
      </c>
      <c r="W54">
        <v>0</v>
      </c>
      <c r="X54">
        <v>-2040775826</v>
      </c>
      <c r="Y54">
        <f t="shared" si="18"/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0</v>
      </c>
      <c r="AN54">
        <v>1</v>
      </c>
      <c r="AO54">
        <v>0</v>
      </c>
      <c r="AP54">
        <v>1</v>
      </c>
      <c r="AQ54">
        <v>0</v>
      </c>
      <c r="AR54">
        <v>0</v>
      </c>
      <c r="AS54" t="s">
        <v>3</v>
      </c>
      <c r="AT54">
        <v>0</v>
      </c>
      <c r="AU54" t="s">
        <v>3</v>
      </c>
      <c r="AV54">
        <v>0</v>
      </c>
      <c r="AW54">
        <v>2</v>
      </c>
      <c r="AX54">
        <v>84186967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ROUND(Y54*Source!I96,9)</f>
        <v>0</v>
      </c>
      <c r="CY54">
        <f t="shared" si="22"/>
        <v>0</v>
      </c>
      <c r="CZ54">
        <f t="shared" si="23"/>
        <v>0</v>
      </c>
      <c r="DA54">
        <f t="shared" si="24"/>
        <v>1</v>
      </c>
      <c r="DB54">
        <f t="shared" si="19"/>
        <v>0</v>
      </c>
      <c r="DC54">
        <f t="shared" si="20"/>
        <v>0</v>
      </c>
      <c r="DD54" t="s">
        <v>3</v>
      </c>
      <c r="DE54" t="s">
        <v>3</v>
      </c>
      <c r="DF54">
        <f t="shared" si="28"/>
        <v>0</v>
      </c>
      <c r="DG54">
        <f t="shared" si="25"/>
        <v>0</v>
      </c>
      <c r="DH54">
        <f t="shared" si="26"/>
        <v>0</v>
      </c>
      <c r="DI54">
        <f t="shared" si="21"/>
        <v>0</v>
      </c>
      <c r="DJ54">
        <f t="shared" si="27"/>
        <v>0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ROW(Source!A103)</f>
        <v>103</v>
      </c>
      <c r="B55">
        <v>84186534</v>
      </c>
      <c r="C55">
        <v>84186974</v>
      </c>
      <c r="D55">
        <v>23135014</v>
      </c>
      <c r="E55">
        <v>1</v>
      </c>
      <c r="F55">
        <v>1</v>
      </c>
      <c r="G55">
        <v>1</v>
      </c>
      <c r="H55">
        <v>1</v>
      </c>
      <c r="I55" t="s">
        <v>466</v>
      </c>
      <c r="J55" t="s">
        <v>3</v>
      </c>
      <c r="K55" t="s">
        <v>467</v>
      </c>
      <c r="L55">
        <v>1369</v>
      </c>
      <c r="N55">
        <v>1013</v>
      </c>
      <c r="O55" t="s">
        <v>388</v>
      </c>
      <c r="P55" t="s">
        <v>388</v>
      </c>
      <c r="Q55">
        <v>1</v>
      </c>
      <c r="W55">
        <v>0</v>
      </c>
      <c r="X55">
        <v>-883932286</v>
      </c>
      <c r="Y55">
        <f t="shared" si="18"/>
        <v>0.81</v>
      </c>
      <c r="AA55">
        <v>0</v>
      </c>
      <c r="AB55">
        <v>0</v>
      </c>
      <c r="AC55">
        <v>0</v>
      </c>
      <c r="AD55">
        <v>7.9</v>
      </c>
      <c r="AE55">
        <v>0</v>
      </c>
      <c r="AF55">
        <v>0</v>
      </c>
      <c r="AG55">
        <v>0</v>
      </c>
      <c r="AH55">
        <v>7.9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0.81</v>
      </c>
      <c r="AU55" t="s">
        <v>3</v>
      </c>
      <c r="AV55">
        <v>1</v>
      </c>
      <c r="AW55">
        <v>2</v>
      </c>
      <c r="AX55">
        <v>84186982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U55">
        <f>ROUND(AT55*Source!I103*AH55*AL55,2)</f>
        <v>12.8</v>
      </c>
      <c r="CV55">
        <f>ROUND(Y55*Source!I103,9)</f>
        <v>1.62</v>
      </c>
      <c r="CW55">
        <v>0</v>
      </c>
      <c r="CX55">
        <f>ROUND(Y55*Source!I103,9)</f>
        <v>1.62</v>
      </c>
      <c r="CY55">
        <f>AD55</f>
        <v>7.9</v>
      </c>
      <c r="CZ55">
        <f>AH55</f>
        <v>7.9</v>
      </c>
      <c r="DA55">
        <f>AL55</f>
        <v>1</v>
      </c>
      <c r="DB55">
        <f t="shared" si="19"/>
        <v>6.4</v>
      </c>
      <c r="DC55">
        <f t="shared" si="20"/>
        <v>0</v>
      </c>
      <c r="DD55" t="s">
        <v>3</v>
      </c>
      <c r="DE55" t="s">
        <v>3</v>
      </c>
      <c r="DF55">
        <f t="shared" si="28"/>
        <v>0</v>
      </c>
      <c r="DG55">
        <f t="shared" si="25"/>
        <v>0</v>
      </c>
      <c r="DH55">
        <f t="shared" si="26"/>
        <v>0</v>
      </c>
      <c r="DI55">
        <f t="shared" si="21"/>
        <v>12.8</v>
      </c>
      <c r="DJ55">
        <f>DI55</f>
        <v>12.8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ROW(Source!A103)</f>
        <v>103</v>
      </c>
      <c r="B56">
        <v>84186534</v>
      </c>
      <c r="C56">
        <v>84186974</v>
      </c>
      <c r="D56">
        <v>121548</v>
      </c>
      <c r="E56">
        <v>1</v>
      </c>
      <c r="F56">
        <v>1</v>
      </c>
      <c r="G56">
        <v>1</v>
      </c>
      <c r="H56">
        <v>1</v>
      </c>
      <c r="I56" t="s">
        <v>95</v>
      </c>
      <c r="J56" t="s">
        <v>3</v>
      </c>
      <c r="K56" t="s">
        <v>389</v>
      </c>
      <c r="L56">
        <v>608254</v>
      </c>
      <c r="N56">
        <v>1013</v>
      </c>
      <c r="O56" t="s">
        <v>390</v>
      </c>
      <c r="P56" t="s">
        <v>390</v>
      </c>
      <c r="Q56">
        <v>1</v>
      </c>
      <c r="W56">
        <v>0</v>
      </c>
      <c r="X56">
        <v>-185737400</v>
      </c>
      <c r="Y56">
        <f t="shared" si="18"/>
        <v>0.61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0.61</v>
      </c>
      <c r="AU56" t="s">
        <v>3</v>
      </c>
      <c r="AV56">
        <v>2</v>
      </c>
      <c r="AW56">
        <v>2</v>
      </c>
      <c r="AX56">
        <v>84186983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ROUND(Y56*Source!I103,9)</f>
        <v>1.22</v>
      </c>
      <c r="CY56">
        <f>AD56</f>
        <v>0</v>
      </c>
      <c r="CZ56">
        <f>AH56</f>
        <v>0</v>
      </c>
      <c r="DA56">
        <f>AL56</f>
        <v>1</v>
      </c>
      <c r="DB56">
        <f t="shared" si="19"/>
        <v>0</v>
      </c>
      <c r="DC56">
        <f t="shared" si="20"/>
        <v>0</v>
      </c>
      <c r="DD56" t="s">
        <v>3</v>
      </c>
      <c r="DE56" t="s">
        <v>3</v>
      </c>
      <c r="DF56">
        <f t="shared" si="28"/>
        <v>0</v>
      </c>
      <c r="DG56">
        <f t="shared" si="25"/>
        <v>0</v>
      </c>
      <c r="DH56">
        <f t="shared" si="26"/>
        <v>0</v>
      </c>
      <c r="DI56">
        <f t="shared" si="21"/>
        <v>0</v>
      </c>
      <c r="DJ56">
        <f>DI56</f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ROW(Source!A103)</f>
        <v>103</v>
      </c>
      <c r="B57">
        <v>84186534</v>
      </c>
      <c r="C57">
        <v>84186974</v>
      </c>
      <c r="D57">
        <v>37802644</v>
      </c>
      <c r="E57">
        <v>1</v>
      </c>
      <c r="F57">
        <v>1</v>
      </c>
      <c r="G57">
        <v>1</v>
      </c>
      <c r="H57">
        <v>2</v>
      </c>
      <c r="I57" t="s">
        <v>468</v>
      </c>
      <c r="J57" t="s">
        <v>469</v>
      </c>
      <c r="K57" t="s">
        <v>470</v>
      </c>
      <c r="L57">
        <v>1368</v>
      </c>
      <c r="N57">
        <v>1011</v>
      </c>
      <c r="O57" t="s">
        <v>394</v>
      </c>
      <c r="P57" t="s">
        <v>394</v>
      </c>
      <c r="Q57">
        <v>1</v>
      </c>
      <c r="W57">
        <v>0</v>
      </c>
      <c r="X57">
        <v>1153725797</v>
      </c>
      <c r="Y57">
        <f t="shared" si="18"/>
        <v>0.19</v>
      </c>
      <c r="AA57">
        <v>0</v>
      </c>
      <c r="AB57">
        <v>458.56</v>
      </c>
      <c r="AC57">
        <v>0</v>
      </c>
      <c r="AD57">
        <v>0</v>
      </c>
      <c r="AE57">
        <v>0</v>
      </c>
      <c r="AF57">
        <v>14.14</v>
      </c>
      <c r="AG57">
        <v>0</v>
      </c>
      <c r="AH57">
        <v>0</v>
      </c>
      <c r="AI57">
        <v>1</v>
      </c>
      <c r="AJ57">
        <v>32.43</v>
      </c>
      <c r="AK57">
        <v>35.270000000000003</v>
      </c>
      <c r="AL57">
        <v>1</v>
      </c>
      <c r="AM57">
        <v>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0.19</v>
      </c>
      <c r="AU57" t="s">
        <v>3</v>
      </c>
      <c r="AV57">
        <v>0</v>
      </c>
      <c r="AW57">
        <v>2</v>
      </c>
      <c r="AX57">
        <v>84186984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f>ROUND(Y57*Source!I103*DO57,9)</f>
        <v>0</v>
      </c>
      <c r="CX57">
        <f>ROUND(Y57*Source!I103,9)</f>
        <v>0.38</v>
      </c>
      <c r="CY57">
        <f>AB57</f>
        <v>458.56</v>
      </c>
      <c r="CZ57">
        <f>AF57</f>
        <v>14.14</v>
      </c>
      <c r="DA57">
        <f>AJ57</f>
        <v>32.43</v>
      </c>
      <c r="DB57">
        <f t="shared" si="19"/>
        <v>2.69</v>
      </c>
      <c r="DC57">
        <f t="shared" si="20"/>
        <v>0</v>
      </c>
      <c r="DD57" t="s">
        <v>3</v>
      </c>
      <c r="DE57" t="s">
        <v>3</v>
      </c>
      <c r="DF57">
        <f t="shared" si="28"/>
        <v>0</v>
      </c>
      <c r="DG57">
        <f>ROUND(ROUND(AF57*AJ57,2)*CX57,2)</f>
        <v>174.25</v>
      </c>
      <c r="DH57">
        <f>ROUND(ROUND(AG57*AK57,2)*CX57,2)</f>
        <v>0</v>
      </c>
      <c r="DI57">
        <f t="shared" si="21"/>
        <v>0</v>
      </c>
      <c r="DJ57">
        <f>DG57</f>
        <v>174.25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ROW(Source!A103)</f>
        <v>103</v>
      </c>
      <c r="B58">
        <v>84186534</v>
      </c>
      <c r="C58">
        <v>84186974</v>
      </c>
      <c r="D58">
        <v>37802699</v>
      </c>
      <c r="E58">
        <v>1</v>
      </c>
      <c r="F58">
        <v>1</v>
      </c>
      <c r="G58">
        <v>1</v>
      </c>
      <c r="H58">
        <v>2</v>
      </c>
      <c r="I58" t="s">
        <v>471</v>
      </c>
      <c r="J58" t="s">
        <v>472</v>
      </c>
      <c r="K58" t="s">
        <v>473</v>
      </c>
      <c r="L58">
        <v>1368</v>
      </c>
      <c r="N58">
        <v>1011</v>
      </c>
      <c r="O58" t="s">
        <v>394</v>
      </c>
      <c r="P58" t="s">
        <v>394</v>
      </c>
      <c r="Q58">
        <v>1</v>
      </c>
      <c r="W58">
        <v>0</v>
      </c>
      <c r="X58">
        <v>2133576372</v>
      </c>
      <c r="Y58">
        <f t="shared" si="18"/>
        <v>0.61</v>
      </c>
      <c r="AA58">
        <v>0</v>
      </c>
      <c r="AB58">
        <v>893.67</v>
      </c>
      <c r="AC58">
        <v>317.43</v>
      </c>
      <c r="AD58">
        <v>0</v>
      </c>
      <c r="AE58">
        <v>0</v>
      </c>
      <c r="AF58">
        <v>59.38</v>
      </c>
      <c r="AG58">
        <v>9</v>
      </c>
      <c r="AH58">
        <v>0</v>
      </c>
      <c r="AI58">
        <v>1</v>
      </c>
      <c r="AJ58">
        <v>15.05</v>
      </c>
      <c r="AK58">
        <v>35.270000000000003</v>
      </c>
      <c r="AL58">
        <v>1</v>
      </c>
      <c r="AM58">
        <v>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0.61</v>
      </c>
      <c r="AU58" t="s">
        <v>3</v>
      </c>
      <c r="AV58">
        <v>0</v>
      </c>
      <c r="AW58">
        <v>2</v>
      </c>
      <c r="AX58">
        <v>84186985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f>ROUND(Y58*Source!I103*DO58,9)</f>
        <v>0</v>
      </c>
      <c r="CX58">
        <f>ROUND(Y58*Source!I103,9)</f>
        <v>1.22</v>
      </c>
      <c r="CY58">
        <f>AB58</f>
        <v>893.67</v>
      </c>
      <c r="CZ58">
        <f>AF58</f>
        <v>59.38</v>
      </c>
      <c r="DA58">
        <f>AJ58</f>
        <v>15.05</v>
      </c>
      <c r="DB58">
        <f t="shared" si="19"/>
        <v>36.22</v>
      </c>
      <c r="DC58">
        <f t="shared" si="20"/>
        <v>5.49</v>
      </c>
      <c r="DD58" t="s">
        <v>3</v>
      </c>
      <c r="DE58" t="s">
        <v>3</v>
      </c>
      <c r="DF58">
        <f t="shared" si="28"/>
        <v>0</v>
      </c>
      <c r="DG58">
        <f>ROUND(ROUND(AF58*AJ58,2)*CX58,2)</f>
        <v>1090.28</v>
      </c>
      <c r="DH58">
        <f>ROUND(ROUND(AG58*AK58,2)*CX58,2)</f>
        <v>387.26</v>
      </c>
      <c r="DI58">
        <f t="shared" si="21"/>
        <v>0</v>
      </c>
      <c r="DJ58">
        <f>DG58</f>
        <v>1090.28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ROW(Source!A103)</f>
        <v>103</v>
      </c>
      <c r="B59">
        <v>84186534</v>
      </c>
      <c r="C59">
        <v>84186974</v>
      </c>
      <c r="D59">
        <v>37804144</v>
      </c>
      <c r="E59">
        <v>1</v>
      </c>
      <c r="F59">
        <v>1</v>
      </c>
      <c r="G59">
        <v>1</v>
      </c>
      <c r="H59">
        <v>2</v>
      </c>
      <c r="I59" t="s">
        <v>474</v>
      </c>
      <c r="J59" t="s">
        <v>475</v>
      </c>
      <c r="K59" t="s">
        <v>476</v>
      </c>
      <c r="L59">
        <v>1368</v>
      </c>
      <c r="N59">
        <v>1011</v>
      </c>
      <c r="O59" t="s">
        <v>394</v>
      </c>
      <c r="P59" t="s">
        <v>394</v>
      </c>
      <c r="Q59">
        <v>1</v>
      </c>
      <c r="W59">
        <v>0</v>
      </c>
      <c r="X59">
        <v>754598957</v>
      </c>
      <c r="Y59">
        <f t="shared" si="18"/>
        <v>0.61</v>
      </c>
      <c r="AA59">
        <v>0</v>
      </c>
      <c r="AB59">
        <v>468.67</v>
      </c>
      <c r="AC59">
        <v>0</v>
      </c>
      <c r="AD59">
        <v>0</v>
      </c>
      <c r="AE59">
        <v>0</v>
      </c>
      <c r="AF59">
        <v>100.79</v>
      </c>
      <c r="AG59">
        <v>0</v>
      </c>
      <c r="AH59">
        <v>0</v>
      </c>
      <c r="AI59">
        <v>1</v>
      </c>
      <c r="AJ59">
        <v>4.6500000000000004</v>
      </c>
      <c r="AK59">
        <v>35.270000000000003</v>
      </c>
      <c r="AL59">
        <v>1</v>
      </c>
      <c r="AM59">
        <v>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0.61</v>
      </c>
      <c r="AU59" t="s">
        <v>3</v>
      </c>
      <c r="AV59">
        <v>0</v>
      </c>
      <c r="AW59">
        <v>2</v>
      </c>
      <c r="AX59">
        <v>84186986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f>ROUND(Y59*Source!I103*DO59,9)</f>
        <v>0</v>
      </c>
      <c r="CX59">
        <f>ROUND(Y59*Source!I103,9)</f>
        <v>1.22</v>
      </c>
      <c r="CY59">
        <f>AB59</f>
        <v>468.67</v>
      </c>
      <c r="CZ59">
        <f>AF59</f>
        <v>100.79</v>
      </c>
      <c r="DA59">
        <f>AJ59</f>
        <v>4.6500000000000004</v>
      </c>
      <c r="DB59">
        <f t="shared" si="19"/>
        <v>61.48</v>
      </c>
      <c r="DC59">
        <f t="shared" si="20"/>
        <v>0</v>
      </c>
      <c r="DD59" t="s">
        <v>3</v>
      </c>
      <c r="DE59" t="s">
        <v>3</v>
      </c>
      <c r="DF59">
        <f t="shared" si="28"/>
        <v>0</v>
      </c>
      <c r="DG59">
        <f>ROUND(ROUND(AF59*AJ59,2)*CX59,2)</f>
        <v>571.78</v>
      </c>
      <c r="DH59">
        <f>ROUND(ROUND(AG59*AK59,2)*CX59,2)</f>
        <v>0</v>
      </c>
      <c r="DI59">
        <f t="shared" si="21"/>
        <v>0</v>
      </c>
      <c r="DJ59">
        <f>DG59</f>
        <v>571.78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ROW(Source!A103)</f>
        <v>103</v>
      </c>
      <c r="B60">
        <v>84186534</v>
      </c>
      <c r="C60">
        <v>84186974</v>
      </c>
      <c r="D60">
        <v>37736609</v>
      </c>
      <c r="E60">
        <v>1</v>
      </c>
      <c r="F60">
        <v>1</v>
      </c>
      <c r="G60">
        <v>1</v>
      </c>
      <c r="H60">
        <v>3</v>
      </c>
      <c r="I60" t="s">
        <v>477</v>
      </c>
      <c r="J60" t="s">
        <v>478</v>
      </c>
      <c r="K60" t="s">
        <v>479</v>
      </c>
      <c r="L60">
        <v>1348</v>
      </c>
      <c r="N60">
        <v>1009</v>
      </c>
      <c r="O60" t="s">
        <v>117</v>
      </c>
      <c r="P60" t="s">
        <v>117</v>
      </c>
      <c r="Q60">
        <v>1000</v>
      </c>
      <c r="W60">
        <v>0</v>
      </c>
      <c r="X60">
        <v>1483167196</v>
      </c>
      <c r="Y60">
        <f t="shared" si="18"/>
        <v>3.0000000000000001E-5</v>
      </c>
      <c r="AA60">
        <v>119730</v>
      </c>
      <c r="AB60">
        <v>0</v>
      </c>
      <c r="AC60">
        <v>0</v>
      </c>
      <c r="AD60">
        <v>0</v>
      </c>
      <c r="AE60">
        <v>9750</v>
      </c>
      <c r="AF60">
        <v>0</v>
      </c>
      <c r="AG60">
        <v>0</v>
      </c>
      <c r="AH60">
        <v>0</v>
      </c>
      <c r="AI60">
        <v>12.28</v>
      </c>
      <c r="AJ60">
        <v>1</v>
      </c>
      <c r="AK60">
        <v>1</v>
      </c>
      <c r="AL60">
        <v>1</v>
      </c>
      <c r="AM60">
        <v>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3.0000000000000001E-5</v>
      </c>
      <c r="AU60" t="s">
        <v>3</v>
      </c>
      <c r="AV60">
        <v>0</v>
      </c>
      <c r="AW60">
        <v>2</v>
      </c>
      <c r="AX60">
        <v>84186987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ROUND(Y60*Source!I103,9)</f>
        <v>6.0000000000000002E-5</v>
      </c>
      <c r="CY60">
        <f>AA60</f>
        <v>119730</v>
      </c>
      <c r="CZ60">
        <f>AE60</f>
        <v>9750</v>
      </c>
      <c r="DA60">
        <f>AI60</f>
        <v>12.28</v>
      </c>
      <c r="DB60">
        <f t="shared" si="19"/>
        <v>0.28999999999999998</v>
      </c>
      <c r="DC60">
        <f t="shared" si="20"/>
        <v>0</v>
      </c>
      <c r="DD60" t="s">
        <v>3</v>
      </c>
      <c r="DE60" t="s">
        <v>3</v>
      </c>
      <c r="DF60">
        <f>ROUND(ROUND(AE60*AI60,2)*CX60,2)</f>
        <v>7.18</v>
      </c>
      <c r="DG60">
        <f>ROUND(ROUND(AF60,2)*CX60,2)</f>
        <v>0</v>
      </c>
      <c r="DH60">
        <f>ROUND(ROUND(AG60,2)*CX60,2)</f>
        <v>0</v>
      </c>
      <c r="DI60">
        <f t="shared" si="21"/>
        <v>0</v>
      </c>
      <c r="DJ60">
        <f>DF60</f>
        <v>7.18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ROW(Source!A103)</f>
        <v>103</v>
      </c>
      <c r="B61">
        <v>84186534</v>
      </c>
      <c r="C61">
        <v>84186974</v>
      </c>
      <c r="D61">
        <v>37753212</v>
      </c>
      <c r="E61">
        <v>1</v>
      </c>
      <c r="F61">
        <v>1</v>
      </c>
      <c r="G61">
        <v>1</v>
      </c>
      <c r="H61">
        <v>3</v>
      </c>
      <c r="I61" t="s">
        <v>223</v>
      </c>
      <c r="J61" t="s">
        <v>225</v>
      </c>
      <c r="K61" t="s">
        <v>224</v>
      </c>
      <c r="L61">
        <v>1348</v>
      </c>
      <c r="N61">
        <v>1009</v>
      </c>
      <c r="O61" t="s">
        <v>117</v>
      </c>
      <c r="P61" t="s">
        <v>117</v>
      </c>
      <c r="Q61">
        <v>1000</v>
      </c>
      <c r="W61">
        <v>1</v>
      </c>
      <c r="X61">
        <v>1308337192</v>
      </c>
      <c r="Y61">
        <f t="shared" si="18"/>
        <v>-5.0000000000000001E-3</v>
      </c>
      <c r="AA61">
        <v>69434.820000000007</v>
      </c>
      <c r="AB61">
        <v>0</v>
      </c>
      <c r="AC61">
        <v>0</v>
      </c>
      <c r="AD61">
        <v>0</v>
      </c>
      <c r="AE61">
        <v>6594</v>
      </c>
      <c r="AF61">
        <v>0</v>
      </c>
      <c r="AG61">
        <v>0</v>
      </c>
      <c r="AH61">
        <v>0</v>
      </c>
      <c r="AI61">
        <v>10.53</v>
      </c>
      <c r="AJ61">
        <v>1</v>
      </c>
      <c r="AK61">
        <v>1</v>
      </c>
      <c r="AL61">
        <v>1</v>
      </c>
      <c r="AM61">
        <v>2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-5.0000000000000001E-3</v>
      </c>
      <c r="AU61" t="s">
        <v>3</v>
      </c>
      <c r="AV61">
        <v>0</v>
      </c>
      <c r="AW61">
        <v>2</v>
      </c>
      <c r="AX61">
        <v>84186988</v>
      </c>
      <c r="AY61">
        <v>1</v>
      </c>
      <c r="AZ61">
        <v>6144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ROUND(Y61*Source!I103,9)</f>
        <v>-0.01</v>
      </c>
      <c r="CY61">
        <f>AA61</f>
        <v>69434.820000000007</v>
      </c>
      <c r="CZ61">
        <f>AE61</f>
        <v>6594</v>
      </c>
      <c r="DA61">
        <f>AI61</f>
        <v>10.53</v>
      </c>
      <c r="DB61">
        <f t="shared" si="19"/>
        <v>-32.97</v>
      </c>
      <c r="DC61">
        <f t="shared" si="20"/>
        <v>0</v>
      </c>
      <c r="DD61" t="s">
        <v>3</v>
      </c>
      <c r="DE61" t="s">
        <v>3</v>
      </c>
      <c r="DF61">
        <f>ROUND(ROUND(AE61*AI61,2)*CX61,2)</f>
        <v>-694.35</v>
      </c>
      <c r="DG61">
        <f>ROUND(ROUND(AF61,2)*CX61,2)</f>
        <v>0</v>
      </c>
      <c r="DH61">
        <f>ROUND(ROUND(AG61,2)*CX61,2)</f>
        <v>0</v>
      </c>
      <c r="DI61">
        <f t="shared" si="21"/>
        <v>0</v>
      </c>
      <c r="DJ61">
        <f>DF61</f>
        <v>-694.35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ROW(Source!A106)</f>
        <v>106</v>
      </c>
      <c r="B62">
        <v>84186534</v>
      </c>
      <c r="C62">
        <v>84186991</v>
      </c>
      <c r="D62">
        <v>23135499</v>
      </c>
      <c r="E62">
        <v>1</v>
      </c>
      <c r="F62">
        <v>1</v>
      </c>
      <c r="G62">
        <v>1</v>
      </c>
      <c r="H62">
        <v>1</v>
      </c>
      <c r="I62" t="s">
        <v>480</v>
      </c>
      <c r="J62" t="s">
        <v>3</v>
      </c>
      <c r="K62" t="s">
        <v>481</v>
      </c>
      <c r="L62">
        <v>1369</v>
      </c>
      <c r="N62">
        <v>1013</v>
      </c>
      <c r="O62" t="s">
        <v>388</v>
      </c>
      <c r="P62" t="s">
        <v>388</v>
      </c>
      <c r="Q62">
        <v>1</v>
      </c>
      <c r="W62">
        <v>0</v>
      </c>
      <c r="X62">
        <v>-499460097</v>
      </c>
      <c r="Y62">
        <f t="shared" si="18"/>
        <v>28.59</v>
      </c>
      <c r="AA62">
        <v>0</v>
      </c>
      <c r="AB62">
        <v>0</v>
      </c>
      <c r="AC62">
        <v>0</v>
      </c>
      <c r="AD62">
        <v>8.99</v>
      </c>
      <c r="AE62">
        <v>0</v>
      </c>
      <c r="AF62">
        <v>0</v>
      </c>
      <c r="AG62">
        <v>0</v>
      </c>
      <c r="AH62">
        <v>8.99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28.59</v>
      </c>
      <c r="AU62" t="s">
        <v>3</v>
      </c>
      <c r="AV62">
        <v>1</v>
      </c>
      <c r="AW62">
        <v>2</v>
      </c>
      <c r="AX62">
        <v>84186998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U62">
        <f>ROUND(AT62*Source!I106*AH62*AL62,2)</f>
        <v>257.02</v>
      </c>
      <c r="CV62">
        <f>ROUND(Y62*Source!I106,9)</f>
        <v>28.59</v>
      </c>
      <c r="CW62">
        <v>0</v>
      </c>
      <c r="CX62">
        <f>ROUND(Y62*Source!I106,9)</f>
        <v>28.59</v>
      </c>
      <c r="CY62">
        <f>AD62</f>
        <v>8.99</v>
      </c>
      <c r="CZ62">
        <f>AH62</f>
        <v>8.99</v>
      </c>
      <c r="DA62">
        <f>AL62</f>
        <v>1</v>
      </c>
      <c r="DB62">
        <f t="shared" si="19"/>
        <v>257.02</v>
      </c>
      <c r="DC62">
        <f t="shared" si="20"/>
        <v>0</v>
      </c>
      <c r="DD62" t="s">
        <v>3</v>
      </c>
      <c r="DE62" t="s">
        <v>3</v>
      </c>
      <c r="DF62">
        <f t="shared" ref="DF62:DF74" si="29">ROUND(ROUND(AE62,2)*CX62,2)</f>
        <v>0</v>
      </c>
      <c r="DG62">
        <f>ROUND(ROUND(AF62,2)*CX62,2)</f>
        <v>0</v>
      </c>
      <c r="DH62">
        <f>ROUND(ROUND(AG62,2)*CX62,2)</f>
        <v>0</v>
      </c>
      <c r="DI62">
        <f t="shared" si="21"/>
        <v>257.02</v>
      </c>
      <c r="DJ62">
        <f>DI62</f>
        <v>257.02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ROW(Source!A106)</f>
        <v>106</v>
      </c>
      <c r="B63">
        <v>84186534</v>
      </c>
      <c r="C63">
        <v>84186991</v>
      </c>
      <c r="D63">
        <v>121548</v>
      </c>
      <c r="E63">
        <v>1</v>
      </c>
      <c r="F63">
        <v>1</v>
      </c>
      <c r="G63">
        <v>1</v>
      </c>
      <c r="H63">
        <v>1</v>
      </c>
      <c r="I63" t="s">
        <v>95</v>
      </c>
      <c r="J63" t="s">
        <v>3</v>
      </c>
      <c r="K63" t="s">
        <v>389</v>
      </c>
      <c r="L63">
        <v>608254</v>
      </c>
      <c r="N63">
        <v>1013</v>
      </c>
      <c r="O63" t="s">
        <v>390</v>
      </c>
      <c r="P63" t="s">
        <v>390</v>
      </c>
      <c r="Q63">
        <v>1</v>
      </c>
      <c r="W63">
        <v>0</v>
      </c>
      <c r="X63">
        <v>-185737400</v>
      </c>
      <c r="Y63">
        <f t="shared" si="18"/>
        <v>8.4499999999999993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8.4499999999999993</v>
      </c>
      <c r="AU63" t="s">
        <v>3</v>
      </c>
      <c r="AV63">
        <v>2</v>
      </c>
      <c r="AW63">
        <v>2</v>
      </c>
      <c r="AX63">
        <v>84186999</v>
      </c>
      <c r="AY63">
        <v>1</v>
      </c>
      <c r="AZ63">
        <v>0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ROUND(Y63*Source!I106,9)</f>
        <v>8.4499999999999993</v>
      </c>
      <c r="CY63">
        <f>AD63</f>
        <v>0</v>
      </c>
      <c r="CZ63">
        <f>AH63</f>
        <v>0</v>
      </c>
      <c r="DA63">
        <f>AL63</f>
        <v>1</v>
      </c>
      <c r="DB63">
        <f t="shared" si="19"/>
        <v>0</v>
      </c>
      <c r="DC63">
        <f t="shared" si="20"/>
        <v>0</v>
      </c>
      <c r="DD63" t="s">
        <v>3</v>
      </c>
      <c r="DE63" t="s">
        <v>3</v>
      </c>
      <c r="DF63">
        <f t="shared" si="29"/>
        <v>0</v>
      </c>
      <c r="DG63">
        <f>ROUND(ROUND(AF63,2)*CX63,2)</f>
        <v>0</v>
      </c>
      <c r="DH63">
        <f>ROUND(ROUND(AG63,2)*CX63,2)</f>
        <v>0</v>
      </c>
      <c r="DI63">
        <f t="shared" si="21"/>
        <v>0</v>
      </c>
      <c r="DJ63">
        <f>DI63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ROW(Source!A106)</f>
        <v>106</v>
      </c>
      <c r="B64">
        <v>84186534</v>
      </c>
      <c r="C64">
        <v>84186991</v>
      </c>
      <c r="D64">
        <v>37802443</v>
      </c>
      <c r="E64">
        <v>1</v>
      </c>
      <c r="F64">
        <v>1</v>
      </c>
      <c r="G64">
        <v>1</v>
      </c>
      <c r="H64">
        <v>2</v>
      </c>
      <c r="I64" t="s">
        <v>406</v>
      </c>
      <c r="J64" t="s">
        <v>407</v>
      </c>
      <c r="K64" t="s">
        <v>408</v>
      </c>
      <c r="L64">
        <v>1368</v>
      </c>
      <c r="N64">
        <v>1011</v>
      </c>
      <c r="O64" t="s">
        <v>394</v>
      </c>
      <c r="P64" t="s">
        <v>394</v>
      </c>
      <c r="Q64">
        <v>1</v>
      </c>
      <c r="W64">
        <v>0</v>
      </c>
      <c r="X64">
        <v>1447433125</v>
      </c>
      <c r="Y64">
        <f t="shared" si="18"/>
        <v>2.67</v>
      </c>
      <c r="AA64">
        <v>0</v>
      </c>
      <c r="AB64">
        <v>1453.68</v>
      </c>
      <c r="AC64">
        <v>426.77</v>
      </c>
      <c r="AD64">
        <v>0</v>
      </c>
      <c r="AE64">
        <v>0</v>
      </c>
      <c r="AF64">
        <v>124.14</v>
      </c>
      <c r="AG64">
        <v>12.1</v>
      </c>
      <c r="AH64">
        <v>0</v>
      </c>
      <c r="AI64">
        <v>1</v>
      </c>
      <c r="AJ64">
        <v>11.71</v>
      </c>
      <c r="AK64">
        <v>35.270000000000003</v>
      </c>
      <c r="AL64">
        <v>1</v>
      </c>
      <c r="AM64">
        <v>2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2.67</v>
      </c>
      <c r="AU64" t="s">
        <v>3</v>
      </c>
      <c r="AV64">
        <v>0</v>
      </c>
      <c r="AW64">
        <v>2</v>
      </c>
      <c r="AX64">
        <v>84187000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f>ROUND(Y64*Source!I106*DO64,9)</f>
        <v>0</v>
      </c>
      <c r="CX64">
        <f>ROUND(Y64*Source!I106,9)</f>
        <v>2.67</v>
      </c>
      <c r="CY64">
        <f>AB64</f>
        <v>1453.68</v>
      </c>
      <c r="CZ64">
        <f>AF64</f>
        <v>124.14</v>
      </c>
      <c r="DA64">
        <f>AJ64</f>
        <v>11.71</v>
      </c>
      <c r="DB64">
        <f t="shared" si="19"/>
        <v>331.45</v>
      </c>
      <c r="DC64">
        <f t="shared" si="20"/>
        <v>32.31</v>
      </c>
      <c r="DD64" t="s">
        <v>3</v>
      </c>
      <c r="DE64" t="s">
        <v>3</v>
      </c>
      <c r="DF64">
        <f t="shared" si="29"/>
        <v>0</v>
      </c>
      <c r="DG64">
        <f>ROUND(ROUND(AF64*AJ64,2)*CX64,2)</f>
        <v>3881.33</v>
      </c>
      <c r="DH64">
        <f>ROUND(ROUND(AG64*AK64,2)*CX64,2)</f>
        <v>1139.48</v>
      </c>
      <c r="DI64">
        <f t="shared" si="21"/>
        <v>0</v>
      </c>
      <c r="DJ64">
        <f>DG64</f>
        <v>3881.33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ROW(Source!A106)</f>
        <v>106</v>
      </c>
      <c r="B65">
        <v>84186534</v>
      </c>
      <c r="C65">
        <v>84186991</v>
      </c>
      <c r="D65">
        <v>37802579</v>
      </c>
      <c r="E65">
        <v>1</v>
      </c>
      <c r="F65">
        <v>1</v>
      </c>
      <c r="G65">
        <v>1</v>
      </c>
      <c r="H65">
        <v>2</v>
      </c>
      <c r="I65" t="s">
        <v>391</v>
      </c>
      <c r="J65" t="s">
        <v>392</v>
      </c>
      <c r="K65" t="s">
        <v>393</v>
      </c>
      <c r="L65">
        <v>1368</v>
      </c>
      <c r="N65">
        <v>1011</v>
      </c>
      <c r="O65" t="s">
        <v>394</v>
      </c>
      <c r="P65" t="s">
        <v>394</v>
      </c>
      <c r="Q65">
        <v>1</v>
      </c>
      <c r="W65">
        <v>0</v>
      </c>
      <c r="X65">
        <v>1698075389</v>
      </c>
      <c r="Y65">
        <f t="shared" ref="Y65:Y96" si="30">AT65</f>
        <v>5.78</v>
      </c>
      <c r="AA65">
        <v>0</v>
      </c>
      <c r="AB65">
        <v>898.36</v>
      </c>
      <c r="AC65">
        <v>317.43</v>
      </c>
      <c r="AD65">
        <v>0</v>
      </c>
      <c r="AE65">
        <v>0</v>
      </c>
      <c r="AF65">
        <v>85.64</v>
      </c>
      <c r="AG65">
        <v>9</v>
      </c>
      <c r="AH65">
        <v>0</v>
      </c>
      <c r="AI65">
        <v>1</v>
      </c>
      <c r="AJ65">
        <v>10.49</v>
      </c>
      <c r="AK65">
        <v>35.270000000000003</v>
      </c>
      <c r="AL65">
        <v>1</v>
      </c>
      <c r="AM65">
        <v>2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5.78</v>
      </c>
      <c r="AU65" t="s">
        <v>3</v>
      </c>
      <c r="AV65">
        <v>0</v>
      </c>
      <c r="AW65">
        <v>2</v>
      </c>
      <c r="AX65">
        <v>84187001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f>ROUND(Y65*Source!I106*DO65,9)</f>
        <v>0</v>
      </c>
      <c r="CX65">
        <f>ROUND(Y65*Source!I106,9)</f>
        <v>5.78</v>
      </c>
      <c r="CY65">
        <f>AB65</f>
        <v>898.36</v>
      </c>
      <c r="CZ65">
        <f>AF65</f>
        <v>85.64</v>
      </c>
      <c r="DA65">
        <f>AJ65</f>
        <v>10.49</v>
      </c>
      <c r="DB65">
        <f t="shared" ref="DB65:DB96" si="31">ROUND(ROUND(AT65*CZ65,2),2)</f>
        <v>495</v>
      </c>
      <c r="DC65">
        <f t="shared" ref="DC65:DC96" si="32">ROUND(ROUND(AT65*AG65,2),2)</f>
        <v>52.02</v>
      </c>
      <c r="DD65" t="s">
        <v>3</v>
      </c>
      <c r="DE65" t="s">
        <v>3</v>
      </c>
      <c r="DF65">
        <f t="shared" si="29"/>
        <v>0</v>
      </c>
      <c r="DG65">
        <f>ROUND(ROUND(AF65*AJ65,2)*CX65,2)</f>
        <v>5192.5200000000004</v>
      </c>
      <c r="DH65">
        <f>ROUND(ROUND(AG65*AK65,2)*CX65,2)</f>
        <v>1834.75</v>
      </c>
      <c r="DI65">
        <f t="shared" ref="DI65:DI96" si="33">ROUND(ROUND(AH65,2)*CX65,2)</f>
        <v>0</v>
      </c>
      <c r="DJ65">
        <f>DG65</f>
        <v>5192.5200000000004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ROW(Source!A106)</f>
        <v>106</v>
      </c>
      <c r="B66">
        <v>84186534</v>
      </c>
      <c r="C66">
        <v>84186991</v>
      </c>
      <c r="D66">
        <v>37804456</v>
      </c>
      <c r="E66">
        <v>1</v>
      </c>
      <c r="F66">
        <v>1</v>
      </c>
      <c r="G66">
        <v>1</v>
      </c>
      <c r="H66">
        <v>2</v>
      </c>
      <c r="I66" t="s">
        <v>395</v>
      </c>
      <c r="J66" t="s">
        <v>396</v>
      </c>
      <c r="K66" t="s">
        <v>397</v>
      </c>
      <c r="L66">
        <v>1368</v>
      </c>
      <c r="N66">
        <v>1011</v>
      </c>
      <c r="O66" t="s">
        <v>394</v>
      </c>
      <c r="P66" t="s">
        <v>394</v>
      </c>
      <c r="Q66">
        <v>1</v>
      </c>
      <c r="W66">
        <v>0</v>
      </c>
      <c r="X66">
        <v>-671646184</v>
      </c>
      <c r="Y66">
        <f t="shared" si="30"/>
        <v>1.43</v>
      </c>
      <c r="AA66">
        <v>0</v>
      </c>
      <c r="AB66">
        <v>1305.74</v>
      </c>
      <c r="AC66">
        <v>365.04</v>
      </c>
      <c r="AD66">
        <v>0</v>
      </c>
      <c r="AE66">
        <v>0</v>
      </c>
      <c r="AF66">
        <v>91.76</v>
      </c>
      <c r="AG66">
        <v>10.35</v>
      </c>
      <c r="AH66">
        <v>0</v>
      </c>
      <c r="AI66">
        <v>1</v>
      </c>
      <c r="AJ66">
        <v>14.23</v>
      </c>
      <c r="AK66">
        <v>35.270000000000003</v>
      </c>
      <c r="AL66">
        <v>1</v>
      </c>
      <c r="AM66">
        <v>2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1.43</v>
      </c>
      <c r="AU66" t="s">
        <v>3</v>
      </c>
      <c r="AV66">
        <v>0</v>
      </c>
      <c r="AW66">
        <v>2</v>
      </c>
      <c r="AX66">
        <v>84187002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f>ROUND(Y66*Source!I106*DO66,9)</f>
        <v>0</v>
      </c>
      <c r="CX66">
        <f>ROUND(Y66*Source!I106,9)</f>
        <v>1.43</v>
      </c>
      <c r="CY66">
        <f>AB66</f>
        <v>1305.74</v>
      </c>
      <c r="CZ66">
        <f>AF66</f>
        <v>91.76</v>
      </c>
      <c r="DA66">
        <f>AJ66</f>
        <v>14.23</v>
      </c>
      <c r="DB66">
        <f t="shared" si="31"/>
        <v>131.22</v>
      </c>
      <c r="DC66">
        <f t="shared" si="32"/>
        <v>14.8</v>
      </c>
      <c r="DD66" t="s">
        <v>3</v>
      </c>
      <c r="DE66" t="s">
        <v>3</v>
      </c>
      <c r="DF66">
        <f t="shared" si="29"/>
        <v>0</v>
      </c>
      <c r="DG66">
        <f>ROUND(ROUND(AF66*AJ66,2)*CX66,2)</f>
        <v>1867.21</v>
      </c>
      <c r="DH66">
        <f>ROUND(ROUND(AG66*AK66,2)*CX66,2)</f>
        <v>522.01</v>
      </c>
      <c r="DI66">
        <f t="shared" si="33"/>
        <v>0</v>
      </c>
      <c r="DJ66">
        <f>DG66</f>
        <v>1867.21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ROW(Source!A106)</f>
        <v>106</v>
      </c>
      <c r="B67">
        <v>84186534</v>
      </c>
      <c r="C67">
        <v>84186991</v>
      </c>
      <c r="D67">
        <v>37750429</v>
      </c>
      <c r="E67">
        <v>1</v>
      </c>
      <c r="F67">
        <v>1</v>
      </c>
      <c r="G67">
        <v>1</v>
      </c>
      <c r="H67">
        <v>3</v>
      </c>
      <c r="I67" t="s">
        <v>137</v>
      </c>
      <c r="J67" t="s">
        <v>140</v>
      </c>
      <c r="K67" t="s">
        <v>138</v>
      </c>
      <c r="L67">
        <v>1346</v>
      </c>
      <c r="N67">
        <v>1009</v>
      </c>
      <c r="O67" t="s">
        <v>139</v>
      </c>
      <c r="P67" t="s">
        <v>139</v>
      </c>
      <c r="Q67">
        <v>1</v>
      </c>
      <c r="W67">
        <v>0</v>
      </c>
      <c r="X67">
        <v>-1695541033</v>
      </c>
      <c r="Y67">
        <f t="shared" si="30"/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0</v>
      </c>
      <c r="AN67">
        <v>1</v>
      </c>
      <c r="AO67">
        <v>0</v>
      </c>
      <c r="AP67">
        <v>1</v>
      </c>
      <c r="AQ67">
        <v>0</v>
      </c>
      <c r="AR67">
        <v>0</v>
      </c>
      <c r="AS67" t="s">
        <v>3</v>
      </c>
      <c r="AT67">
        <v>0</v>
      </c>
      <c r="AU67" t="s">
        <v>3</v>
      </c>
      <c r="AV67">
        <v>0</v>
      </c>
      <c r="AW67">
        <v>2</v>
      </c>
      <c r="AX67">
        <v>84187003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v>0</v>
      </c>
      <c r="CX67">
        <f>ROUND(Y67*Source!I106,9)</f>
        <v>0</v>
      </c>
      <c r="CY67">
        <f>AA67</f>
        <v>0</v>
      </c>
      <c r="CZ67">
        <f>AE67</f>
        <v>0</v>
      </c>
      <c r="DA67">
        <f>AI67</f>
        <v>1</v>
      </c>
      <c r="DB67">
        <f t="shared" si="31"/>
        <v>0</v>
      </c>
      <c r="DC67">
        <f t="shared" si="32"/>
        <v>0</v>
      </c>
      <c r="DD67" t="s">
        <v>3</v>
      </c>
      <c r="DE67" t="s">
        <v>3</v>
      </c>
      <c r="DF67">
        <f t="shared" si="29"/>
        <v>0</v>
      </c>
      <c r="DG67">
        <f>ROUND(ROUND(AF67,2)*CX67,2)</f>
        <v>0</v>
      </c>
      <c r="DH67">
        <f>ROUND(ROUND(AG67,2)*CX67,2)</f>
        <v>0</v>
      </c>
      <c r="DI67">
        <f t="shared" si="33"/>
        <v>0</v>
      </c>
      <c r="DJ67">
        <f>DF67</f>
        <v>0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ROW(Source!A110)</f>
        <v>110</v>
      </c>
      <c r="B68">
        <v>84186534</v>
      </c>
      <c r="C68">
        <v>84193179</v>
      </c>
      <c r="D68">
        <v>23129555</v>
      </c>
      <c r="E68">
        <v>1</v>
      </c>
      <c r="F68">
        <v>1</v>
      </c>
      <c r="G68">
        <v>1</v>
      </c>
      <c r="H68">
        <v>1</v>
      </c>
      <c r="I68" t="s">
        <v>482</v>
      </c>
      <c r="J68" t="s">
        <v>3</v>
      </c>
      <c r="K68" t="s">
        <v>483</v>
      </c>
      <c r="L68">
        <v>1369</v>
      </c>
      <c r="N68">
        <v>1013</v>
      </c>
      <c r="O68" t="s">
        <v>388</v>
      </c>
      <c r="P68" t="s">
        <v>388</v>
      </c>
      <c r="Q68">
        <v>1</v>
      </c>
      <c r="W68">
        <v>0</v>
      </c>
      <c r="X68">
        <v>1250814213</v>
      </c>
      <c r="Y68">
        <f t="shared" si="30"/>
        <v>154</v>
      </c>
      <c r="AA68">
        <v>0</v>
      </c>
      <c r="AB68">
        <v>0</v>
      </c>
      <c r="AC68">
        <v>0</v>
      </c>
      <c r="AD68">
        <v>7.29</v>
      </c>
      <c r="AE68">
        <v>0</v>
      </c>
      <c r="AF68">
        <v>0</v>
      </c>
      <c r="AG68">
        <v>0</v>
      </c>
      <c r="AH68">
        <v>7.29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154</v>
      </c>
      <c r="AU68" t="s">
        <v>3</v>
      </c>
      <c r="AV68">
        <v>1</v>
      </c>
      <c r="AW68">
        <v>2</v>
      </c>
      <c r="AX68">
        <v>84193181</v>
      </c>
      <c r="AY68">
        <v>1</v>
      </c>
      <c r="AZ68">
        <v>0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U68">
        <f>ROUND(AT68*Source!I110*AH68*AL68,2)</f>
        <v>28.07</v>
      </c>
      <c r="CV68">
        <f>ROUND(Y68*Source!I110,9)</f>
        <v>3.85</v>
      </c>
      <c r="CW68">
        <v>0</v>
      </c>
      <c r="CX68">
        <f>ROUND(Y68*Source!I110,9)</f>
        <v>3.85</v>
      </c>
      <c r="CY68">
        <f>AD68</f>
        <v>7.29</v>
      </c>
      <c r="CZ68">
        <f>AH68</f>
        <v>7.29</v>
      </c>
      <c r="DA68">
        <f>AL68</f>
        <v>1</v>
      </c>
      <c r="DB68">
        <f t="shared" si="31"/>
        <v>1122.6600000000001</v>
      </c>
      <c r="DC68">
        <f t="shared" si="32"/>
        <v>0</v>
      </c>
      <c r="DD68" t="s">
        <v>3</v>
      </c>
      <c r="DE68" t="s">
        <v>3</v>
      </c>
      <c r="DF68">
        <f t="shared" si="29"/>
        <v>0</v>
      </c>
      <c r="DG68">
        <f>ROUND(ROUND(AF68,2)*CX68,2)</f>
        <v>0</v>
      </c>
      <c r="DH68">
        <f>ROUND(ROUND(AG68,2)*CX68,2)</f>
        <v>0</v>
      </c>
      <c r="DI68">
        <f t="shared" si="33"/>
        <v>28.07</v>
      </c>
      <c r="DJ68">
        <f>DI68</f>
        <v>28.07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ROW(Source!A111)</f>
        <v>111</v>
      </c>
      <c r="B69">
        <v>84186534</v>
      </c>
      <c r="C69">
        <v>84205111</v>
      </c>
      <c r="D69">
        <v>23135960</v>
      </c>
      <c r="E69">
        <v>1</v>
      </c>
      <c r="F69">
        <v>1</v>
      </c>
      <c r="G69">
        <v>1</v>
      </c>
      <c r="H69">
        <v>1</v>
      </c>
      <c r="I69" t="s">
        <v>484</v>
      </c>
      <c r="J69" t="s">
        <v>3</v>
      </c>
      <c r="K69" t="s">
        <v>485</v>
      </c>
      <c r="L69">
        <v>1369</v>
      </c>
      <c r="N69">
        <v>1013</v>
      </c>
      <c r="O69" t="s">
        <v>388</v>
      </c>
      <c r="P69" t="s">
        <v>388</v>
      </c>
      <c r="Q69">
        <v>1</v>
      </c>
      <c r="W69">
        <v>0</v>
      </c>
      <c r="X69">
        <v>-486278812</v>
      </c>
      <c r="Y69">
        <f t="shared" si="30"/>
        <v>97.2</v>
      </c>
      <c r="AA69">
        <v>0</v>
      </c>
      <c r="AB69">
        <v>0</v>
      </c>
      <c r="AC69">
        <v>0</v>
      </c>
      <c r="AD69">
        <v>7.01</v>
      </c>
      <c r="AE69">
        <v>0</v>
      </c>
      <c r="AF69">
        <v>0</v>
      </c>
      <c r="AG69">
        <v>0</v>
      </c>
      <c r="AH69">
        <v>7.01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97.2</v>
      </c>
      <c r="AU69" t="s">
        <v>3</v>
      </c>
      <c r="AV69">
        <v>1</v>
      </c>
      <c r="AW69">
        <v>2</v>
      </c>
      <c r="AX69">
        <v>84205113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U69">
        <f>ROUND(AT69*Source!I111*AH69*AL69,2)</f>
        <v>17.03</v>
      </c>
      <c r="CV69">
        <f>ROUND(Y69*Source!I111,9)</f>
        <v>2.4300000000000002</v>
      </c>
      <c r="CW69">
        <v>0</v>
      </c>
      <c r="CX69">
        <f>ROUND(Y69*Source!I111,9)</f>
        <v>2.4300000000000002</v>
      </c>
      <c r="CY69">
        <f>AD69</f>
        <v>7.01</v>
      </c>
      <c r="CZ69">
        <f>AH69</f>
        <v>7.01</v>
      </c>
      <c r="DA69">
        <f>AL69</f>
        <v>1</v>
      </c>
      <c r="DB69">
        <f t="shared" si="31"/>
        <v>681.37</v>
      </c>
      <c r="DC69">
        <f t="shared" si="32"/>
        <v>0</v>
      </c>
      <c r="DD69" t="s">
        <v>3</v>
      </c>
      <c r="DE69" t="s">
        <v>3</v>
      </c>
      <c r="DF69">
        <f t="shared" si="29"/>
        <v>0</v>
      </c>
      <c r="DG69">
        <f>ROUND(ROUND(AF69,2)*CX69,2)</f>
        <v>0</v>
      </c>
      <c r="DH69">
        <f>ROUND(ROUND(AG69,2)*CX69,2)</f>
        <v>0</v>
      </c>
      <c r="DI69">
        <f t="shared" si="33"/>
        <v>17.03</v>
      </c>
      <c r="DJ69">
        <f>DI69</f>
        <v>17.03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ROW(Source!A112)</f>
        <v>112</v>
      </c>
      <c r="B70">
        <v>84186534</v>
      </c>
      <c r="C70">
        <v>84193182</v>
      </c>
      <c r="D70">
        <v>23351341</v>
      </c>
      <c r="E70">
        <v>1</v>
      </c>
      <c r="F70">
        <v>1</v>
      </c>
      <c r="G70">
        <v>1</v>
      </c>
      <c r="H70">
        <v>1</v>
      </c>
      <c r="I70" t="s">
        <v>486</v>
      </c>
      <c r="J70" t="s">
        <v>3</v>
      </c>
      <c r="K70" t="s">
        <v>487</v>
      </c>
      <c r="L70">
        <v>1369</v>
      </c>
      <c r="N70">
        <v>1013</v>
      </c>
      <c r="O70" t="s">
        <v>388</v>
      </c>
      <c r="P70" t="s">
        <v>388</v>
      </c>
      <c r="Q70">
        <v>1</v>
      </c>
      <c r="W70">
        <v>0</v>
      </c>
      <c r="X70">
        <v>1903430866</v>
      </c>
      <c r="Y70">
        <f t="shared" si="30"/>
        <v>16.600000000000001</v>
      </c>
      <c r="AA70">
        <v>0</v>
      </c>
      <c r="AB70">
        <v>0</v>
      </c>
      <c r="AC70">
        <v>0</v>
      </c>
      <c r="AD70">
        <v>8.7899999999999991</v>
      </c>
      <c r="AE70">
        <v>0</v>
      </c>
      <c r="AF70">
        <v>0</v>
      </c>
      <c r="AG70">
        <v>0</v>
      </c>
      <c r="AH70">
        <v>8.7899999999999991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16.600000000000001</v>
      </c>
      <c r="AU70" t="s">
        <v>3</v>
      </c>
      <c r="AV70">
        <v>1</v>
      </c>
      <c r="AW70">
        <v>2</v>
      </c>
      <c r="AX70">
        <v>84193191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U70">
        <f>ROUND(AT70*Source!I112*AH70*AL70,2)</f>
        <v>13.13</v>
      </c>
      <c r="CV70">
        <f>ROUND(Y70*Source!I112,9)</f>
        <v>1.494</v>
      </c>
      <c r="CW70">
        <v>0</v>
      </c>
      <c r="CX70">
        <f>ROUND(Y70*Source!I112,9)</f>
        <v>1.494</v>
      </c>
      <c r="CY70">
        <f>AD70</f>
        <v>8.7899999999999991</v>
      </c>
      <c r="CZ70">
        <f>AH70</f>
        <v>8.7899999999999991</v>
      </c>
      <c r="DA70">
        <f>AL70</f>
        <v>1</v>
      </c>
      <c r="DB70">
        <f t="shared" si="31"/>
        <v>145.91</v>
      </c>
      <c r="DC70">
        <f t="shared" si="32"/>
        <v>0</v>
      </c>
      <c r="DD70" t="s">
        <v>3</v>
      </c>
      <c r="DE70" t="s">
        <v>3</v>
      </c>
      <c r="DF70">
        <f t="shared" si="29"/>
        <v>0</v>
      </c>
      <c r="DG70">
        <f>ROUND(ROUND(AF70,2)*CX70,2)</f>
        <v>0</v>
      </c>
      <c r="DH70">
        <f>ROUND(ROUND(AG70,2)*CX70,2)</f>
        <v>0</v>
      </c>
      <c r="DI70">
        <f t="shared" si="33"/>
        <v>13.13</v>
      </c>
      <c r="DJ70">
        <f>DI70</f>
        <v>13.13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ROW(Source!A112)</f>
        <v>112</v>
      </c>
      <c r="B71">
        <v>84186534</v>
      </c>
      <c r="C71">
        <v>84193182</v>
      </c>
      <c r="D71">
        <v>121548</v>
      </c>
      <c r="E71">
        <v>1</v>
      </c>
      <c r="F71">
        <v>1</v>
      </c>
      <c r="G71">
        <v>1</v>
      </c>
      <c r="H71">
        <v>1</v>
      </c>
      <c r="I71" t="s">
        <v>95</v>
      </c>
      <c r="J71" t="s">
        <v>3</v>
      </c>
      <c r="K71" t="s">
        <v>389</v>
      </c>
      <c r="L71">
        <v>608254</v>
      </c>
      <c r="N71">
        <v>1013</v>
      </c>
      <c r="O71" t="s">
        <v>390</v>
      </c>
      <c r="P71" t="s">
        <v>390</v>
      </c>
      <c r="Q71">
        <v>1</v>
      </c>
      <c r="W71">
        <v>0</v>
      </c>
      <c r="X71">
        <v>-185737400</v>
      </c>
      <c r="Y71">
        <f t="shared" si="30"/>
        <v>0.22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0.22</v>
      </c>
      <c r="AU71" t="s">
        <v>3</v>
      </c>
      <c r="AV71">
        <v>2</v>
      </c>
      <c r="AW71">
        <v>2</v>
      </c>
      <c r="AX71">
        <v>84193192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ROUND(Y71*Source!I112,9)</f>
        <v>1.9800000000000002E-2</v>
      </c>
      <c r="CY71">
        <f>AD71</f>
        <v>0</v>
      </c>
      <c r="CZ71">
        <f>AH71</f>
        <v>0</v>
      </c>
      <c r="DA71">
        <f>AL71</f>
        <v>1</v>
      </c>
      <c r="DB71">
        <f t="shared" si="31"/>
        <v>0</v>
      </c>
      <c r="DC71">
        <f t="shared" si="32"/>
        <v>0</v>
      </c>
      <c r="DD71" t="s">
        <v>3</v>
      </c>
      <c r="DE71" t="s">
        <v>3</v>
      </c>
      <c r="DF71">
        <f t="shared" si="29"/>
        <v>0</v>
      </c>
      <c r="DG71">
        <f>ROUND(ROUND(AF71,2)*CX71,2)</f>
        <v>0</v>
      </c>
      <c r="DH71">
        <f>ROUND(ROUND(AG71,2)*CX71,2)</f>
        <v>0</v>
      </c>
      <c r="DI71">
        <f t="shared" si="33"/>
        <v>0</v>
      </c>
      <c r="DJ71">
        <f>DI71</f>
        <v>0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ROW(Source!A112)</f>
        <v>112</v>
      </c>
      <c r="B72">
        <v>84186534</v>
      </c>
      <c r="C72">
        <v>84193182</v>
      </c>
      <c r="D72">
        <v>37802432</v>
      </c>
      <c r="E72">
        <v>1</v>
      </c>
      <c r="F72">
        <v>1</v>
      </c>
      <c r="G72">
        <v>1</v>
      </c>
      <c r="H72">
        <v>2</v>
      </c>
      <c r="I72" t="s">
        <v>411</v>
      </c>
      <c r="J72" t="s">
        <v>412</v>
      </c>
      <c r="K72" t="s">
        <v>413</v>
      </c>
      <c r="L72">
        <v>1368</v>
      </c>
      <c r="N72">
        <v>1011</v>
      </c>
      <c r="O72" t="s">
        <v>394</v>
      </c>
      <c r="P72" t="s">
        <v>394</v>
      </c>
      <c r="Q72">
        <v>1</v>
      </c>
      <c r="W72">
        <v>0</v>
      </c>
      <c r="X72">
        <v>-1424728221</v>
      </c>
      <c r="Y72">
        <f t="shared" si="30"/>
        <v>0.22</v>
      </c>
      <c r="AA72">
        <v>0</v>
      </c>
      <c r="AB72">
        <v>1471.29</v>
      </c>
      <c r="AC72">
        <v>426.77</v>
      </c>
      <c r="AD72">
        <v>0</v>
      </c>
      <c r="AE72">
        <v>0</v>
      </c>
      <c r="AF72">
        <v>138.54</v>
      </c>
      <c r="AG72">
        <v>12.1</v>
      </c>
      <c r="AH72">
        <v>0</v>
      </c>
      <c r="AI72">
        <v>1</v>
      </c>
      <c r="AJ72">
        <v>10.62</v>
      </c>
      <c r="AK72">
        <v>35.270000000000003</v>
      </c>
      <c r="AL72">
        <v>1</v>
      </c>
      <c r="AM72">
        <v>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0.22</v>
      </c>
      <c r="AU72" t="s">
        <v>3</v>
      </c>
      <c r="AV72">
        <v>0</v>
      </c>
      <c r="AW72">
        <v>2</v>
      </c>
      <c r="AX72">
        <v>84193193</v>
      </c>
      <c r="AY72">
        <v>1</v>
      </c>
      <c r="AZ72">
        <v>0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f>ROUND(Y72*Source!I112*DO72,9)</f>
        <v>0</v>
      </c>
      <c r="CX72">
        <f>ROUND(Y72*Source!I112,9)</f>
        <v>1.9800000000000002E-2</v>
      </c>
      <c r="CY72">
        <f>AB72</f>
        <v>1471.29</v>
      </c>
      <c r="CZ72">
        <f>AF72</f>
        <v>138.54</v>
      </c>
      <c r="DA72">
        <f>AJ72</f>
        <v>10.62</v>
      </c>
      <c r="DB72">
        <f t="shared" si="31"/>
        <v>30.48</v>
      </c>
      <c r="DC72">
        <f t="shared" si="32"/>
        <v>2.66</v>
      </c>
      <c r="DD72" t="s">
        <v>3</v>
      </c>
      <c r="DE72" t="s">
        <v>3</v>
      </c>
      <c r="DF72">
        <f t="shared" si="29"/>
        <v>0</v>
      </c>
      <c r="DG72">
        <f>ROUND(ROUND(AF72*AJ72,2)*CX72,2)</f>
        <v>29.13</v>
      </c>
      <c r="DH72">
        <f>ROUND(ROUND(AG72*AK72,2)*CX72,2)</f>
        <v>8.4499999999999993</v>
      </c>
      <c r="DI72">
        <f t="shared" si="33"/>
        <v>0</v>
      </c>
      <c r="DJ72">
        <f>DG72</f>
        <v>29.13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ROW(Source!A112)</f>
        <v>112</v>
      </c>
      <c r="B73">
        <v>84186534</v>
      </c>
      <c r="C73">
        <v>84193182</v>
      </c>
      <c r="D73">
        <v>37802657</v>
      </c>
      <c r="E73">
        <v>1</v>
      </c>
      <c r="F73">
        <v>1</v>
      </c>
      <c r="G73">
        <v>1</v>
      </c>
      <c r="H73">
        <v>2</v>
      </c>
      <c r="I73" t="s">
        <v>414</v>
      </c>
      <c r="J73" t="s">
        <v>415</v>
      </c>
      <c r="K73" t="s">
        <v>416</v>
      </c>
      <c r="L73">
        <v>1368</v>
      </c>
      <c r="N73">
        <v>1011</v>
      </c>
      <c r="O73" t="s">
        <v>394</v>
      </c>
      <c r="P73" t="s">
        <v>394</v>
      </c>
      <c r="Q73">
        <v>1</v>
      </c>
      <c r="W73">
        <v>0</v>
      </c>
      <c r="X73">
        <v>1084334125</v>
      </c>
      <c r="Y73">
        <f t="shared" si="30"/>
        <v>3.13</v>
      </c>
      <c r="AA73">
        <v>0</v>
      </c>
      <c r="AB73">
        <v>51.94</v>
      </c>
      <c r="AC73">
        <v>0</v>
      </c>
      <c r="AD73">
        <v>0</v>
      </c>
      <c r="AE73">
        <v>0</v>
      </c>
      <c r="AF73">
        <v>7.55</v>
      </c>
      <c r="AG73">
        <v>0</v>
      </c>
      <c r="AH73">
        <v>0</v>
      </c>
      <c r="AI73">
        <v>1</v>
      </c>
      <c r="AJ73">
        <v>6.88</v>
      </c>
      <c r="AK73">
        <v>35.270000000000003</v>
      </c>
      <c r="AL73">
        <v>1</v>
      </c>
      <c r="AM73">
        <v>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3.13</v>
      </c>
      <c r="AU73" t="s">
        <v>3</v>
      </c>
      <c r="AV73">
        <v>0</v>
      </c>
      <c r="AW73">
        <v>2</v>
      </c>
      <c r="AX73">
        <v>84193194</v>
      </c>
      <c r="AY73">
        <v>1</v>
      </c>
      <c r="AZ73">
        <v>0</v>
      </c>
      <c r="BA73">
        <v>73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f>ROUND(Y73*Source!I112*DO73,9)</f>
        <v>0</v>
      </c>
      <c r="CX73">
        <f>ROUND(Y73*Source!I112,9)</f>
        <v>0.28170000000000001</v>
      </c>
      <c r="CY73">
        <f>AB73</f>
        <v>51.94</v>
      </c>
      <c r="CZ73">
        <f>AF73</f>
        <v>7.55</v>
      </c>
      <c r="DA73">
        <f>AJ73</f>
        <v>6.88</v>
      </c>
      <c r="DB73">
        <f t="shared" si="31"/>
        <v>23.63</v>
      </c>
      <c r="DC73">
        <f t="shared" si="32"/>
        <v>0</v>
      </c>
      <c r="DD73" t="s">
        <v>3</v>
      </c>
      <c r="DE73" t="s">
        <v>3</v>
      </c>
      <c r="DF73">
        <f t="shared" si="29"/>
        <v>0</v>
      </c>
      <c r="DG73">
        <f>ROUND(ROUND(AF73*AJ73,2)*CX73,2)</f>
        <v>14.63</v>
      </c>
      <c r="DH73">
        <f>ROUND(ROUND(AG73*AK73,2)*CX73,2)</f>
        <v>0</v>
      </c>
      <c r="DI73">
        <f t="shared" si="33"/>
        <v>0</v>
      </c>
      <c r="DJ73">
        <f>DG73</f>
        <v>14.63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ROW(Source!A112)</f>
        <v>112</v>
      </c>
      <c r="B74">
        <v>84186534</v>
      </c>
      <c r="C74">
        <v>84193182</v>
      </c>
      <c r="D74">
        <v>37804456</v>
      </c>
      <c r="E74">
        <v>1</v>
      </c>
      <c r="F74">
        <v>1</v>
      </c>
      <c r="G74">
        <v>1</v>
      </c>
      <c r="H74">
        <v>2</v>
      </c>
      <c r="I74" t="s">
        <v>395</v>
      </c>
      <c r="J74" t="s">
        <v>396</v>
      </c>
      <c r="K74" t="s">
        <v>397</v>
      </c>
      <c r="L74">
        <v>1368</v>
      </c>
      <c r="N74">
        <v>1011</v>
      </c>
      <c r="O74" t="s">
        <v>394</v>
      </c>
      <c r="P74" t="s">
        <v>394</v>
      </c>
      <c r="Q74">
        <v>1</v>
      </c>
      <c r="W74">
        <v>0</v>
      </c>
      <c r="X74">
        <v>-671646184</v>
      </c>
      <c r="Y74">
        <f t="shared" si="30"/>
        <v>0.22</v>
      </c>
      <c r="AA74">
        <v>0</v>
      </c>
      <c r="AB74">
        <v>1305.74</v>
      </c>
      <c r="AC74">
        <v>365.04</v>
      </c>
      <c r="AD74">
        <v>0</v>
      </c>
      <c r="AE74">
        <v>0</v>
      </c>
      <c r="AF74">
        <v>91.76</v>
      </c>
      <c r="AG74">
        <v>10.35</v>
      </c>
      <c r="AH74">
        <v>0</v>
      </c>
      <c r="AI74">
        <v>1</v>
      </c>
      <c r="AJ74">
        <v>14.23</v>
      </c>
      <c r="AK74">
        <v>35.270000000000003</v>
      </c>
      <c r="AL74">
        <v>1</v>
      </c>
      <c r="AM74">
        <v>2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0.22</v>
      </c>
      <c r="AU74" t="s">
        <v>3</v>
      </c>
      <c r="AV74">
        <v>0</v>
      </c>
      <c r="AW74">
        <v>2</v>
      </c>
      <c r="AX74">
        <v>84193195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f>ROUND(Y74*Source!I112*DO74,9)</f>
        <v>0</v>
      </c>
      <c r="CX74">
        <f>ROUND(Y74*Source!I112,9)</f>
        <v>1.9800000000000002E-2</v>
      </c>
      <c r="CY74">
        <f>AB74</f>
        <v>1305.74</v>
      </c>
      <c r="CZ74">
        <f>AF74</f>
        <v>91.76</v>
      </c>
      <c r="DA74">
        <f>AJ74</f>
        <v>14.23</v>
      </c>
      <c r="DB74">
        <f t="shared" si="31"/>
        <v>20.190000000000001</v>
      </c>
      <c r="DC74">
        <f t="shared" si="32"/>
        <v>2.2799999999999998</v>
      </c>
      <c r="DD74" t="s">
        <v>3</v>
      </c>
      <c r="DE74" t="s">
        <v>3</v>
      </c>
      <c r="DF74">
        <f t="shared" si="29"/>
        <v>0</v>
      </c>
      <c r="DG74">
        <f>ROUND(ROUND(AF74*AJ74,2)*CX74,2)</f>
        <v>25.85</v>
      </c>
      <c r="DH74">
        <f>ROUND(ROUND(AG74*AK74,2)*CX74,2)</f>
        <v>7.23</v>
      </c>
      <c r="DI74">
        <f t="shared" si="33"/>
        <v>0</v>
      </c>
      <c r="DJ74">
        <f>DG74</f>
        <v>25.85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ROW(Source!A112)</f>
        <v>112</v>
      </c>
      <c r="B75">
        <v>84186534</v>
      </c>
      <c r="C75">
        <v>84193182</v>
      </c>
      <c r="D75">
        <v>37736610</v>
      </c>
      <c r="E75">
        <v>1</v>
      </c>
      <c r="F75">
        <v>1</v>
      </c>
      <c r="G75">
        <v>1</v>
      </c>
      <c r="H75">
        <v>3</v>
      </c>
      <c r="I75" t="s">
        <v>424</v>
      </c>
      <c r="J75" t="s">
        <v>425</v>
      </c>
      <c r="K75" t="s">
        <v>426</v>
      </c>
      <c r="L75">
        <v>1346</v>
      </c>
      <c r="N75">
        <v>1009</v>
      </c>
      <c r="O75" t="s">
        <v>139</v>
      </c>
      <c r="P75" t="s">
        <v>139</v>
      </c>
      <c r="Q75">
        <v>1</v>
      </c>
      <c r="W75">
        <v>0</v>
      </c>
      <c r="X75">
        <v>-347328291</v>
      </c>
      <c r="Y75">
        <f t="shared" si="30"/>
        <v>0.9</v>
      </c>
      <c r="AA75">
        <v>121.82</v>
      </c>
      <c r="AB75">
        <v>0</v>
      </c>
      <c r="AC75">
        <v>0</v>
      </c>
      <c r="AD75">
        <v>0</v>
      </c>
      <c r="AE75">
        <v>12.65</v>
      </c>
      <c r="AF75">
        <v>0</v>
      </c>
      <c r="AG75">
        <v>0</v>
      </c>
      <c r="AH75">
        <v>0</v>
      </c>
      <c r="AI75">
        <v>9.6300000000000008</v>
      </c>
      <c r="AJ75">
        <v>1</v>
      </c>
      <c r="AK75">
        <v>1</v>
      </c>
      <c r="AL75">
        <v>1</v>
      </c>
      <c r="AM75">
        <v>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0.9</v>
      </c>
      <c r="AU75" t="s">
        <v>3</v>
      </c>
      <c r="AV75">
        <v>0</v>
      </c>
      <c r="AW75">
        <v>2</v>
      </c>
      <c r="AX75">
        <v>84193196</v>
      </c>
      <c r="AY75">
        <v>1</v>
      </c>
      <c r="AZ75">
        <v>0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v>0</v>
      </c>
      <c r="CX75">
        <f>ROUND(Y75*Source!I112,9)</f>
        <v>8.1000000000000003E-2</v>
      </c>
      <c r="CY75">
        <f>AA75</f>
        <v>121.82</v>
      </c>
      <c r="CZ75">
        <f>AE75</f>
        <v>12.65</v>
      </c>
      <c r="DA75">
        <f>AI75</f>
        <v>9.6300000000000008</v>
      </c>
      <c r="DB75">
        <f t="shared" si="31"/>
        <v>11.39</v>
      </c>
      <c r="DC75">
        <f t="shared" si="32"/>
        <v>0</v>
      </c>
      <c r="DD75" t="s">
        <v>3</v>
      </c>
      <c r="DE75" t="s">
        <v>3</v>
      </c>
      <c r="DF75">
        <f>ROUND(ROUND(AE75*AI75,2)*CX75,2)</f>
        <v>9.8699999999999992</v>
      </c>
      <c r="DG75">
        <f>ROUND(ROUND(AF75,2)*CX75,2)</f>
        <v>0</v>
      </c>
      <c r="DH75">
        <f>ROUND(ROUND(AG75,2)*CX75,2)</f>
        <v>0</v>
      </c>
      <c r="DI75">
        <f t="shared" si="33"/>
        <v>0</v>
      </c>
      <c r="DJ75">
        <f>DF75</f>
        <v>9.8699999999999992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ROW(Source!A112)</f>
        <v>112</v>
      </c>
      <c r="B76">
        <v>84186534</v>
      </c>
      <c r="C76">
        <v>84193182</v>
      </c>
      <c r="D76">
        <v>37745017</v>
      </c>
      <c r="E76">
        <v>1</v>
      </c>
      <c r="F76">
        <v>1</v>
      </c>
      <c r="G76">
        <v>1</v>
      </c>
      <c r="H76">
        <v>3</v>
      </c>
      <c r="I76" t="s">
        <v>488</v>
      </c>
      <c r="J76" t="s">
        <v>489</v>
      </c>
      <c r="K76" t="s">
        <v>490</v>
      </c>
      <c r="L76">
        <v>1348</v>
      </c>
      <c r="N76">
        <v>1009</v>
      </c>
      <c r="O76" t="s">
        <v>117</v>
      </c>
      <c r="P76" t="s">
        <v>117</v>
      </c>
      <c r="Q76">
        <v>1000</v>
      </c>
      <c r="W76">
        <v>0</v>
      </c>
      <c r="X76">
        <v>-1286039561</v>
      </c>
      <c r="Y76">
        <f t="shared" si="30"/>
        <v>3.7000000000000002E-3</v>
      </c>
      <c r="AA76">
        <v>77557.919999999998</v>
      </c>
      <c r="AB76">
        <v>0</v>
      </c>
      <c r="AC76">
        <v>0</v>
      </c>
      <c r="AD76">
        <v>0</v>
      </c>
      <c r="AE76">
        <v>9528</v>
      </c>
      <c r="AF76">
        <v>0</v>
      </c>
      <c r="AG76">
        <v>0</v>
      </c>
      <c r="AH76">
        <v>0</v>
      </c>
      <c r="AI76">
        <v>8.14</v>
      </c>
      <c r="AJ76">
        <v>1</v>
      </c>
      <c r="AK76">
        <v>1</v>
      </c>
      <c r="AL76">
        <v>1</v>
      </c>
      <c r="AM76">
        <v>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3.7000000000000002E-3</v>
      </c>
      <c r="AU76" t="s">
        <v>3</v>
      </c>
      <c r="AV76">
        <v>0</v>
      </c>
      <c r="AW76">
        <v>2</v>
      </c>
      <c r="AX76">
        <v>84193197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v>0</v>
      </c>
      <c r="CX76">
        <f>ROUND(Y76*Source!I112,9)</f>
        <v>3.3300000000000002E-4</v>
      </c>
      <c r="CY76">
        <f>AA76</f>
        <v>77557.919999999998</v>
      </c>
      <c r="CZ76">
        <f>AE76</f>
        <v>9528</v>
      </c>
      <c r="DA76">
        <f>AI76</f>
        <v>8.14</v>
      </c>
      <c r="DB76">
        <f t="shared" si="31"/>
        <v>35.25</v>
      </c>
      <c r="DC76">
        <f t="shared" si="32"/>
        <v>0</v>
      </c>
      <c r="DD76" t="s">
        <v>3</v>
      </c>
      <c r="DE76" t="s">
        <v>3</v>
      </c>
      <c r="DF76">
        <f>ROUND(ROUND(AE76*AI76,2)*CX76,2)</f>
        <v>25.83</v>
      </c>
      <c r="DG76">
        <f>ROUND(ROUND(AF76,2)*CX76,2)</f>
        <v>0</v>
      </c>
      <c r="DH76">
        <f>ROUND(ROUND(AG76,2)*CX76,2)</f>
        <v>0</v>
      </c>
      <c r="DI76">
        <f t="shared" si="33"/>
        <v>0</v>
      </c>
      <c r="DJ76">
        <f>DF76</f>
        <v>25.83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ROW(Source!A112)</f>
        <v>112</v>
      </c>
      <c r="B77">
        <v>84186534</v>
      </c>
      <c r="C77">
        <v>84193182</v>
      </c>
      <c r="D77">
        <v>37801918</v>
      </c>
      <c r="E77">
        <v>1</v>
      </c>
      <c r="F77">
        <v>1</v>
      </c>
      <c r="G77">
        <v>1</v>
      </c>
      <c r="H77">
        <v>3</v>
      </c>
      <c r="I77" t="s">
        <v>436</v>
      </c>
      <c r="J77" t="s">
        <v>437</v>
      </c>
      <c r="K77" t="s">
        <v>438</v>
      </c>
      <c r="L77">
        <v>1374</v>
      </c>
      <c r="N77">
        <v>1013</v>
      </c>
      <c r="O77" t="s">
        <v>439</v>
      </c>
      <c r="P77" t="s">
        <v>439</v>
      </c>
      <c r="Q77">
        <v>1</v>
      </c>
      <c r="W77">
        <v>0</v>
      </c>
      <c r="X77">
        <v>2131831278</v>
      </c>
      <c r="Y77">
        <f t="shared" si="30"/>
        <v>2.92</v>
      </c>
      <c r="AA77">
        <v>1</v>
      </c>
      <c r="AB77">
        <v>0</v>
      </c>
      <c r="AC77">
        <v>0</v>
      </c>
      <c r="AD77">
        <v>0</v>
      </c>
      <c r="AE77">
        <v>1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2.92</v>
      </c>
      <c r="AU77" t="s">
        <v>3</v>
      </c>
      <c r="AV77">
        <v>0</v>
      </c>
      <c r="AW77">
        <v>2</v>
      </c>
      <c r="AX77">
        <v>84193198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v>0</v>
      </c>
      <c r="CX77">
        <f>ROUND(Y77*Source!I112,9)</f>
        <v>0.26279999999999998</v>
      </c>
      <c r="CY77">
        <f>AA77</f>
        <v>1</v>
      </c>
      <c r="CZ77">
        <f>AE77</f>
        <v>1</v>
      </c>
      <c r="DA77">
        <f>AI77</f>
        <v>1</v>
      </c>
      <c r="DB77">
        <f t="shared" si="31"/>
        <v>2.92</v>
      </c>
      <c r="DC77">
        <f t="shared" si="32"/>
        <v>0</v>
      </c>
      <c r="DD77" t="s">
        <v>3</v>
      </c>
      <c r="DE77" t="s">
        <v>3</v>
      </c>
      <c r="DF77">
        <f t="shared" ref="DF77:DF82" si="34">ROUND(ROUND(AE77,2)*CX77,2)</f>
        <v>0.26</v>
      </c>
      <c r="DG77">
        <f>ROUND(ROUND(AF77,2)*CX77,2)</f>
        <v>0</v>
      </c>
      <c r="DH77">
        <f>ROUND(ROUND(AG77,2)*CX77,2)</f>
        <v>0</v>
      </c>
      <c r="DI77">
        <f t="shared" si="33"/>
        <v>0</v>
      </c>
      <c r="DJ77">
        <f>DF77</f>
        <v>0.26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ROW(Source!A114)</f>
        <v>114</v>
      </c>
      <c r="B78">
        <v>84186534</v>
      </c>
      <c r="C78">
        <v>84193200</v>
      </c>
      <c r="D78">
        <v>23135014</v>
      </c>
      <c r="E78">
        <v>1</v>
      </c>
      <c r="F78">
        <v>1</v>
      </c>
      <c r="G78">
        <v>1</v>
      </c>
      <c r="H78">
        <v>1</v>
      </c>
      <c r="I78" t="s">
        <v>466</v>
      </c>
      <c r="J78" t="s">
        <v>3</v>
      </c>
      <c r="K78" t="s">
        <v>467</v>
      </c>
      <c r="L78">
        <v>1369</v>
      </c>
      <c r="N78">
        <v>1013</v>
      </c>
      <c r="O78" t="s">
        <v>388</v>
      </c>
      <c r="P78" t="s">
        <v>388</v>
      </c>
      <c r="Q78">
        <v>1</v>
      </c>
      <c r="W78">
        <v>0</v>
      </c>
      <c r="X78">
        <v>-883932286</v>
      </c>
      <c r="Y78">
        <f t="shared" si="30"/>
        <v>0.81</v>
      </c>
      <c r="AA78">
        <v>0</v>
      </c>
      <c r="AB78">
        <v>0</v>
      </c>
      <c r="AC78">
        <v>0</v>
      </c>
      <c r="AD78">
        <v>7.9</v>
      </c>
      <c r="AE78">
        <v>0</v>
      </c>
      <c r="AF78">
        <v>0</v>
      </c>
      <c r="AG78">
        <v>0</v>
      </c>
      <c r="AH78">
        <v>7.9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0.81</v>
      </c>
      <c r="AU78" t="s">
        <v>3</v>
      </c>
      <c r="AV78">
        <v>1</v>
      </c>
      <c r="AW78">
        <v>2</v>
      </c>
      <c r="AX78">
        <v>84193208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U78">
        <f>ROUND(AT78*Source!I114*AH78*AL78,2)</f>
        <v>19.2</v>
      </c>
      <c r="CV78">
        <f>ROUND(Y78*Source!I114,9)</f>
        <v>2.4300000000000002</v>
      </c>
      <c r="CW78">
        <v>0</v>
      </c>
      <c r="CX78">
        <f>ROUND(Y78*Source!I114,9)</f>
        <v>2.4300000000000002</v>
      </c>
      <c r="CY78">
        <f>AD78</f>
        <v>7.9</v>
      </c>
      <c r="CZ78">
        <f>AH78</f>
        <v>7.9</v>
      </c>
      <c r="DA78">
        <f>AL78</f>
        <v>1</v>
      </c>
      <c r="DB78">
        <f t="shared" si="31"/>
        <v>6.4</v>
      </c>
      <c r="DC78">
        <f t="shared" si="32"/>
        <v>0</v>
      </c>
      <c r="DD78" t="s">
        <v>3</v>
      </c>
      <c r="DE78" t="s">
        <v>3</v>
      </c>
      <c r="DF78">
        <f t="shared" si="34"/>
        <v>0</v>
      </c>
      <c r="DG78">
        <f>ROUND(ROUND(AF78,2)*CX78,2)</f>
        <v>0</v>
      </c>
      <c r="DH78">
        <f>ROUND(ROUND(AG78,2)*CX78,2)</f>
        <v>0</v>
      </c>
      <c r="DI78">
        <f t="shared" si="33"/>
        <v>19.2</v>
      </c>
      <c r="DJ78">
        <f>DI78</f>
        <v>19.2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ROW(Source!A114)</f>
        <v>114</v>
      </c>
      <c r="B79">
        <v>84186534</v>
      </c>
      <c r="C79">
        <v>84193200</v>
      </c>
      <c r="D79">
        <v>121548</v>
      </c>
      <c r="E79">
        <v>1</v>
      </c>
      <c r="F79">
        <v>1</v>
      </c>
      <c r="G79">
        <v>1</v>
      </c>
      <c r="H79">
        <v>1</v>
      </c>
      <c r="I79" t="s">
        <v>95</v>
      </c>
      <c r="J79" t="s">
        <v>3</v>
      </c>
      <c r="K79" t="s">
        <v>389</v>
      </c>
      <c r="L79">
        <v>608254</v>
      </c>
      <c r="N79">
        <v>1013</v>
      </c>
      <c r="O79" t="s">
        <v>390</v>
      </c>
      <c r="P79" t="s">
        <v>390</v>
      </c>
      <c r="Q79">
        <v>1</v>
      </c>
      <c r="W79">
        <v>0</v>
      </c>
      <c r="X79">
        <v>-185737400</v>
      </c>
      <c r="Y79">
        <f t="shared" si="30"/>
        <v>0.61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0.61</v>
      </c>
      <c r="AU79" t="s">
        <v>3</v>
      </c>
      <c r="AV79">
        <v>2</v>
      </c>
      <c r="AW79">
        <v>2</v>
      </c>
      <c r="AX79">
        <v>84193209</v>
      </c>
      <c r="AY79">
        <v>1</v>
      </c>
      <c r="AZ79">
        <v>0</v>
      </c>
      <c r="BA79">
        <v>79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ROUND(Y79*Source!I114,9)</f>
        <v>1.83</v>
      </c>
      <c r="CY79">
        <f>AD79</f>
        <v>0</v>
      </c>
      <c r="CZ79">
        <f>AH79</f>
        <v>0</v>
      </c>
      <c r="DA79">
        <f>AL79</f>
        <v>1</v>
      </c>
      <c r="DB79">
        <f t="shared" si="31"/>
        <v>0</v>
      </c>
      <c r="DC79">
        <f t="shared" si="32"/>
        <v>0</v>
      </c>
      <c r="DD79" t="s">
        <v>3</v>
      </c>
      <c r="DE79" t="s">
        <v>3</v>
      </c>
      <c r="DF79">
        <f t="shared" si="34"/>
        <v>0</v>
      </c>
      <c r="DG79">
        <f>ROUND(ROUND(AF79,2)*CX79,2)</f>
        <v>0</v>
      </c>
      <c r="DH79">
        <f>ROUND(ROUND(AG79,2)*CX79,2)</f>
        <v>0</v>
      </c>
      <c r="DI79">
        <f t="shared" si="33"/>
        <v>0</v>
      </c>
      <c r="DJ79">
        <f>DI79</f>
        <v>0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ROW(Source!A114)</f>
        <v>114</v>
      </c>
      <c r="B80">
        <v>84186534</v>
      </c>
      <c r="C80">
        <v>84193200</v>
      </c>
      <c r="D80">
        <v>37802644</v>
      </c>
      <c r="E80">
        <v>1</v>
      </c>
      <c r="F80">
        <v>1</v>
      </c>
      <c r="G80">
        <v>1</v>
      </c>
      <c r="H80">
        <v>2</v>
      </c>
      <c r="I80" t="s">
        <v>468</v>
      </c>
      <c r="J80" t="s">
        <v>469</v>
      </c>
      <c r="K80" t="s">
        <v>470</v>
      </c>
      <c r="L80">
        <v>1368</v>
      </c>
      <c r="N80">
        <v>1011</v>
      </c>
      <c r="O80" t="s">
        <v>394</v>
      </c>
      <c r="P80" t="s">
        <v>394</v>
      </c>
      <c r="Q80">
        <v>1</v>
      </c>
      <c r="W80">
        <v>0</v>
      </c>
      <c r="X80">
        <v>1153725797</v>
      </c>
      <c r="Y80">
        <f t="shared" si="30"/>
        <v>0.19</v>
      </c>
      <c r="AA80">
        <v>0</v>
      </c>
      <c r="AB80">
        <v>458.56</v>
      </c>
      <c r="AC80">
        <v>0</v>
      </c>
      <c r="AD80">
        <v>0</v>
      </c>
      <c r="AE80">
        <v>0</v>
      </c>
      <c r="AF80">
        <v>14.14</v>
      </c>
      <c r="AG80">
        <v>0</v>
      </c>
      <c r="AH80">
        <v>0</v>
      </c>
      <c r="AI80">
        <v>1</v>
      </c>
      <c r="AJ80">
        <v>32.43</v>
      </c>
      <c r="AK80">
        <v>35.270000000000003</v>
      </c>
      <c r="AL80">
        <v>1</v>
      </c>
      <c r="AM80">
        <v>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0.19</v>
      </c>
      <c r="AU80" t="s">
        <v>3</v>
      </c>
      <c r="AV80">
        <v>0</v>
      </c>
      <c r="AW80">
        <v>2</v>
      </c>
      <c r="AX80">
        <v>84193210</v>
      </c>
      <c r="AY80">
        <v>1</v>
      </c>
      <c r="AZ80">
        <v>0</v>
      </c>
      <c r="BA80">
        <v>80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f>ROUND(Y80*Source!I114*DO80,9)</f>
        <v>0</v>
      </c>
      <c r="CX80">
        <f>ROUND(Y80*Source!I114,9)</f>
        <v>0.56999999999999995</v>
      </c>
      <c r="CY80">
        <f>AB80</f>
        <v>458.56</v>
      </c>
      <c r="CZ80">
        <f>AF80</f>
        <v>14.14</v>
      </c>
      <c r="DA80">
        <f>AJ80</f>
        <v>32.43</v>
      </c>
      <c r="DB80">
        <f t="shared" si="31"/>
        <v>2.69</v>
      </c>
      <c r="DC80">
        <f t="shared" si="32"/>
        <v>0</v>
      </c>
      <c r="DD80" t="s">
        <v>3</v>
      </c>
      <c r="DE80" t="s">
        <v>3</v>
      </c>
      <c r="DF80">
        <f t="shared" si="34"/>
        <v>0</v>
      </c>
      <c r="DG80">
        <f>ROUND(ROUND(AF80*AJ80,2)*CX80,2)</f>
        <v>261.38</v>
      </c>
      <c r="DH80">
        <f>ROUND(ROUND(AG80*AK80,2)*CX80,2)</f>
        <v>0</v>
      </c>
      <c r="DI80">
        <f t="shared" si="33"/>
        <v>0</v>
      </c>
      <c r="DJ80">
        <f>DG80</f>
        <v>261.38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ROW(Source!A114)</f>
        <v>114</v>
      </c>
      <c r="B81">
        <v>84186534</v>
      </c>
      <c r="C81">
        <v>84193200</v>
      </c>
      <c r="D81">
        <v>37802699</v>
      </c>
      <c r="E81">
        <v>1</v>
      </c>
      <c r="F81">
        <v>1</v>
      </c>
      <c r="G81">
        <v>1</v>
      </c>
      <c r="H81">
        <v>2</v>
      </c>
      <c r="I81" t="s">
        <v>471</v>
      </c>
      <c r="J81" t="s">
        <v>472</v>
      </c>
      <c r="K81" t="s">
        <v>473</v>
      </c>
      <c r="L81">
        <v>1368</v>
      </c>
      <c r="N81">
        <v>1011</v>
      </c>
      <c r="O81" t="s">
        <v>394</v>
      </c>
      <c r="P81" t="s">
        <v>394</v>
      </c>
      <c r="Q81">
        <v>1</v>
      </c>
      <c r="W81">
        <v>0</v>
      </c>
      <c r="X81">
        <v>2133576372</v>
      </c>
      <c r="Y81">
        <f t="shared" si="30"/>
        <v>0.61</v>
      </c>
      <c r="AA81">
        <v>0</v>
      </c>
      <c r="AB81">
        <v>893.67</v>
      </c>
      <c r="AC81">
        <v>317.43</v>
      </c>
      <c r="AD81">
        <v>0</v>
      </c>
      <c r="AE81">
        <v>0</v>
      </c>
      <c r="AF81">
        <v>59.38</v>
      </c>
      <c r="AG81">
        <v>9</v>
      </c>
      <c r="AH81">
        <v>0</v>
      </c>
      <c r="AI81">
        <v>1</v>
      </c>
      <c r="AJ81">
        <v>15.05</v>
      </c>
      <c r="AK81">
        <v>35.270000000000003</v>
      </c>
      <c r="AL81">
        <v>1</v>
      </c>
      <c r="AM81">
        <v>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0.61</v>
      </c>
      <c r="AU81" t="s">
        <v>3</v>
      </c>
      <c r="AV81">
        <v>0</v>
      </c>
      <c r="AW81">
        <v>2</v>
      </c>
      <c r="AX81">
        <v>84193211</v>
      </c>
      <c r="AY81">
        <v>1</v>
      </c>
      <c r="AZ81">
        <v>0</v>
      </c>
      <c r="BA81">
        <v>81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f>ROUND(Y81*Source!I114*DO81,9)</f>
        <v>0</v>
      </c>
      <c r="CX81">
        <f>ROUND(Y81*Source!I114,9)</f>
        <v>1.83</v>
      </c>
      <c r="CY81">
        <f>AB81</f>
        <v>893.67</v>
      </c>
      <c r="CZ81">
        <f>AF81</f>
        <v>59.38</v>
      </c>
      <c r="DA81">
        <f>AJ81</f>
        <v>15.05</v>
      </c>
      <c r="DB81">
        <f t="shared" si="31"/>
        <v>36.22</v>
      </c>
      <c r="DC81">
        <f t="shared" si="32"/>
        <v>5.49</v>
      </c>
      <c r="DD81" t="s">
        <v>3</v>
      </c>
      <c r="DE81" t="s">
        <v>3</v>
      </c>
      <c r="DF81">
        <f t="shared" si="34"/>
        <v>0</v>
      </c>
      <c r="DG81">
        <f>ROUND(ROUND(AF81*AJ81,2)*CX81,2)</f>
        <v>1635.42</v>
      </c>
      <c r="DH81">
        <f>ROUND(ROUND(AG81*AK81,2)*CX81,2)</f>
        <v>580.9</v>
      </c>
      <c r="DI81">
        <f t="shared" si="33"/>
        <v>0</v>
      </c>
      <c r="DJ81">
        <f>DG81</f>
        <v>1635.42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ROW(Source!A114)</f>
        <v>114</v>
      </c>
      <c r="B82">
        <v>84186534</v>
      </c>
      <c r="C82">
        <v>84193200</v>
      </c>
      <c r="D82">
        <v>37804144</v>
      </c>
      <c r="E82">
        <v>1</v>
      </c>
      <c r="F82">
        <v>1</v>
      </c>
      <c r="G82">
        <v>1</v>
      </c>
      <c r="H82">
        <v>2</v>
      </c>
      <c r="I82" t="s">
        <v>474</v>
      </c>
      <c r="J82" t="s">
        <v>475</v>
      </c>
      <c r="K82" t="s">
        <v>476</v>
      </c>
      <c r="L82">
        <v>1368</v>
      </c>
      <c r="N82">
        <v>1011</v>
      </c>
      <c r="O82" t="s">
        <v>394</v>
      </c>
      <c r="P82" t="s">
        <v>394</v>
      </c>
      <c r="Q82">
        <v>1</v>
      </c>
      <c r="W82">
        <v>0</v>
      </c>
      <c r="X82">
        <v>754598957</v>
      </c>
      <c r="Y82">
        <f t="shared" si="30"/>
        <v>0.61</v>
      </c>
      <c r="AA82">
        <v>0</v>
      </c>
      <c r="AB82">
        <v>468.67</v>
      </c>
      <c r="AC82">
        <v>0</v>
      </c>
      <c r="AD82">
        <v>0</v>
      </c>
      <c r="AE82">
        <v>0</v>
      </c>
      <c r="AF82">
        <v>100.79</v>
      </c>
      <c r="AG82">
        <v>0</v>
      </c>
      <c r="AH82">
        <v>0</v>
      </c>
      <c r="AI82">
        <v>1</v>
      </c>
      <c r="AJ82">
        <v>4.6500000000000004</v>
      </c>
      <c r="AK82">
        <v>35.270000000000003</v>
      </c>
      <c r="AL82">
        <v>1</v>
      </c>
      <c r="AM82">
        <v>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0.61</v>
      </c>
      <c r="AU82" t="s">
        <v>3</v>
      </c>
      <c r="AV82">
        <v>0</v>
      </c>
      <c r="AW82">
        <v>2</v>
      </c>
      <c r="AX82">
        <v>84193212</v>
      </c>
      <c r="AY82">
        <v>1</v>
      </c>
      <c r="AZ82">
        <v>0</v>
      </c>
      <c r="BA82">
        <v>82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f>ROUND(Y82*Source!I114*DO82,9)</f>
        <v>0</v>
      </c>
      <c r="CX82">
        <f>ROUND(Y82*Source!I114,9)</f>
        <v>1.83</v>
      </c>
      <c r="CY82">
        <f>AB82</f>
        <v>468.67</v>
      </c>
      <c r="CZ82">
        <f>AF82</f>
        <v>100.79</v>
      </c>
      <c r="DA82">
        <f>AJ82</f>
        <v>4.6500000000000004</v>
      </c>
      <c r="DB82">
        <f t="shared" si="31"/>
        <v>61.48</v>
      </c>
      <c r="DC82">
        <f t="shared" si="32"/>
        <v>0</v>
      </c>
      <c r="DD82" t="s">
        <v>3</v>
      </c>
      <c r="DE82" t="s">
        <v>3</v>
      </c>
      <c r="DF82">
        <f t="shared" si="34"/>
        <v>0</v>
      </c>
      <c r="DG82">
        <f>ROUND(ROUND(AF82*AJ82,2)*CX82,2)</f>
        <v>857.67</v>
      </c>
      <c r="DH82">
        <f>ROUND(ROUND(AG82*AK82,2)*CX82,2)</f>
        <v>0</v>
      </c>
      <c r="DI82">
        <f t="shared" si="33"/>
        <v>0</v>
      </c>
      <c r="DJ82">
        <f>DG82</f>
        <v>857.67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ROW(Source!A114)</f>
        <v>114</v>
      </c>
      <c r="B83">
        <v>84186534</v>
      </c>
      <c r="C83">
        <v>84193200</v>
      </c>
      <c r="D83">
        <v>37736609</v>
      </c>
      <c r="E83">
        <v>1</v>
      </c>
      <c r="F83">
        <v>1</v>
      </c>
      <c r="G83">
        <v>1</v>
      </c>
      <c r="H83">
        <v>3</v>
      </c>
      <c r="I83" t="s">
        <v>477</v>
      </c>
      <c r="J83" t="s">
        <v>478</v>
      </c>
      <c r="K83" t="s">
        <v>479</v>
      </c>
      <c r="L83">
        <v>1348</v>
      </c>
      <c r="N83">
        <v>1009</v>
      </c>
      <c r="O83" t="s">
        <v>117</v>
      </c>
      <c r="P83" t="s">
        <v>117</v>
      </c>
      <c r="Q83">
        <v>1000</v>
      </c>
      <c r="W83">
        <v>0</v>
      </c>
      <c r="X83">
        <v>1483167196</v>
      </c>
      <c r="Y83">
        <f t="shared" si="30"/>
        <v>3.0000000000000001E-5</v>
      </c>
      <c r="AA83">
        <v>119730</v>
      </c>
      <c r="AB83">
        <v>0</v>
      </c>
      <c r="AC83">
        <v>0</v>
      </c>
      <c r="AD83">
        <v>0</v>
      </c>
      <c r="AE83">
        <v>9750</v>
      </c>
      <c r="AF83">
        <v>0</v>
      </c>
      <c r="AG83">
        <v>0</v>
      </c>
      <c r="AH83">
        <v>0</v>
      </c>
      <c r="AI83">
        <v>12.28</v>
      </c>
      <c r="AJ83">
        <v>1</v>
      </c>
      <c r="AK83">
        <v>1</v>
      </c>
      <c r="AL83">
        <v>1</v>
      </c>
      <c r="AM83">
        <v>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3.0000000000000001E-5</v>
      </c>
      <c r="AU83" t="s">
        <v>3</v>
      </c>
      <c r="AV83">
        <v>0</v>
      </c>
      <c r="AW83">
        <v>2</v>
      </c>
      <c r="AX83">
        <v>84193213</v>
      </c>
      <c r="AY83">
        <v>1</v>
      </c>
      <c r="AZ83">
        <v>0</v>
      </c>
      <c r="BA83">
        <v>83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ROUND(Y83*Source!I114,9)</f>
        <v>9.0000000000000006E-5</v>
      </c>
      <c r="CY83">
        <f>AA83</f>
        <v>119730</v>
      </c>
      <c r="CZ83">
        <f>AE83</f>
        <v>9750</v>
      </c>
      <c r="DA83">
        <f>AI83</f>
        <v>12.28</v>
      </c>
      <c r="DB83">
        <f t="shared" si="31"/>
        <v>0.28999999999999998</v>
      </c>
      <c r="DC83">
        <f t="shared" si="32"/>
        <v>0</v>
      </c>
      <c r="DD83" t="s">
        <v>3</v>
      </c>
      <c r="DE83" t="s">
        <v>3</v>
      </c>
      <c r="DF83">
        <f>ROUND(ROUND(AE83*AI83,2)*CX83,2)</f>
        <v>10.78</v>
      </c>
      <c r="DG83">
        <f t="shared" ref="DG83:DG90" si="35">ROUND(ROUND(AF83,2)*CX83,2)</f>
        <v>0</v>
      </c>
      <c r="DH83">
        <f t="shared" ref="DH83:DH90" si="36">ROUND(ROUND(AG83,2)*CX83,2)</f>
        <v>0</v>
      </c>
      <c r="DI83">
        <f t="shared" si="33"/>
        <v>0</v>
      </c>
      <c r="DJ83">
        <f>DF83</f>
        <v>10.78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ROW(Source!A114)</f>
        <v>114</v>
      </c>
      <c r="B84">
        <v>84186534</v>
      </c>
      <c r="C84">
        <v>84193200</v>
      </c>
      <c r="D84">
        <v>37753212</v>
      </c>
      <c r="E84">
        <v>1</v>
      </c>
      <c r="F84">
        <v>1</v>
      </c>
      <c r="G84">
        <v>1</v>
      </c>
      <c r="H84">
        <v>3</v>
      </c>
      <c r="I84" t="s">
        <v>223</v>
      </c>
      <c r="J84" t="s">
        <v>225</v>
      </c>
      <c r="K84" t="s">
        <v>224</v>
      </c>
      <c r="L84">
        <v>1348</v>
      </c>
      <c r="N84">
        <v>1009</v>
      </c>
      <c r="O84" t="s">
        <v>117</v>
      </c>
      <c r="P84" t="s">
        <v>117</v>
      </c>
      <c r="Q84">
        <v>1000</v>
      </c>
      <c r="W84">
        <v>1</v>
      </c>
      <c r="X84">
        <v>1308337192</v>
      </c>
      <c r="Y84">
        <f t="shared" si="30"/>
        <v>-5.0000000000000001E-3</v>
      </c>
      <c r="AA84">
        <v>69434.820000000007</v>
      </c>
      <c r="AB84">
        <v>0</v>
      </c>
      <c r="AC84">
        <v>0</v>
      </c>
      <c r="AD84">
        <v>0</v>
      </c>
      <c r="AE84">
        <v>6594</v>
      </c>
      <c r="AF84">
        <v>0</v>
      </c>
      <c r="AG84">
        <v>0</v>
      </c>
      <c r="AH84">
        <v>0</v>
      </c>
      <c r="AI84">
        <v>10.53</v>
      </c>
      <c r="AJ84">
        <v>1</v>
      </c>
      <c r="AK84">
        <v>1</v>
      </c>
      <c r="AL84">
        <v>1</v>
      </c>
      <c r="AM84">
        <v>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-5.0000000000000001E-3</v>
      </c>
      <c r="AU84" t="s">
        <v>3</v>
      </c>
      <c r="AV84">
        <v>0</v>
      </c>
      <c r="AW84">
        <v>2</v>
      </c>
      <c r="AX84">
        <v>84193214</v>
      </c>
      <c r="AY84">
        <v>1</v>
      </c>
      <c r="AZ84">
        <v>6144</v>
      </c>
      <c r="BA84">
        <v>84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v>0</v>
      </c>
      <c r="CX84">
        <f>ROUND(Y84*Source!I114,9)</f>
        <v>-1.4999999999999999E-2</v>
      </c>
      <c r="CY84">
        <f>AA84</f>
        <v>69434.820000000007</v>
      </c>
      <c r="CZ84">
        <f>AE84</f>
        <v>6594</v>
      </c>
      <c r="DA84">
        <f>AI84</f>
        <v>10.53</v>
      </c>
      <c r="DB84">
        <f t="shared" si="31"/>
        <v>-32.97</v>
      </c>
      <c r="DC84">
        <f t="shared" si="32"/>
        <v>0</v>
      </c>
      <c r="DD84" t="s">
        <v>3</v>
      </c>
      <c r="DE84" t="s">
        <v>3</v>
      </c>
      <c r="DF84">
        <f>ROUND(ROUND(AE84*AI84,2)*CX84,2)</f>
        <v>-1041.52</v>
      </c>
      <c r="DG84">
        <f t="shared" si="35"/>
        <v>0</v>
      </c>
      <c r="DH84">
        <f t="shared" si="36"/>
        <v>0</v>
      </c>
      <c r="DI84">
        <f t="shared" si="33"/>
        <v>0</v>
      </c>
      <c r="DJ84">
        <f>DF84</f>
        <v>-1041.52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ROW(Source!A117)</f>
        <v>117</v>
      </c>
      <c r="B85">
        <v>84186534</v>
      </c>
      <c r="C85">
        <v>84193217</v>
      </c>
      <c r="D85">
        <v>23567769</v>
      </c>
      <c r="E85">
        <v>1</v>
      </c>
      <c r="F85">
        <v>1</v>
      </c>
      <c r="G85">
        <v>1</v>
      </c>
      <c r="H85">
        <v>1</v>
      </c>
      <c r="I85" t="s">
        <v>491</v>
      </c>
      <c r="J85" t="s">
        <v>3</v>
      </c>
      <c r="K85" t="s">
        <v>492</v>
      </c>
      <c r="L85">
        <v>1369</v>
      </c>
      <c r="N85">
        <v>1013</v>
      </c>
      <c r="O85" t="s">
        <v>388</v>
      </c>
      <c r="P85" t="s">
        <v>388</v>
      </c>
      <c r="Q85">
        <v>1</v>
      </c>
      <c r="W85">
        <v>0</v>
      </c>
      <c r="X85">
        <v>-284458088</v>
      </c>
      <c r="Y85">
        <f t="shared" si="30"/>
        <v>0.61</v>
      </c>
      <c r="AA85">
        <v>0</v>
      </c>
      <c r="AB85">
        <v>0</v>
      </c>
      <c r="AC85">
        <v>0</v>
      </c>
      <c r="AD85">
        <v>12.08</v>
      </c>
      <c r="AE85">
        <v>0</v>
      </c>
      <c r="AF85">
        <v>0</v>
      </c>
      <c r="AG85">
        <v>0</v>
      </c>
      <c r="AH85">
        <v>12.08</v>
      </c>
      <c r="AI85">
        <v>1</v>
      </c>
      <c r="AJ85">
        <v>1</v>
      </c>
      <c r="AK85">
        <v>1</v>
      </c>
      <c r="AL85">
        <v>1</v>
      </c>
      <c r="AM85">
        <v>-2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0.61</v>
      </c>
      <c r="AU85" t="s">
        <v>3</v>
      </c>
      <c r="AV85">
        <v>1</v>
      </c>
      <c r="AW85">
        <v>2</v>
      </c>
      <c r="AX85">
        <v>84193220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U85">
        <f>ROUND(AT85*Source!I117*AH85*AL85,2)</f>
        <v>44.21</v>
      </c>
      <c r="CV85">
        <f>ROUND(Y85*Source!I117,9)</f>
        <v>3.66</v>
      </c>
      <c r="CW85">
        <v>0</v>
      </c>
      <c r="CX85">
        <f>ROUND(Y85*Source!I117,9)</f>
        <v>3.66</v>
      </c>
      <c r="CY85">
        <f t="shared" ref="CY85:CY90" si="37">AD85</f>
        <v>12.08</v>
      </c>
      <c r="CZ85">
        <f t="shared" ref="CZ85:CZ90" si="38">AH85</f>
        <v>12.08</v>
      </c>
      <c r="DA85">
        <f t="shared" ref="DA85:DA90" si="39">AL85</f>
        <v>1</v>
      </c>
      <c r="DB85">
        <f t="shared" si="31"/>
        <v>7.37</v>
      </c>
      <c r="DC85">
        <f t="shared" si="32"/>
        <v>0</v>
      </c>
      <c r="DD85" t="s">
        <v>3</v>
      </c>
      <c r="DE85" t="s">
        <v>3</v>
      </c>
      <c r="DF85">
        <f t="shared" ref="DF85:DF93" si="40">ROUND(ROUND(AE85,2)*CX85,2)</f>
        <v>0</v>
      </c>
      <c r="DG85">
        <f t="shared" si="35"/>
        <v>0</v>
      </c>
      <c r="DH85">
        <f t="shared" si="36"/>
        <v>0</v>
      </c>
      <c r="DI85">
        <f t="shared" si="33"/>
        <v>44.21</v>
      </c>
      <c r="DJ85">
        <f t="shared" ref="DJ85:DJ90" si="41">DI85</f>
        <v>44.21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ROW(Source!A117)</f>
        <v>117</v>
      </c>
      <c r="B86">
        <v>84186534</v>
      </c>
      <c r="C86">
        <v>84193217</v>
      </c>
      <c r="D86">
        <v>23566809</v>
      </c>
      <c r="E86">
        <v>1</v>
      </c>
      <c r="F86">
        <v>1</v>
      </c>
      <c r="G86">
        <v>1</v>
      </c>
      <c r="H86">
        <v>1</v>
      </c>
      <c r="I86" t="s">
        <v>493</v>
      </c>
      <c r="J86" t="s">
        <v>3</v>
      </c>
      <c r="K86" t="s">
        <v>494</v>
      </c>
      <c r="L86">
        <v>1369</v>
      </c>
      <c r="N86">
        <v>1013</v>
      </c>
      <c r="O86" t="s">
        <v>388</v>
      </c>
      <c r="P86" t="s">
        <v>388</v>
      </c>
      <c r="Q86">
        <v>1</v>
      </c>
      <c r="W86">
        <v>0</v>
      </c>
      <c r="X86">
        <v>-1713304237</v>
      </c>
      <c r="Y86">
        <f t="shared" si="30"/>
        <v>0.61</v>
      </c>
      <c r="AA86">
        <v>0</v>
      </c>
      <c r="AB86">
        <v>0</v>
      </c>
      <c r="AC86">
        <v>0</v>
      </c>
      <c r="AD86">
        <v>11.86</v>
      </c>
      <c r="AE86">
        <v>0</v>
      </c>
      <c r="AF86">
        <v>0</v>
      </c>
      <c r="AG86">
        <v>0</v>
      </c>
      <c r="AH86">
        <v>11.86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0.61</v>
      </c>
      <c r="AU86" t="s">
        <v>3</v>
      </c>
      <c r="AV86">
        <v>1</v>
      </c>
      <c r="AW86">
        <v>2</v>
      </c>
      <c r="AX86">
        <v>84193221</v>
      </c>
      <c r="AY86">
        <v>1</v>
      </c>
      <c r="AZ86">
        <v>0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U86">
        <f>ROUND(AT86*Source!I117*AH86*AL86,2)</f>
        <v>43.41</v>
      </c>
      <c r="CV86">
        <f>ROUND(Y86*Source!I117,9)</f>
        <v>3.66</v>
      </c>
      <c r="CW86">
        <v>0</v>
      </c>
      <c r="CX86">
        <f>ROUND(Y86*Source!I117,9)</f>
        <v>3.66</v>
      </c>
      <c r="CY86">
        <f t="shared" si="37"/>
        <v>11.86</v>
      </c>
      <c r="CZ86">
        <f t="shared" si="38"/>
        <v>11.86</v>
      </c>
      <c r="DA86">
        <f t="shared" si="39"/>
        <v>1</v>
      </c>
      <c r="DB86">
        <f t="shared" si="31"/>
        <v>7.23</v>
      </c>
      <c r="DC86">
        <f t="shared" si="32"/>
        <v>0</v>
      </c>
      <c r="DD86" t="s">
        <v>3</v>
      </c>
      <c r="DE86" t="s">
        <v>3</v>
      </c>
      <c r="DF86">
        <f t="shared" si="40"/>
        <v>0</v>
      </c>
      <c r="DG86">
        <f t="shared" si="35"/>
        <v>0</v>
      </c>
      <c r="DH86">
        <f t="shared" si="36"/>
        <v>0</v>
      </c>
      <c r="DI86">
        <f t="shared" si="33"/>
        <v>43.41</v>
      </c>
      <c r="DJ86">
        <f t="shared" si="41"/>
        <v>43.41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ROW(Source!A118)</f>
        <v>118</v>
      </c>
      <c r="B87">
        <v>84186534</v>
      </c>
      <c r="C87">
        <v>84193222</v>
      </c>
      <c r="D87">
        <v>23567769</v>
      </c>
      <c r="E87">
        <v>1</v>
      </c>
      <c r="F87">
        <v>1</v>
      </c>
      <c r="G87">
        <v>1</v>
      </c>
      <c r="H87">
        <v>1</v>
      </c>
      <c r="I87" t="s">
        <v>491</v>
      </c>
      <c r="J87" t="s">
        <v>3</v>
      </c>
      <c r="K87" t="s">
        <v>492</v>
      </c>
      <c r="L87">
        <v>1369</v>
      </c>
      <c r="N87">
        <v>1013</v>
      </c>
      <c r="O87" t="s">
        <v>388</v>
      </c>
      <c r="P87" t="s">
        <v>388</v>
      </c>
      <c r="Q87">
        <v>1</v>
      </c>
      <c r="W87">
        <v>0</v>
      </c>
      <c r="X87">
        <v>-284458088</v>
      </c>
      <c r="Y87">
        <f t="shared" si="30"/>
        <v>6.48</v>
      </c>
      <c r="AA87">
        <v>0</v>
      </c>
      <c r="AB87">
        <v>0</v>
      </c>
      <c r="AC87">
        <v>0</v>
      </c>
      <c r="AD87">
        <v>12.08</v>
      </c>
      <c r="AE87">
        <v>0</v>
      </c>
      <c r="AF87">
        <v>0</v>
      </c>
      <c r="AG87">
        <v>0</v>
      </c>
      <c r="AH87">
        <v>12.08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6.48</v>
      </c>
      <c r="AU87" t="s">
        <v>3</v>
      </c>
      <c r="AV87">
        <v>1</v>
      </c>
      <c r="AW87">
        <v>2</v>
      </c>
      <c r="AX87">
        <v>84193225</v>
      </c>
      <c r="AY87">
        <v>1</v>
      </c>
      <c r="AZ87">
        <v>0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U87">
        <f>ROUND(AT87*Source!I118*AH87*AL87,2)</f>
        <v>31.31</v>
      </c>
      <c r="CV87">
        <f>ROUND(Y87*Source!I118,9)</f>
        <v>2.5920000000000001</v>
      </c>
      <c r="CW87">
        <v>0</v>
      </c>
      <c r="CX87">
        <f>ROUND(Y87*Source!I118,9)</f>
        <v>2.5920000000000001</v>
      </c>
      <c r="CY87">
        <f t="shared" si="37"/>
        <v>12.08</v>
      </c>
      <c r="CZ87">
        <f t="shared" si="38"/>
        <v>12.08</v>
      </c>
      <c r="DA87">
        <f t="shared" si="39"/>
        <v>1</v>
      </c>
      <c r="DB87">
        <f t="shared" si="31"/>
        <v>78.28</v>
      </c>
      <c r="DC87">
        <f t="shared" si="32"/>
        <v>0</v>
      </c>
      <c r="DD87" t="s">
        <v>3</v>
      </c>
      <c r="DE87" t="s">
        <v>3</v>
      </c>
      <c r="DF87">
        <f t="shared" si="40"/>
        <v>0</v>
      </c>
      <c r="DG87">
        <f t="shared" si="35"/>
        <v>0</v>
      </c>
      <c r="DH87">
        <f t="shared" si="36"/>
        <v>0</v>
      </c>
      <c r="DI87">
        <f t="shared" si="33"/>
        <v>31.31</v>
      </c>
      <c r="DJ87">
        <f t="shared" si="41"/>
        <v>31.31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ROW(Source!A118)</f>
        <v>118</v>
      </c>
      <c r="B88">
        <v>84186534</v>
      </c>
      <c r="C88">
        <v>84193222</v>
      </c>
      <c r="D88">
        <v>23566809</v>
      </c>
      <c r="E88">
        <v>1</v>
      </c>
      <c r="F88">
        <v>1</v>
      </c>
      <c r="G88">
        <v>1</v>
      </c>
      <c r="H88">
        <v>1</v>
      </c>
      <c r="I88" t="s">
        <v>493</v>
      </c>
      <c r="J88" t="s">
        <v>3</v>
      </c>
      <c r="K88" t="s">
        <v>494</v>
      </c>
      <c r="L88">
        <v>1369</v>
      </c>
      <c r="N88">
        <v>1013</v>
      </c>
      <c r="O88" t="s">
        <v>388</v>
      </c>
      <c r="P88" t="s">
        <v>388</v>
      </c>
      <c r="Q88">
        <v>1</v>
      </c>
      <c r="W88">
        <v>0</v>
      </c>
      <c r="X88">
        <v>-1713304237</v>
      </c>
      <c r="Y88">
        <f t="shared" si="30"/>
        <v>6.48</v>
      </c>
      <c r="AA88">
        <v>0</v>
      </c>
      <c r="AB88">
        <v>0</v>
      </c>
      <c r="AC88">
        <v>0</v>
      </c>
      <c r="AD88">
        <v>11.86</v>
      </c>
      <c r="AE88">
        <v>0</v>
      </c>
      <c r="AF88">
        <v>0</v>
      </c>
      <c r="AG88">
        <v>0</v>
      </c>
      <c r="AH88">
        <v>11.86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6.48</v>
      </c>
      <c r="AU88" t="s">
        <v>3</v>
      </c>
      <c r="AV88">
        <v>1</v>
      </c>
      <c r="AW88">
        <v>2</v>
      </c>
      <c r="AX88">
        <v>84193226</v>
      </c>
      <c r="AY88">
        <v>1</v>
      </c>
      <c r="AZ88">
        <v>0</v>
      </c>
      <c r="BA88">
        <v>88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U88">
        <f>ROUND(AT88*Source!I118*AH88*AL88,2)</f>
        <v>30.74</v>
      </c>
      <c r="CV88">
        <f>ROUND(Y88*Source!I118,9)</f>
        <v>2.5920000000000001</v>
      </c>
      <c r="CW88">
        <v>0</v>
      </c>
      <c r="CX88">
        <f>ROUND(Y88*Source!I118,9)</f>
        <v>2.5920000000000001</v>
      </c>
      <c r="CY88">
        <f t="shared" si="37"/>
        <v>11.86</v>
      </c>
      <c r="CZ88">
        <f t="shared" si="38"/>
        <v>11.86</v>
      </c>
      <c r="DA88">
        <f t="shared" si="39"/>
        <v>1</v>
      </c>
      <c r="DB88">
        <f t="shared" si="31"/>
        <v>76.849999999999994</v>
      </c>
      <c r="DC88">
        <f t="shared" si="32"/>
        <v>0</v>
      </c>
      <c r="DD88" t="s">
        <v>3</v>
      </c>
      <c r="DE88" t="s">
        <v>3</v>
      </c>
      <c r="DF88">
        <f t="shared" si="40"/>
        <v>0</v>
      </c>
      <c r="DG88">
        <f t="shared" si="35"/>
        <v>0</v>
      </c>
      <c r="DH88">
        <f t="shared" si="36"/>
        <v>0</v>
      </c>
      <c r="DI88">
        <f t="shared" si="33"/>
        <v>30.74</v>
      </c>
      <c r="DJ88">
        <f t="shared" si="41"/>
        <v>30.74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ROW(Source!A163)</f>
        <v>163</v>
      </c>
      <c r="B89">
        <v>84186534</v>
      </c>
      <c r="C89">
        <v>84187099</v>
      </c>
      <c r="D89">
        <v>23134628</v>
      </c>
      <c r="E89">
        <v>1</v>
      </c>
      <c r="F89">
        <v>1</v>
      </c>
      <c r="G89">
        <v>1</v>
      </c>
      <c r="H89">
        <v>1</v>
      </c>
      <c r="I89" t="s">
        <v>495</v>
      </c>
      <c r="J89" t="s">
        <v>3</v>
      </c>
      <c r="K89" t="s">
        <v>496</v>
      </c>
      <c r="L89">
        <v>1369</v>
      </c>
      <c r="N89">
        <v>1013</v>
      </c>
      <c r="O89" t="s">
        <v>388</v>
      </c>
      <c r="P89" t="s">
        <v>388</v>
      </c>
      <c r="Q89">
        <v>1</v>
      </c>
      <c r="W89">
        <v>0</v>
      </c>
      <c r="X89">
        <v>-300987236</v>
      </c>
      <c r="Y89">
        <f t="shared" si="30"/>
        <v>48.94</v>
      </c>
      <c r="AA89">
        <v>0</v>
      </c>
      <c r="AB89">
        <v>0</v>
      </c>
      <c r="AC89">
        <v>0</v>
      </c>
      <c r="AD89">
        <v>8.68</v>
      </c>
      <c r="AE89">
        <v>0</v>
      </c>
      <c r="AF89">
        <v>0</v>
      </c>
      <c r="AG89">
        <v>0</v>
      </c>
      <c r="AH89">
        <v>8.68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48.94</v>
      </c>
      <c r="AU89" t="s">
        <v>3</v>
      </c>
      <c r="AV89">
        <v>1</v>
      </c>
      <c r="AW89">
        <v>2</v>
      </c>
      <c r="AX89">
        <v>84187114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U89">
        <f>ROUND(AT89*Source!I163*AH89*AL89,2)</f>
        <v>21.24</v>
      </c>
      <c r="CV89">
        <f>ROUND(Y89*Source!I163,9)</f>
        <v>2.4470000000000001</v>
      </c>
      <c r="CW89">
        <v>0</v>
      </c>
      <c r="CX89">
        <f>ROUND(Y89*Source!I163,9)</f>
        <v>2.4470000000000001</v>
      </c>
      <c r="CY89">
        <f t="shared" si="37"/>
        <v>8.68</v>
      </c>
      <c r="CZ89">
        <f t="shared" si="38"/>
        <v>8.68</v>
      </c>
      <c r="DA89">
        <f t="shared" si="39"/>
        <v>1</v>
      </c>
      <c r="DB89">
        <f t="shared" si="31"/>
        <v>424.8</v>
      </c>
      <c r="DC89">
        <f t="shared" si="32"/>
        <v>0</v>
      </c>
      <c r="DD89" t="s">
        <v>3</v>
      </c>
      <c r="DE89" t="s">
        <v>3</v>
      </c>
      <c r="DF89">
        <f t="shared" si="40"/>
        <v>0</v>
      </c>
      <c r="DG89">
        <f t="shared" si="35"/>
        <v>0</v>
      </c>
      <c r="DH89">
        <f t="shared" si="36"/>
        <v>0</v>
      </c>
      <c r="DI89">
        <f t="shared" si="33"/>
        <v>21.24</v>
      </c>
      <c r="DJ89">
        <f t="shared" si="41"/>
        <v>21.24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ROW(Source!A163)</f>
        <v>163</v>
      </c>
      <c r="B90">
        <v>84186534</v>
      </c>
      <c r="C90">
        <v>84187099</v>
      </c>
      <c r="D90">
        <v>121548</v>
      </c>
      <c r="E90">
        <v>1</v>
      </c>
      <c r="F90">
        <v>1</v>
      </c>
      <c r="G90">
        <v>1</v>
      </c>
      <c r="H90">
        <v>1</v>
      </c>
      <c r="I90" t="s">
        <v>95</v>
      </c>
      <c r="J90" t="s">
        <v>3</v>
      </c>
      <c r="K90" t="s">
        <v>389</v>
      </c>
      <c r="L90">
        <v>608254</v>
      </c>
      <c r="N90">
        <v>1013</v>
      </c>
      <c r="O90" t="s">
        <v>390</v>
      </c>
      <c r="P90" t="s">
        <v>390</v>
      </c>
      <c r="Q90">
        <v>1</v>
      </c>
      <c r="W90">
        <v>0</v>
      </c>
      <c r="X90">
        <v>-185737400</v>
      </c>
      <c r="Y90">
        <f t="shared" si="30"/>
        <v>14.19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14.19</v>
      </c>
      <c r="AU90" t="s">
        <v>3</v>
      </c>
      <c r="AV90">
        <v>2</v>
      </c>
      <c r="AW90">
        <v>2</v>
      </c>
      <c r="AX90">
        <v>84187115</v>
      </c>
      <c r="AY90">
        <v>1</v>
      </c>
      <c r="AZ90">
        <v>0</v>
      </c>
      <c r="BA90">
        <v>90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v>0</v>
      </c>
      <c r="CX90">
        <f>ROUND(Y90*Source!I163,9)</f>
        <v>0.70950000000000002</v>
      </c>
      <c r="CY90">
        <f t="shared" si="37"/>
        <v>0</v>
      </c>
      <c r="CZ90">
        <f t="shared" si="38"/>
        <v>0</v>
      </c>
      <c r="DA90">
        <f t="shared" si="39"/>
        <v>1</v>
      </c>
      <c r="DB90">
        <f t="shared" si="31"/>
        <v>0</v>
      </c>
      <c r="DC90">
        <f t="shared" si="32"/>
        <v>0</v>
      </c>
      <c r="DD90" t="s">
        <v>3</v>
      </c>
      <c r="DE90" t="s">
        <v>3</v>
      </c>
      <c r="DF90">
        <f t="shared" si="40"/>
        <v>0</v>
      </c>
      <c r="DG90">
        <f t="shared" si="35"/>
        <v>0</v>
      </c>
      <c r="DH90">
        <f t="shared" si="36"/>
        <v>0</v>
      </c>
      <c r="DI90">
        <f t="shared" si="33"/>
        <v>0</v>
      </c>
      <c r="DJ90">
        <f t="shared" si="41"/>
        <v>0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ROW(Source!A163)</f>
        <v>163</v>
      </c>
      <c r="B91">
        <v>84186534</v>
      </c>
      <c r="C91">
        <v>84187099</v>
      </c>
      <c r="D91">
        <v>37802345</v>
      </c>
      <c r="E91">
        <v>1</v>
      </c>
      <c r="F91">
        <v>1</v>
      </c>
      <c r="G91">
        <v>1</v>
      </c>
      <c r="H91">
        <v>2</v>
      </c>
      <c r="I91" t="s">
        <v>403</v>
      </c>
      <c r="J91" t="s">
        <v>404</v>
      </c>
      <c r="K91" t="s">
        <v>405</v>
      </c>
      <c r="L91">
        <v>1368</v>
      </c>
      <c r="N91">
        <v>1011</v>
      </c>
      <c r="O91" t="s">
        <v>394</v>
      </c>
      <c r="P91" t="s">
        <v>394</v>
      </c>
      <c r="Q91">
        <v>1</v>
      </c>
      <c r="W91">
        <v>0</v>
      </c>
      <c r="X91">
        <v>-1096394961</v>
      </c>
      <c r="Y91">
        <f t="shared" si="30"/>
        <v>7.56</v>
      </c>
      <c r="AA91">
        <v>0</v>
      </c>
      <c r="AB91">
        <v>1014.97</v>
      </c>
      <c r="AC91">
        <v>426.77</v>
      </c>
      <c r="AD91">
        <v>0</v>
      </c>
      <c r="AE91">
        <v>0</v>
      </c>
      <c r="AF91">
        <v>72.239999999999995</v>
      </c>
      <c r="AG91">
        <v>12.1</v>
      </c>
      <c r="AH91">
        <v>0</v>
      </c>
      <c r="AI91">
        <v>1</v>
      </c>
      <c r="AJ91">
        <v>14.05</v>
      </c>
      <c r="AK91">
        <v>35.270000000000003</v>
      </c>
      <c r="AL91">
        <v>1</v>
      </c>
      <c r="AM91">
        <v>2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7.56</v>
      </c>
      <c r="AU91" t="s">
        <v>3</v>
      </c>
      <c r="AV91">
        <v>0</v>
      </c>
      <c r="AW91">
        <v>2</v>
      </c>
      <c r="AX91">
        <v>84187116</v>
      </c>
      <c r="AY91">
        <v>1</v>
      </c>
      <c r="AZ91">
        <v>0</v>
      </c>
      <c r="BA91">
        <v>91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f>ROUND(Y91*Source!I163*DO91,9)</f>
        <v>0</v>
      </c>
      <c r="CX91">
        <f>ROUND(Y91*Source!I163,9)</f>
        <v>0.378</v>
      </c>
      <c r="CY91">
        <f>AB91</f>
        <v>1014.97</v>
      </c>
      <c r="CZ91">
        <f>AF91</f>
        <v>72.239999999999995</v>
      </c>
      <c r="DA91">
        <f>AJ91</f>
        <v>14.05</v>
      </c>
      <c r="DB91">
        <f t="shared" si="31"/>
        <v>546.13</v>
      </c>
      <c r="DC91">
        <f t="shared" si="32"/>
        <v>91.48</v>
      </c>
      <c r="DD91" t="s">
        <v>3</v>
      </c>
      <c r="DE91" t="s">
        <v>3</v>
      </c>
      <c r="DF91">
        <f t="shared" si="40"/>
        <v>0</v>
      </c>
      <c r="DG91">
        <f>ROUND(ROUND(AF91*AJ91,2)*CX91,2)</f>
        <v>383.66</v>
      </c>
      <c r="DH91">
        <f>ROUND(ROUND(AG91*AK91,2)*CX91,2)</f>
        <v>161.32</v>
      </c>
      <c r="DI91">
        <f t="shared" si="33"/>
        <v>0</v>
      </c>
      <c r="DJ91">
        <f>DG91</f>
        <v>383.66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ROW(Source!A163)</f>
        <v>163</v>
      </c>
      <c r="B92">
        <v>84186534</v>
      </c>
      <c r="C92">
        <v>84187099</v>
      </c>
      <c r="D92">
        <v>37802579</v>
      </c>
      <c r="E92">
        <v>1</v>
      </c>
      <c r="F92">
        <v>1</v>
      </c>
      <c r="G92">
        <v>1</v>
      </c>
      <c r="H92">
        <v>2</v>
      </c>
      <c r="I92" t="s">
        <v>391</v>
      </c>
      <c r="J92" t="s">
        <v>392</v>
      </c>
      <c r="K92" t="s">
        <v>393</v>
      </c>
      <c r="L92">
        <v>1368</v>
      </c>
      <c r="N92">
        <v>1011</v>
      </c>
      <c r="O92" t="s">
        <v>394</v>
      </c>
      <c r="P92" t="s">
        <v>394</v>
      </c>
      <c r="Q92">
        <v>1</v>
      </c>
      <c r="W92">
        <v>0</v>
      </c>
      <c r="X92">
        <v>1698075389</v>
      </c>
      <c r="Y92">
        <f t="shared" si="30"/>
        <v>6.63</v>
      </c>
      <c r="AA92">
        <v>0</v>
      </c>
      <c r="AB92">
        <v>898.36</v>
      </c>
      <c r="AC92">
        <v>317.43</v>
      </c>
      <c r="AD92">
        <v>0</v>
      </c>
      <c r="AE92">
        <v>0</v>
      </c>
      <c r="AF92">
        <v>85.64</v>
      </c>
      <c r="AG92">
        <v>9</v>
      </c>
      <c r="AH92">
        <v>0</v>
      </c>
      <c r="AI92">
        <v>1</v>
      </c>
      <c r="AJ92">
        <v>10.49</v>
      </c>
      <c r="AK92">
        <v>35.270000000000003</v>
      </c>
      <c r="AL92">
        <v>1</v>
      </c>
      <c r="AM92">
        <v>2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6.63</v>
      </c>
      <c r="AU92" t="s">
        <v>3</v>
      </c>
      <c r="AV92">
        <v>0</v>
      </c>
      <c r="AW92">
        <v>2</v>
      </c>
      <c r="AX92">
        <v>84187117</v>
      </c>
      <c r="AY92">
        <v>1</v>
      </c>
      <c r="AZ92">
        <v>0</v>
      </c>
      <c r="BA92">
        <v>92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f>ROUND(Y92*Source!I163*DO92,9)</f>
        <v>0</v>
      </c>
      <c r="CX92">
        <f>ROUND(Y92*Source!I163,9)</f>
        <v>0.33150000000000002</v>
      </c>
      <c r="CY92">
        <f>AB92</f>
        <v>898.36</v>
      </c>
      <c r="CZ92">
        <f>AF92</f>
        <v>85.64</v>
      </c>
      <c r="DA92">
        <f>AJ92</f>
        <v>10.49</v>
      </c>
      <c r="DB92">
        <f t="shared" si="31"/>
        <v>567.79</v>
      </c>
      <c r="DC92">
        <f t="shared" si="32"/>
        <v>59.67</v>
      </c>
      <c r="DD92" t="s">
        <v>3</v>
      </c>
      <c r="DE92" t="s">
        <v>3</v>
      </c>
      <c r="DF92">
        <f t="shared" si="40"/>
        <v>0</v>
      </c>
      <c r="DG92">
        <f>ROUND(ROUND(AF92*AJ92,2)*CX92,2)</f>
        <v>297.81</v>
      </c>
      <c r="DH92">
        <f>ROUND(ROUND(AG92*AK92,2)*CX92,2)</f>
        <v>105.23</v>
      </c>
      <c r="DI92">
        <f t="shared" si="33"/>
        <v>0</v>
      </c>
      <c r="DJ92">
        <f>DG92</f>
        <v>297.81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ROW(Source!A163)</f>
        <v>163</v>
      </c>
      <c r="B93">
        <v>84186534</v>
      </c>
      <c r="C93">
        <v>84187099</v>
      </c>
      <c r="D93">
        <v>37804456</v>
      </c>
      <c r="E93">
        <v>1</v>
      </c>
      <c r="F93">
        <v>1</v>
      </c>
      <c r="G93">
        <v>1</v>
      </c>
      <c r="H93">
        <v>2</v>
      </c>
      <c r="I93" t="s">
        <v>395</v>
      </c>
      <c r="J93" t="s">
        <v>396</v>
      </c>
      <c r="K93" t="s">
        <v>397</v>
      </c>
      <c r="L93">
        <v>1368</v>
      </c>
      <c r="N93">
        <v>1011</v>
      </c>
      <c r="O93" t="s">
        <v>394</v>
      </c>
      <c r="P93" t="s">
        <v>394</v>
      </c>
      <c r="Q93">
        <v>1</v>
      </c>
      <c r="W93">
        <v>0</v>
      </c>
      <c r="X93">
        <v>-671646184</v>
      </c>
      <c r="Y93">
        <f t="shared" si="30"/>
        <v>2.4500000000000002</v>
      </c>
      <c r="AA93">
        <v>0</v>
      </c>
      <c r="AB93">
        <v>1305.74</v>
      </c>
      <c r="AC93">
        <v>365.04</v>
      </c>
      <c r="AD93">
        <v>0</v>
      </c>
      <c r="AE93">
        <v>0</v>
      </c>
      <c r="AF93">
        <v>91.76</v>
      </c>
      <c r="AG93">
        <v>10.35</v>
      </c>
      <c r="AH93">
        <v>0</v>
      </c>
      <c r="AI93">
        <v>1</v>
      </c>
      <c r="AJ93">
        <v>14.23</v>
      </c>
      <c r="AK93">
        <v>35.270000000000003</v>
      </c>
      <c r="AL93">
        <v>1</v>
      </c>
      <c r="AM93">
        <v>2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2.4500000000000002</v>
      </c>
      <c r="AU93" t="s">
        <v>3</v>
      </c>
      <c r="AV93">
        <v>0</v>
      </c>
      <c r="AW93">
        <v>2</v>
      </c>
      <c r="AX93">
        <v>84187118</v>
      </c>
      <c r="AY93">
        <v>1</v>
      </c>
      <c r="AZ93">
        <v>0</v>
      </c>
      <c r="BA93">
        <v>93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f>ROUND(Y93*Source!I163*DO93,9)</f>
        <v>0</v>
      </c>
      <c r="CX93">
        <f>ROUND(Y93*Source!I163,9)</f>
        <v>0.1225</v>
      </c>
      <c r="CY93">
        <f>AB93</f>
        <v>1305.74</v>
      </c>
      <c r="CZ93">
        <f>AF93</f>
        <v>91.76</v>
      </c>
      <c r="DA93">
        <f>AJ93</f>
        <v>14.23</v>
      </c>
      <c r="DB93">
        <f t="shared" si="31"/>
        <v>224.81</v>
      </c>
      <c r="DC93">
        <f t="shared" si="32"/>
        <v>25.36</v>
      </c>
      <c r="DD93" t="s">
        <v>3</v>
      </c>
      <c r="DE93" t="s">
        <v>3</v>
      </c>
      <c r="DF93">
        <f t="shared" si="40"/>
        <v>0</v>
      </c>
      <c r="DG93">
        <f>ROUND(ROUND(AF93*AJ93,2)*CX93,2)</f>
        <v>159.94999999999999</v>
      </c>
      <c r="DH93">
        <f>ROUND(ROUND(AG93*AK93,2)*CX93,2)</f>
        <v>44.72</v>
      </c>
      <c r="DI93">
        <f t="shared" si="33"/>
        <v>0</v>
      </c>
      <c r="DJ93">
        <f>DG93</f>
        <v>159.94999999999999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ROW(Source!A163)</f>
        <v>163</v>
      </c>
      <c r="B94">
        <v>84186534</v>
      </c>
      <c r="C94">
        <v>84187099</v>
      </c>
      <c r="D94">
        <v>37729917</v>
      </c>
      <c r="E94">
        <v>1</v>
      </c>
      <c r="F94">
        <v>1</v>
      </c>
      <c r="G94">
        <v>1</v>
      </c>
      <c r="H94">
        <v>3</v>
      </c>
      <c r="I94" t="s">
        <v>463</v>
      </c>
      <c r="J94" t="s">
        <v>464</v>
      </c>
      <c r="K94" t="s">
        <v>465</v>
      </c>
      <c r="L94">
        <v>1348</v>
      </c>
      <c r="N94">
        <v>1009</v>
      </c>
      <c r="O94" t="s">
        <v>117</v>
      </c>
      <c r="P94" t="s">
        <v>117</v>
      </c>
      <c r="Q94">
        <v>1000</v>
      </c>
      <c r="W94">
        <v>0</v>
      </c>
      <c r="X94">
        <v>-31802417</v>
      </c>
      <c r="Y94">
        <f t="shared" si="30"/>
        <v>2.2000000000000001E-4</v>
      </c>
      <c r="AA94">
        <v>74870.41</v>
      </c>
      <c r="AB94">
        <v>0</v>
      </c>
      <c r="AC94">
        <v>0</v>
      </c>
      <c r="AD94">
        <v>0</v>
      </c>
      <c r="AE94">
        <v>6667</v>
      </c>
      <c r="AF94">
        <v>0</v>
      </c>
      <c r="AG94">
        <v>0</v>
      </c>
      <c r="AH94">
        <v>0</v>
      </c>
      <c r="AI94">
        <v>11.23</v>
      </c>
      <c r="AJ94">
        <v>1</v>
      </c>
      <c r="AK94">
        <v>1</v>
      </c>
      <c r="AL94">
        <v>1</v>
      </c>
      <c r="AM94">
        <v>2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2.2000000000000001E-4</v>
      </c>
      <c r="AU94" t="s">
        <v>3</v>
      </c>
      <c r="AV94">
        <v>0</v>
      </c>
      <c r="AW94">
        <v>2</v>
      </c>
      <c r="AX94">
        <v>84187119</v>
      </c>
      <c r="AY94">
        <v>1</v>
      </c>
      <c r="AZ94">
        <v>0</v>
      </c>
      <c r="BA94">
        <v>94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v>0</v>
      </c>
      <c r="CX94">
        <f>ROUND(Y94*Source!I163,9)</f>
        <v>1.1E-5</v>
      </c>
      <c r="CY94">
        <f t="shared" ref="CY94:CY102" si="42">AA94</f>
        <v>74870.41</v>
      </c>
      <c r="CZ94">
        <f t="shared" ref="CZ94:CZ102" si="43">AE94</f>
        <v>6667</v>
      </c>
      <c r="DA94">
        <f t="shared" ref="DA94:DA102" si="44">AI94</f>
        <v>11.23</v>
      </c>
      <c r="DB94">
        <f t="shared" si="31"/>
        <v>1.47</v>
      </c>
      <c r="DC94">
        <f t="shared" si="32"/>
        <v>0</v>
      </c>
      <c r="DD94" t="s">
        <v>3</v>
      </c>
      <c r="DE94" t="s">
        <v>3</v>
      </c>
      <c r="DF94">
        <f>ROUND(ROUND(AE94*AI94,2)*CX94,2)</f>
        <v>0.82</v>
      </c>
      <c r="DG94">
        <f t="shared" ref="DG94:DG102" si="45">ROUND(ROUND(AF94,2)*CX94,2)</f>
        <v>0</v>
      </c>
      <c r="DH94">
        <f t="shared" ref="DH94:DH102" si="46">ROUND(ROUND(AG94,2)*CX94,2)</f>
        <v>0</v>
      </c>
      <c r="DI94">
        <f t="shared" si="33"/>
        <v>0</v>
      </c>
      <c r="DJ94">
        <f t="shared" ref="DJ94:DJ102" si="47">DF94</f>
        <v>0.82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ROW(Source!A163)</f>
        <v>163</v>
      </c>
      <c r="B95">
        <v>84186534</v>
      </c>
      <c r="C95">
        <v>84187099</v>
      </c>
      <c r="D95">
        <v>37729633</v>
      </c>
      <c r="E95">
        <v>1</v>
      </c>
      <c r="F95">
        <v>1</v>
      </c>
      <c r="G95">
        <v>1</v>
      </c>
      <c r="H95">
        <v>3</v>
      </c>
      <c r="I95" t="s">
        <v>497</v>
      </c>
      <c r="J95" t="s">
        <v>498</v>
      </c>
      <c r="K95" t="s">
        <v>499</v>
      </c>
      <c r="L95">
        <v>1348</v>
      </c>
      <c r="N95">
        <v>1009</v>
      </c>
      <c r="O95" t="s">
        <v>117</v>
      </c>
      <c r="P95" t="s">
        <v>117</v>
      </c>
      <c r="Q95">
        <v>1000</v>
      </c>
      <c r="W95">
        <v>0</v>
      </c>
      <c r="X95">
        <v>-447054030</v>
      </c>
      <c r="Y95">
        <f t="shared" si="30"/>
        <v>6.0000000000000002E-5</v>
      </c>
      <c r="AA95">
        <v>98918.399999999994</v>
      </c>
      <c r="AB95">
        <v>0</v>
      </c>
      <c r="AC95">
        <v>0</v>
      </c>
      <c r="AD95">
        <v>0</v>
      </c>
      <c r="AE95">
        <v>6144</v>
      </c>
      <c r="AF95">
        <v>0</v>
      </c>
      <c r="AG95">
        <v>0</v>
      </c>
      <c r="AH95">
        <v>0</v>
      </c>
      <c r="AI95">
        <v>16.100000000000001</v>
      </c>
      <c r="AJ95">
        <v>1</v>
      </c>
      <c r="AK95">
        <v>1</v>
      </c>
      <c r="AL95">
        <v>1</v>
      </c>
      <c r="AM95">
        <v>2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6.0000000000000002E-5</v>
      </c>
      <c r="AU95" t="s">
        <v>3</v>
      </c>
      <c r="AV95">
        <v>0</v>
      </c>
      <c r="AW95">
        <v>2</v>
      </c>
      <c r="AX95">
        <v>84187120</v>
      </c>
      <c r="AY95">
        <v>1</v>
      </c>
      <c r="AZ95">
        <v>0</v>
      </c>
      <c r="BA95">
        <v>95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ROUND(Y95*Source!I163,9)</f>
        <v>3.0000000000000001E-6</v>
      </c>
      <c r="CY95">
        <f t="shared" si="42"/>
        <v>98918.399999999994</v>
      </c>
      <c r="CZ95">
        <f t="shared" si="43"/>
        <v>6144</v>
      </c>
      <c r="DA95">
        <f t="shared" si="44"/>
        <v>16.100000000000001</v>
      </c>
      <c r="DB95">
        <f t="shared" si="31"/>
        <v>0.37</v>
      </c>
      <c r="DC95">
        <f t="shared" si="32"/>
        <v>0</v>
      </c>
      <c r="DD95" t="s">
        <v>3</v>
      </c>
      <c r="DE95" t="s">
        <v>3</v>
      </c>
      <c r="DF95">
        <f>ROUND(ROUND(AE95*AI95,2)*CX95,2)</f>
        <v>0.3</v>
      </c>
      <c r="DG95">
        <f t="shared" si="45"/>
        <v>0</v>
      </c>
      <c r="DH95">
        <f t="shared" si="46"/>
        <v>0</v>
      </c>
      <c r="DI95">
        <f t="shared" si="33"/>
        <v>0</v>
      </c>
      <c r="DJ95">
        <f t="shared" si="47"/>
        <v>0.3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ROW(Source!A163)</f>
        <v>163</v>
      </c>
      <c r="B96">
        <v>84186534</v>
      </c>
      <c r="C96">
        <v>84187099</v>
      </c>
      <c r="D96">
        <v>37729991</v>
      </c>
      <c r="E96">
        <v>1</v>
      </c>
      <c r="F96">
        <v>1</v>
      </c>
      <c r="G96">
        <v>1</v>
      </c>
      <c r="H96">
        <v>3</v>
      </c>
      <c r="I96" t="s">
        <v>451</v>
      </c>
      <c r="J96" t="s">
        <v>452</v>
      </c>
      <c r="K96" t="s">
        <v>453</v>
      </c>
      <c r="L96">
        <v>1346</v>
      </c>
      <c r="N96">
        <v>1009</v>
      </c>
      <c r="O96" t="s">
        <v>139</v>
      </c>
      <c r="P96" t="s">
        <v>139</v>
      </c>
      <c r="Q96">
        <v>1</v>
      </c>
      <c r="W96">
        <v>0</v>
      </c>
      <c r="X96">
        <v>844235703</v>
      </c>
      <c r="Y96">
        <f t="shared" si="30"/>
        <v>0.05</v>
      </c>
      <c r="AA96">
        <v>27.37</v>
      </c>
      <c r="AB96">
        <v>0</v>
      </c>
      <c r="AC96">
        <v>0</v>
      </c>
      <c r="AD96">
        <v>0</v>
      </c>
      <c r="AE96">
        <v>1.82</v>
      </c>
      <c r="AF96">
        <v>0</v>
      </c>
      <c r="AG96">
        <v>0</v>
      </c>
      <c r="AH96">
        <v>0</v>
      </c>
      <c r="AI96">
        <v>15.04</v>
      </c>
      <c r="AJ96">
        <v>1</v>
      </c>
      <c r="AK96">
        <v>1</v>
      </c>
      <c r="AL96">
        <v>1</v>
      </c>
      <c r="AM96">
        <v>2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0.05</v>
      </c>
      <c r="AU96" t="s">
        <v>3</v>
      </c>
      <c r="AV96">
        <v>0</v>
      </c>
      <c r="AW96">
        <v>2</v>
      </c>
      <c r="AX96">
        <v>84187121</v>
      </c>
      <c r="AY96">
        <v>1</v>
      </c>
      <c r="AZ96">
        <v>0</v>
      </c>
      <c r="BA96">
        <v>96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v>0</v>
      </c>
      <c r="CX96">
        <f>ROUND(Y96*Source!I163,9)</f>
        <v>2.5000000000000001E-3</v>
      </c>
      <c r="CY96">
        <f t="shared" si="42"/>
        <v>27.37</v>
      </c>
      <c r="CZ96">
        <f t="shared" si="43"/>
        <v>1.82</v>
      </c>
      <c r="DA96">
        <f t="shared" si="44"/>
        <v>15.04</v>
      </c>
      <c r="DB96">
        <f t="shared" si="31"/>
        <v>0.09</v>
      </c>
      <c r="DC96">
        <f t="shared" si="32"/>
        <v>0</v>
      </c>
      <c r="DD96" t="s">
        <v>3</v>
      </c>
      <c r="DE96" t="s">
        <v>3</v>
      </c>
      <c r="DF96">
        <f>ROUND(ROUND(AE96*AI96,2)*CX96,2)</f>
        <v>7.0000000000000007E-2</v>
      </c>
      <c r="DG96">
        <f t="shared" si="45"/>
        <v>0</v>
      </c>
      <c r="DH96">
        <f t="shared" si="46"/>
        <v>0</v>
      </c>
      <c r="DI96">
        <f t="shared" si="33"/>
        <v>0</v>
      </c>
      <c r="DJ96">
        <f t="shared" si="47"/>
        <v>7.0000000000000007E-2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ROW(Source!A163)</f>
        <v>163</v>
      </c>
      <c r="B97">
        <v>84186534</v>
      </c>
      <c r="C97">
        <v>84187099</v>
      </c>
      <c r="D97">
        <v>37729892</v>
      </c>
      <c r="E97">
        <v>1</v>
      </c>
      <c r="F97">
        <v>1</v>
      </c>
      <c r="G97">
        <v>1</v>
      </c>
      <c r="H97">
        <v>3</v>
      </c>
      <c r="I97" t="s">
        <v>454</v>
      </c>
      <c r="J97" t="s">
        <v>455</v>
      </c>
      <c r="K97" t="s">
        <v>456</v>
      </c>
      <c r="L97">
        <v>1346</v>
      </c>
      <c r="N97">
        <v>1009</v>
      </c>
      <c r="O97" t="s">
        <v>139</v>
      </c>
      <c r="P97" t="s">
        <v>139</v>
      </c>
      <c r="Q97">
        <v>1</v>
      </c>
      <c r="W97">
        <v>0</v>
      </c>
      <c r="X97">
        <v>-1589564529</v>
      </c>
      <c r="Y97">
        <f t="shared" ref="Y97:Y102" si="48">AT97</f>
        <v>0.1</v>
      </c>
      <c r="AA97">
        <v>238.6</v>
      </c>
      <c r="AB97">
        <v>0</v>
      </c>
      <c r="AC97">
        <v>0</v>
      </c>
      <c r="AD97">
        <v>0</v>
      </c>
      <c r="AE97">
        <v>14.62</v>
      </c>
      <c r="AF97">
        <v>0</v>
      </c>
      <c r="AG97">
        <v>0</v>
      </c>
      <c r="AH97">
        <v>0</v>
      </c>
      <c r="AI97">
        <v>16.32</v>
      </c>
      <c r="AJ97">
        <v>1</v>
      </c>
      <c r="AK97">
        <v>1</v>
      </c>
      <c r="AL97">
        <v>1</v>
      </c>
      <c r="AM97">
        <v>2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0.1</v>
      </c>
      <c r="AU97" t="s">
        <v>3</v>
      </c>
      <c r="AV97">
        <v>0</v>
      </c>
      <c r="AW97">
        <v>2</v>
      </c>
      <c r="AX97">
        <v>84187122</v>
      </c>
      <c r="AY97">
        <v>1</v>
      </c>
      <c r="AZ97">
        <v>0</v>
      </c>
      <c r="BA97">
        <v>97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ROUND(Y97*Source!I163,9)</f>
        <v>5.0000000000000001E-3</v>
      </c>
      <c r="CY97">
        <f t="shared" si="42"/>
        <v>238.6</v>
      </c>
      <c r="CZ97">
        <f t="shared" si="43"/>
        <v>14.62</v>
      </c>
      <c r="DA97">
        <f t="shared" si="44"/>
        <v>16.32</v>
      </c>
      <c r="DB97">
        <f t="shared" ref="DB97:DB102" si="49">ROUND(ROUND(AT97*CZ97,2),2)</f>
        <v>1.46</v>
      </c>
      <c r="DC97">
        <f t="shared" ref="DC97:DC102" si="50">ROUND(ROUND(AT97*AG97,2),2)</f>
        <v>0</v>
      </c>
      <c r="DD97" t="s">
        <v>3</v>
      </c>
      <c r="DE97" t="s">
        <v>3</v>
      </c>
      <c r="DF97">
        <f>ROUND(ROUND(AE97*AI97,2)*CX97,2)</f>
        <v>1.19</v>
      </c>
      <c r="DG97">
        <f t="shared" si="45"/>
        <v>0</v>
      </c>
      <c r="DH97">
        <f t="shared" si="46"/>
        <v>0</v>
      </c>
      <c r="DI97">
        <f t="shared" ref="DI97:DI102" si="51">ROUND(ROUND(AH97,2)*CX97,2)</f>
        <v>0</v>
      </c>
      <c r="DJ97">
        <f t="shared" si="47"/>
        <v>1.19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ROW(Source!A163)</f>
        <v>163</v>
      </c>
      <c r="B98">
        <v>84186534</v>
      </c>
      <c r="C98">
        <v>84187099</v>
      </c>
      <c r="D98">
        <v>37744087</v>
      </c>
      <c r="E98">
        <v>1</v>
      </c>
      <c r="F98">
        <v>1</v>
      </c>
      <c r="G98">
        <v>1</v>
      </c>
      <c r="H98">
        <v>3</v>
      </c>
      <c r="I98" t="s">
        <v>292</v>
      </c>
      <c r="J98" t="s">
        <v>294</v>
      </c>
      <c r="K98" t="s">
        <v>293</v>
      </c>
      <c r="L98">
        <v>1348</v>
      </c>
      <c r="N98">
        <v>1009</v>
      </c>
      <c r="O98" t="s">
        <v>117</v>
      </c>
      <c r="P98" t="s">
        <v>117</v>
      </c>
      <c r="Q98">
        <v>1000</v>
      </c>
      <c r="W98">
        <v>0</v>
      </c>
      <c r="X98">
        <v>-1855669986</v>
      </c>
      <c r="Y98">
        <f t="shared" si="48"/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M98">
        <v>0</v>
      </c>
      <c r="AN98">
        <v>1</v>
      </c>
      <c r="AO98">
        <v>0</v>
      </c>
      <c r="AP98">
        <v>1</v>
      </c>
      <c r="AQ98">
        <v>0</v>
      </c>
      <c r="AR98">
        <v>0</v>
      </c>
      <c r="AS98" t="s">
        <v>3</v>
      </c>
      <c r="AT98">
        <v>0</v>
      </c>
      <c r="AU98" t="s">
        <v>3</v>
      </c>
      <c r="AV98">
        <v>0</v>
      </c>
      <c r="AW98">
        <v>2</v>
      </c>
      <c r="AX98">
        <v>84187123</v>
      </c>
      <c r="AY98">
        <v>1</v>
      </c>
      <c r="AZ98">
        <v>0</v>
      </c>
      <c r="BA98">
        <v>98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v>0</v>
      </c>
      <c r="CX98">
        <f>ROUND(Y98*Source!I163,9)</f>
        <v>0</v>
      </c>
      <c r="CY98">
        <f t="shared" si="42"/>
        <v>0</v>
      </c>
      <c r="CZ98">
        <f t="shared" si="43"/>
        <v>0</v>
      </c>
      <c r="DA98">
        <f t="shared" si="44"/>
        <v>1</v>
      </c>
      <c r="DB98">
        <f t="shared" si="49"/>
        <v>0</v>
      </c>
      <c r="DC98">
        <f t="shared" si="50"/>
        <v>0</v>
      </c>
      <c r="DD98" t="s">
        <v>3</v>
      </c>
      <c r="DE98" t="s">
        <v>3</v>
      </c>
      <c r="DF98">
        <f>ROUND(ROUND(AE98,2)*CX98,2)</f>
        <v>0</v>
      </c>
      <c r="DG98">
        <f t="shared" si="45"/>
        <v>0</v>
      </c>
      <c r="DH98">
        <f t="shared" si="46"/>
        <v>0</v>
      </c>
      <c r="DI98">
        <f t="shared" si="51"/>
        <v>0</v>
      </c>
      <c r="DJ98">
        <f t="shared" si="47"/>
        <v>0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ROW(Source!A163)</f>
        <v>163</v>
      </c>
      <c r="B99">
        <v>84186534</v>
      </c>
      <c r="C99">
        <v>84187099</v>
      </c>
      <c r="D99">
        <v>37744375</v>
      </c>
      <c r="E99">
        <v>1</v>
      </c>
      <c r="F99">
        <v>1</v>
      </c>
      <c r="G99">
        <v>1</v>
      </c>
      <c r="H99">
        <v>3</v>
      </c>
      <c r="I99" t="s">
        <v>296</v>
      </c>
      <c r="J99" t="s">
        <v>298</v>
      </c>
      <c r="K99" t="s">
        <v>297</v>
      </c>
      <c r="L99">
        <v>1348</v>
      </c>
      <c r="N99">
        <v>1009</v>
      </c>
      <c r="O99" t="s">
        <v>117</v>
      </c>
      <c r="P99" t="s">
        <v>117</v>
      </c>
      <c r="Q99">
        <v>1000</v>
      </c>
      <c r="W99">
        <v>0</v>
      </c>
      <c r="X99">
        <v>-1609352925</v>
      </c>
      <c r="Y99">
        <f t="shared" si="48"/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0</v>
      </c>
      <c r="AN99">
        <v>1</v>
      </c>
      <c r="AO99">
        <v>0</v>
      </c>
      <c r="AP99">
        <v>1</v>
      </c>
      <c r="AQ99">
        <v>0</v>
      </c>
      <c r="AR99">
        <v>0</v>
      </c>
      <c r="AS99" t="s">
        <v>3</v>
      </c>
      <c r="AT99">
        <v>0</v>
      </c>
      <c r="AU99" t="s">
        <v>3</v>
      </c>
      <c r="AV99">
        <v>0</v>
      </c>
      <c r="AW99">
        <v>2</v>
      </c>
      <c r="AX99">
        <v>84187124</v>
      </c>
      <c r="AY99">
        <v>1</v>
      </c>
      <c r="AZ99">
        <v>0</v>
      </c>
      <c r="BA99">
        <v>99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v>0</v>
      </c>
      <c r="CX99">
        <f>ROUND(Y99*Source!I163,9)</f>
        <v>0</v>
      </c>
      <c r="CY99">
        <f t="shared" si="42"/>
        <v>0</v>
      </c>
      <c r="CZ99">
        <f t="shared" si="43"/>
        <v>0</v>
      </c>
      <c r="DA99">
        <f t="shared" si="44"/>
        <v>1</v>
      </c>
      <c r="DB99">
        <f t="shared" si="49"/>
        <v>0</v>
      </c>
      <c r="DC99">
        <f t="shared" si="50"/>
        <v>0</v>
      </c>
      <c r="DD99" t="s">
        <v>3</v>
      </c>
      <c r="DE99" t="s">
        <v>3</v>
      </c>
      <c r="DF99">
        <f>ROUND(ROUND(AE99,2)*CX99,2)</f>
        <v>0</v>
      </c>
      <c r="DG99">
        <f t="shared" si="45"/>
        <v>0</v>
      </c>
      <c r="DH99">
        <f t="shared" si="46"/>
        <v>0</v>
      </c>
      <c r="DI99">
        <f t="shared" si="51"/>
        <v>0</v>
      </c>
      <c r="DJ99">
        <f t="shared" si="47"/>
        <v>0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ROW(Source!A163)</f>
        <v>163</v>
      </c>
      <c r="B100">
        <v>84186534</v>
      </c>
      <c r="C100">
        <v>84187099</v>
      </c>
      <c r="D100">
        <v>37783476</v>
      </c>
      <c r="E100">
        <v>1</v>
      </c>
      <c r="F100">
        <v>1</v>
      </c>
      <c r="G100">
        <v>1</v>
      </c>
      <c r="H100">
        <v>3</v>
      </c>
      <c r="I100" t="s">
        <v>300</v>
      </c>
      <c r="J100" t="s">
        <v>302</v>
      </c>
      <c r="K100" t="s">
        <v>301</v>
      </c>
      <c r="L100">
        <v>1348</v>
      </c>
      <c r="N100">
        <v>1009</v>
      </c>
      <c r="O100" t="s">
        <v>117</v>
      </c>
      <c r="P100" t="s">
        <v>117</v>
      </c>
      <c r="Q100">
        <v>1000</v>
      </c>
      <c r="W100">
        <v>0</v>
      </c>
      <c r="X100">
        <v>533926792</v>
      </c>
      <c r="Y100">
        <f t="shared" si="48"/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0</v>
      </c>
      <c r="AN100">
        <v>1</v>
      </c>
      <c r="AO100">
        <v>0</v>
      </c>
      <c r="AP100">
        <v>1</v>
      </c>
      <c r="AQ100">
        <v>0</v>
      </c>
      <c r="AR100">
        <v>0</v>
      </c>
      <c r="AS100" t="s">
        <v>3</v>
      </c>
      <c r="AT100">
        <v>0</v>
      </c>
      <c r="AU100" t="s">
        <v>3</v>
      </c>
      <c r="AV100">
        <v>0</v>
      </c>
      <c r="AW100">
        <v>2</v>
      </c>
      <c r="AX100">
        <v>84187125</v>
      </c>
      <c r="AY100">
        <v>1</v>
      </c>
      <c r="AZ100">
        <v>0</v>
      </c>
      <c r="BA100">
        <v>100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v>0</v>
      </c>
      <c r="CX100">
        <f>ROUND(Y100*Source!I163,9)</f>
        <v>0</v>
      </c>
      <c r="CY100">
        <f t="shared" si="42"/>
        <v>0</v>
      </c>
      <c r="CZ100">
        <f t="shared" si="43"/>
        <v>0</v>
      </c>
      <c r="DA100">
        <f t="shared" si="44"/>
        <v>1</v>
      </c>
      <c r="DB100">
        <f t="shared" si="49"/>
        <v>0</v>
      </c>
      <c r="DC100">
        <f t="shared" si="50"/>
        <v>0</v>
      </c>
      <c r="DD100" t="s">
        <v>3</v>
      </c>
      <c r="DE100" t="s">
        <v>3</v>
      </c>
      <c r="DF100">
        <f>ROUND(ROUND(AE100,2)*CX100,2)</f>
        <v>0</v>
      </c>
      <c r="DG100">
        <f t="shared" si="45"/>
        <v>0</v>
      </c>
      <c r="DH100">
        <f t="shared" si="46"/>
        <v>0</v>
      </c>
      <c r="DI100">
        <f t="shared" si="51"/>
        <v>0</v>
      </c>
      <c r="DJ100">
        <f t="shared" si="47"/>
        <v>0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ROW(Source!A163)</f>
        <v>163</v>
      </c>
      <c r="B101">
        <v>84186534</v>
      </c>
      <c r="C101">
        <v>84187099</v>
      </c>
      <c r="D101">
        <v>37785254</v>
      </c>
      <c r="E101">
        <v>1</v>
      </c>
      <c r="F101">
        <v>1</v>
      </c>
      <c r="G101">
        <v>1</v>
      </c>
      <c r="H101">
        <v>3</v>
      </c>
      <c r="I101" t="s">
        <v>500</v>
      </c>
      <c r="J101" t="s">
        <v>501</v>
      </c>
      <c r="K101" t="s">
        <v>502</v>
      </c>
      <c r="L101">
        <v>1348</v>
      </c>
      <c r="N101">
        <v>1009</v>
      </c>
      <c r="O101" t="s">
        <v>117</v>
      </c>
      <c r="P101" t="s">
        <v>117</v>
      </c>
      <c r="Q101">
        <v>1000</v>
      </c>
      <c r="W101">
        <v>0</v>
      </c>
      <c r="X101">
        <v>-2114924647</v>
      </c>
      <c r="Y101">
        <f t="shared" si="48"/>
        <v>2E-3</v>
      </c>
      <c r="AA101">
        <v>536850.30000000005</v>
      </c>
      <c r="AB101">
        <v>0</v>
      </c>
      <c r="AC101">
        <v>0</v>
      </c>
      <c r="AD101">
        <v>0</v>
      </c>
      <c r="AE101">
        <v>29627.5</v>
      </c>
      <c r="AF101">
        <v>0</v>
      </c>
      <c r="AG101">
        <v>0</v>
      </c>
      <c r="AH101">
        <v>0</v>
      </c>
      <c r="AI101">
        <v>18.12</v>
      </c>
      <c r="AJ101">
        <v>1</v>
      </c>
      <c r="AK101">
        <v>1</v>
      </c>
      <c r="AL101">
        <v>1</v>
      </c>
      <c r="AM101">
        <v>2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2E-3</v>
      </c>
      <c r="AU101" t="s">
        <v>3</v>
      </c>
      <c r="AV101">
        <v>0</v>
      </c>
      <c r="AW101">
        <v>2</v>
      </c>
      <c r="AX101">
        <v>84187126</v>
      </c>
      <c r="AY101">
        <v>1</v>
      </c>
      <c r="AZ101">
        <v>0</v>
      </c>
      <c r="BA101">
        <v>101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v>0</v>
      </c>
      <c r="CX101">
        <f>ROUND(Y101*Source!I163,9)</f>
        <v>1E-4</v>
      </c>
      <c r="CY101">
        <f t="shared" si="42"/>
        <v>536850.30000000005</v>
      </c>
      <c r="CZ101">
        <f t="shared" si="43"/>
        <v>29627.5</v>
      </c>
      <c r="DA101">
        <f t="shared" si="44"/>
        <v>18.12</v>
      </c>
      <c r="DB101">
        <f t="shared" si="49"/>
        <v>59.26</v>
      </c>
      <c r="DC101">
        <f t="shared" si="50"/>
        <v>0</v>
      </c>
      <c r="DD101" t="s">
        <v>3</v>
      </c>
      <c r="DE101" t="s">
        <v>3</v>
      </c>
      <c r="DF101">
        <f>ROUND(ROUND(AE101*AI101,2)*CX101,2)</f>
        <v>53.69</v>
      </c>
      <c r="DG101">
        <f t="shared" si="45"/>
        <v>0</v>
      </c>
      <c r="DH101">
        <f t="shared" si="46"/>
        <v>0</v>
      </c>
      <c r="DI101">
        <f t="shared" si="51"/>
        <v>0</v>
      </c>
      <c r="DJ101">
        <f t="shared" si="47"/>
        <v>53.69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ROW(Source!A163)</f>
        <v>163</v>
      </c>
      <c r="B102">
        <v>84186534</v>
      </c>
      <c r="C102">
        <v>84187099</v>
      </c>
      <c r="D102">
        <v>37794662</v>
      </c>
      <c r="E102">
        <v>1</v>
      </c>
      <c r="F102">
        <v>1</v>
      </c>
      <c r="G102">
        <v>1</v>
      </c>
      <c r="H102">
        <v>3</v>
      </c>
      <c r="I102" t="s">
        <v>503</v>
      </c>
      <c r="J102" t="s">
        <v>504</v>
      </c>
      <c r="K102" t="s">
        <v>505</v>
      </c>
      <c r="L102">
        <v>1354</v>
      </c>
      <c r="N102">
        <v>1010</v>
      </c>
      <c r="O102" t="s">
        <v>126</v>
      </c>
      <c r="P102" t="s">
        <v>126</v>
      </c>
      <c r="Q102">
        <v>1</v>
      </c>
      <c r="W102">
        <v>0</v>
      </c>
      <c r="X102">
        <v>-1545004678</v>
      </c>
      <c r="Y102">
        <f t="shared" si="48"/>
        <v>3.4</v>
      </c>
      <c r="AA102">
        <v>688.54</v>
      </c>
      <c r="AB102">
        <v>0</v>
      </c>
      <c r="AC102">
        <v>0</v>
      </c>
      <c r="AD102">
        <v>0</v>
      </c>
      <c r="AE102">
        <v>79.599999999999994</v>
      </c>
      <c r="AF102">
        <v>0</v>
      </c>
      <c r="AG102">
        <v>0</v>
      </c>
      <c r="AH102">
        <v>0</v>
      </c>
      <c r="AI102">
        <v>8.65</v>
      </c>
      <c r="AJ102">
        <v>1</v>
      </c>
      <c r="AK102">
        <v>1</v>
      </c>
      <c r="AL102">
        <v>1</v>
      </c>
      <c r="AM102">
        <v>2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3.4</v>
      </c>
      <c r="AU102" t="s">
        <v>3</v>
      </c>
      <c r="AV102">
        <v>0</v>
      </c>
      <c r="AW102">
        <v>2</v>
      </c>
      <c r="AX102">
        <v>84187127</v>
      </c>
      <c r="AY102">
        <v>1</v>
      </c>
      <c r="AZ102">
        <v>0</v>
      </c>
      <c r="BA102">
        <v>102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v>0</v>
      </c>
      <c r="CX102">
        <f>ROUND(Y102*Source!I163,9)</f>
        <v>0.17</v>
      </c>
      <c r="CY102">
        <f t="shared" si="42"/>
        <v>688.54</v>
      </c>
      <c r="CZ102">
        <f t="shared" si="43"/>
        <v>79.599999999999994</v>
      </c>
      <c r="DA102">
        <f t="shared" si="44"/>
        <v>8.65</v>
      </c>
      <c r="DB102">
        <f t="shared" si="49"/>
        <v>270.64</v>
      </c>
      <c r="DC102">
        <f t="shared" si="50"/>
        <v>0</v>
      </c>
      <c r="DD102" t="s">
        <v>3</v>
      </c>
      <c r="DE102" t="s">
        <v>3</v>
      </c>
      <c r="DF102">
        <f>ROUND(ROUND(AE102*AI102,2)*CX102,2)</f>
        <v>117.05</v>
      </c>
      <c r="DG102">
        <f t="shared" si="45"/>
        <v>0</v>
      </c>
      <c r="DH102">
        <f t="shared" si="46"/>
        <v>0</v>
      </c>
      <c r="DI102">
        <f t="shared" si="51"/>
        <v>0</v>
      </c>
      <c r="DJ102">
        <f t="shared" si="47"/>
        <v>117.05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288" spans="9:9" x14ac:dyDescent="0.2">
      <c r="I28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3353E-CDE5-4CE4-9EF8-0A917299C067}">
  <dimension ref="A1:AR10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84186835</v>
      </c>
      <c r="C1">
        <v>84186830</v>
      </c>
      <c r="D1">
        <v>23129805</v>
      </c>
      <c r="E1">
        <v>1</v>
      </c>
      <c r="F1">
        <v>1</v>
      </c>
      <c r="G1">
        <v>1</v>
      </c>
      <c r="H1">
        <v>1</v>
      </c>
      <c r="I1" t="s">
        <v>386</v>
      </c>
      <c r="J1" t="s">
        <v>3</v>
      </c>
      <c r="K1" t="s">
        <v>387</v>
      </c>
      <c r="L1">
        <v>1369</v>
      </c>
      <c r="N1">
        <v>1013</v>
      </c>
      <c r="O1" t="s">
        <v>388</v>
      </c>
      <c r="P1" t="s">
        <v>388</v>
      </c>
      <c r="Q1">
        <v>1</v>
      </c>
      <c r="X1">
        <v>2.0299999999999998</v>
      </c>
      <c r="Y1">
        <v>0</v>
      </c>
      <c r="Z1">
        <v>0</v>
      </c>
      <c r="AA1">
        <v>0</v>
      </c>
      <c r="AB1">
        <v>7.97</v>
      </c>
      <c r="AC1">
        <v>0</v>
      </c>
      <c r="AD1">
        <v>1</v>
      </c>
      <c r="AE1">
        <v>1</v>
      </c>
      <c r="AF1" t="s">
        <v>3</v>
      </c>
      <c r="AG1">
        <v>2.0299999999999998</v>
      </c>
      <c r="AH1">
        <v>2</v>
      </c>
      <c r="AI1">
        <v>84186831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84186836</v>
      </c>
      <c r="C2">
        <v>84186830</v>
      </c>
      <c r="D2">
        <v>121548</v>
      </c>
      <c r="E2">
        <v>1</v>
      </c>
      <c r="F2">
        <v>1</v>
      </c>
      <c r="G2">
        <v>1</v>
      </c>
      <c r="H2">
        <v>1</v>
      </c>
      <c r="I2" t="s">
        <v>95</v>
      </c>
      <c r="J2" t="s">
        <v>3</v>
      </c>
      <c r="K2" t="s">
        <v>389</v>
      </c>
      <c r="L2">
        <v>608254</v>
      </c>
      <c r="N2">
        <v>1013</v>
      </c>
      <c r="O2" t="s">
        <v>390</v>
      </c>
      <c r="P2" t="s">
        <v>390</v>
      </c>
      <c r="Q2">
        <v>1</v>
      </c>
      <c r="X2">
        <v>0.45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3</v>
      </c>
      <c r="AG2">
        <v>0.45</v>
      </c>
      <c r="AH2">
        <v>2</v>
      </c>
      <c r="AI2">
        <v>84186832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84186837</v>
      </c>
      <c r="C3">
        <v>84186830</v>
      </c>
      <c r="D3">
        <v>37802579</v>
      </c>
      <c r="E3">
        <v>1</v>
      </c>
      <c r="F3">
        <v>1</v>
      </c>
      <c r="G3">
        <v>1</v>
      </c>
      <c r="H3">
        <v>2</v>
      </c>
      <c r="I3" t="s">
        <v>391</v>
      </c>
      <c r="J3" t="s">
        <v>392</v>
      </c>
      <c r="K3" t="s">
        <v>393</v>
      </c>
      <c r="L3">
        <v>1368</v>
      </c>
      <c r="N3">
        <v>1011</v>
      </c>
      <c r="O3" t="s">
        <v>394</v>
      </c>
      <c r="P3" t="s">
        <v>394</v>
      </c>
      <c r="Q3">
        <v>1</v>
      </c>
      <c r="X3">
        <v>0.45</v>
      </c>
      <c r="Y3">
        <v>0</v>
      </c>
      <c r="Z3">
        <v>85.64</v>
      </c>
      <c r="AA3">
        <v>9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0.45</v>
      </c>
      <c r="AH3">
        <v>2</v>
      </c>
      <c r="AI3">
        <v>84186833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84186838</v>
      </c>
      <c r="C4">
        <v>84186830</v>
      </c>
      <c r="D4">
        <v>37804456</v>
      </c>
      <c r="E4">
        <v>1</v>
      </c>
      <c r="F4">
        <v>1</v>
      </c>
      <c r="G4">
        <v>1</v>
      </c>
      <c r="H4">
        <v>2</v>
      </c>
      <c r="I4" t="s">
        <v>395</v>
      </c>
      <c r="J4" t="s">
        <v>396</v>
      </c>
      <c r="K4" t="s">
        <v>397</v>
      </c>
      <c r="L4">
        <v>1368</v>
      </c>
      <c r="N4">
        <v>1011</v>
      </c>
      <c r="O4" t="s">
        <v>394</v>
      </c>
      <c r="P4" t="s">
        <v>394</v>
      </c>
      <c r="Q4">
        <v>1</v>
      </c>
      <c r="X4">
        <v>0.1</v>
      </c>
      <c r="Y4">
        <v>0</v>
      </c>
      <c r="Z4">
        <v>91.76</v>
      </c>
      <c r="AA4">
        <v>10.35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0.1</v>
      </c>
      <c r="AH4">
        <v>2</v>
      </c>
      <c r="AI4">
        <v>84186834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ROW(Source!A73)</f>
        <v>73</v>
      </c>
      <c r="B5">
        <v>84186850</v>
      </c>
      <c r="C5">
        <v>84186844</v>
      </c>
      <c r="D5">
        <v>23131263</v>
      </c>
      <c r="E5">
        <v>1</v>
      </c>
      <c r="F5">
        <v>1</v>
      </c>
      <c r="G5">
        <v>1</v>
      </c>
      <c r="H5">
        <v>1</v>
      </c>
      <c r="I5" t="s">
        <v>398</v>
      </c>
      <c r="J5" t="s">
        <v>3</v>
      </c>
      <c r="K5" t="s">
        <v>399</v>
      </c>
      <c r="L5">
        <v>1369</v>
      </c>
      <c r="N5">
        <v>1013</v>
      </c>
      <c r="O5" t="s">
        <v>388</v>
      </c>
      <c r="P5" t="s">
        <v>388</v>
      </c>
      <c r="Q5">
        <v>1</v>
      </c>
      <c r="X5">
        <v>0.44</v>
      </c>
      <c r="Y5">
        <v>0</v>
      </c>
      <c r="Z5">
        <v>0</v>
      </c>
      <c r="AA5">
        <v>0</v>
      </c>
      <c r="AB5">
        <v>7.63</v>
      </c>
      <c r="AC5">
        <v>0</v>
      </c>
      <c r="AD5">
        <v>1</v>
      </c>
      <c r="AE5">
        <v>1</v>
      </c>
      <c r="AF5" t="s">
        <v>3</v>
      </c>
      <c r="AG5">
        <v>0.44</v>
      </c>
      <c r="AH5">
        <v>2</v>
      </c>
      <c r="AI5">
        <v>84186845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ROW(Source!A73)</f>
        <v>73</v>
      </c>
      <c r="B6">
        <v>84186851</v>
      </c>
      <c r="C6">
        <v>84186844</v>
      </c>
      <c r="D6">
        <v>121548</v>
      </c>
      <c r="E6">
        <v>1</v>
      </c>
      <c r="F6">
        <v>1</v>
      </c>
      <c r="G6">
        <v>1</v>
      </c>
      <c r="H6">
        <v>1</v>
      </c>
      <c r="I6" t="s">
        <v>95</v>
      </c>
      <c r="J6" t="s">
        <v>3</v>
      </c>
      <c r="K6" t="s">
        <v>389</v>
      </c>
      <c r="L6">
        <v>608254</v>
      </c>
      <c r="N6">
        <v>1013</v>
      </c>
      <c r="O6" t="s">
        <v>390</v>
      </c>
      <c r="P6" t="s">
        <v>390</v>
      </c>
      <c r="Q6">
        <v>1</v>
      </c>
      <c r="X6">
        <v>0.48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2</v>
      </c>
      <c r="AF6" t="s">
        <v>3</v>
      </c>
      <c r="AG6">
        <v>0.48</v>
      </c>
      <c r="AH6">
        <v>2</v>
      </c>
      <c r="AI6">
        <v>84186846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ROW(Source!A73)</f>
        <v>73</v>
      </c>
      <c r="B7">
        <v>84186852</v>
      </c>
      <c r="C7">
        <v>84186844</v>
      </c>
      <c r="D7">
        <v>37802322</v>
      </c>
      <c r="E7">
        <v>1</v>
      </c>
      <c r="F7">
        <v>1</v>
      </c>
      <c r="G7">
        <v>1</v>
      </c>
      <c r="H7">
        <v>2</v>
      </c>
      <c r="I7" t="s">
        <v>400</v>
      </c>
      <c r="J7" t="s">
        <v>401</v>
      </c>
      <c r="K7" t="s">
        <v>402</v>
      </c>
      <c r="L7">
        <v>1368</v>
      </c>
      <c r="N7">
        <v>1011</v>
      </c>
      <c r="O7" t="s">
        <v>394</v>
      </c>
      <c r="P7" t="s">
        <v>394</v>
      </c>
      <c r="Q7">
        <v>1</v>
      </c>
      <c r="X7">
        <v>0.24</v>
      </c>
      <c r="Y7">
        <v>0</v>
      </c>
      <c r="Z7">
        <v>4.3899999999999997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0.24</v>
      </c>
      <c r="AH7">
        <v>2</v>
      </c>
      <c r="AI7">
        <v>84186847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ROW(Source!A73)</f>
        <v>73</v>
      </c>
      <c r="B8">
        <v>84186853</v>
      </c>
      <c r="C8">
        <v>84186844</v>
      </c>
      <c r="D8">
        <v>37802345</v>
      </c>
      <c r="E8">
        <v>1</v>
      </c>
      <c r="F8">
        <v>1</v>
      </c>
      <c r="G8">
        <v>1</v>
      </c>
      <c r="H8">
        <v>2</v>
      </c>
      <c r="I8" t="s">
        <v>403</v>
      </c>
      <c r="J8" t="s">
        <v>404</v>
      </c>
      <c r="K8" t="s">
        <v>405</v>
      </c>
      <c r="L8">
        <v>1368</v>
      </c>
      <c r="N8">
        <v>1011</v>
      </c>
      <c r="O8" t="s">
        <v>394</v>
      </c>
      <c r="P8" t="s">
        <v>394</v>
      </c>
      <c r="Q8">
        <v>1</v>
      </c>
      <c r="X8">
        <v>0.24</v>
      </c>
      <c r="Y8">
        <v>0</v>
      </c>
      <c r="Z8">
        <v>72.239999999999995</v>
      </c>
      <c r="AA8">
        <v>12.1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0.24</v>
      </c>
      <c r="AH8">
        <v>2</v>
      </c>
      <c r="AI8">
        <v>84186848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ROW(Source!A73)</f>
        <v>73</v>
      </c>
      <c r="B9">
        <v>84186854</v>
      </c>
      <c r="C9">
        <v>84186844</v>
      </c>
      <c r="D9">
        <v>37802443</v>
      </c>
      <c r="E9">
        <v>1</v>
      </c>
      <c r="F9">
        <v>1</v>
      </c>
      <c r="G9">
        <v>1</v>
      </c>
      <c r="H9">
        <v>2</v>
      </c>
      <c r="I9" t="s">
        <v>406</v>
      </c>
      <c r="J9" t="s">
        <v>407</v>
      </c>
      <c r="K9" t="s">
        <v>408</v>
      </c>
      <c r="L9">
        <v>1368</v>
      </c>
      <c r="N9">
        <v>1011</v>
      </c>
      <c r="O9" t="s">
        <v>394</v>
      </c>
      <c r="P9" t="s">
        <v>394</v>
      </c>
      <c r="Q9">
        <v>1</v>
      </c>
      <c r="X9">
        <v>0.24</v>
      </c>
      <c r="Y9">
        <v>0</v>
      </c>
      <c r="Z9">
        <v>124.14</v>
      </c>
      <c r="AA9">
        <v>12.1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0.24</v>
      </c>
      <c r="AH9">
        <v>2</v>
      </c>
      <c r="AI9">
        <v>84186849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ROW(Source!A74)</f>
        <v>74</v>
      </c>
      <c r="B10">
        <v>84186868</v>
      </c>
      <c r="C10">
        <v>84186855</v>
      </c>
      <c r="D10">
        <v>23351395</v>
      </c>
      <c r="E10">
        <v>1</v>
      </c>
      <c r="F10">
        <v>1</v>
      </c>
      <c r="G10">
        <v>1</v>
      </c>
      <c r="H10">
        <v>1</v>
      </c>
      <c r="I10" t="s">
        <v>409</v>
      </c>
      <c r="J10" t="s">
        <v>3</v>
      </c>
      <c r="K10" t="s">
        <v>410</v>
      </c>
      <c r="L10">
        <v>1369</v>
      </c>
      <c r="N10">
        <v>1013</v>
      </c>
      <c r="O10" t="s">
        <v>388</v>
      </c>
      <c r="P10" t="s">
        <v>388</v>
      </c>
      <c r="Q10">
        <v>1</v>
      </c>
      <c r="X10">
        <v>62.2</v>
      </c>
      <c r="Y10">
        <v>0</v>
      </c>
      <c r="Z10">
        <v>0</v>
      </c>
      <c r="AA10">
        <v>0</v>
      </c>
      <c r="AB10">
        <v>8.99</v>
      </c>
      <c r="AC10">
        <v>0</v>
      </c>
      <c r="AD10">
        <v>1</v>
      </c>
      <c r="AE10">
        <v>1</v>
      </c>
      <c r="AF10" t="s">
        <v>3</v>
      </c>
      <c r="AG10">
        <v>62.2</v>
      </c>
      <c r="AH10">
        <v>2</v>
      </c>
      <c r="AI10">
        <v>84186856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ROW(Source!A74)</f>
        <v>74</v>
      </c>
      <c r="B11">
        <v>84186869</v>
      </c>
      <c r="C11">
        <v>84186855</v>
      </c>
      <c r="D11">
        <v>121548</v>
      </c>
      <c r="E11">
        <v>1</v>
      </c>
      <c r="F11">
        <v>1</v>
      </c>
      <c r="G11">
        <v>1</v>
      </c>
      <c r="H11">
        <v>1</v>
      </c>
      <c r="I11" t="s">
        <v>95</v>
      </c>
      <c r="J11" t="s">
        <v>3</v>
      </c>
      <c r="K11" t="s">
        <v>389</v>
      </c>
      <c r="L11">
        <v>608254</v>
      </c>
      <c r="N11">
        <v>1013</v>
      </c>
      <c r="O11" t="s">
        <v>390</v>
      </c>
      <c r="P11" t="s">
        <v>390</v>
      </c>
      <c r="Q11">
        <v>1</v>
      </c>
      <c r="X11">
        <v>1.74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2</v>
      </c>
      <c r="AF11" t="s">
        <v>3</v>
      </c>
      <c r="AG11">
        <v>1.74</v>
      </c>
      <c r="AH11">
        <v>2</v>
      </c>
      <c r="AI11">
        <v>84186857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ROW(Source!A74)</f>
        <v>74</v>
      </c>
      <c r="B12">
        <v>84186870</v>
      </c>
      <c r="C12">
        <v>84186855</v>
      </c>
      <c r="D12">
        <v>37802432</v>
      </c>
      <c r="E12">
        <v>1</v>
      </c>
      <c r="F12">
        <v>1</v>
      </c>
      <c r="G12">
        <v>1</v>
      </c>
      <c r="H12">
        <v>2</v>
      </c>
      <c r="I12" t="s">
        <v>411</v>
      </c>
      <c r="J12" t="s">
        <v>412</v>
      </c>
      <c r="K12" t="s">
        <v>413</v>
      </c>
      <c r="L12">
        <v>1368</v>
      </c>
      <c r="N12">
        <v>1011</v>
      </c>
      <c r="O12" t="s">
        <v>394</v>
      </c>
      <c r="P12" t="s">
        <v>394</v>
      </c>
      <c r="Q12">
        <v>1</v>
      </c>
      <c r="X12">
        <v>1.74</v>
      </c>
      <c r="Y12">
        <v>0</v>
      </c>
      <c r="Z12">
        <v>138.54</v>
      </c>
      <c r="AA12">
        <v>12.1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1.74</v>
      </c>
      <c r="AH12">
        <v>2</v>
      </c>
      <c r="AI12">
        <v>84186858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ROW(Source!A74)</f>
        <v>74</v>
      </c>
      <c r="B13">
        <v>84186871</v>
      </c>
      <c r="C13">
        <v>84186855</v>
      </c>
      <c r="D13">
        <v>37802657</v>
      </c>
      <c r="E13">
        <v>1</v>
      </c>
      <c r="F13">
        <v>1</v>
      </c>
      <c r="G13">
        <v>1</v>
      </c>
      <c r="H13">
        <v>2</v>
      </c>
      <c r="I13" t="s">
        <v>414</v>
      </c>
      <c r="J13" t="s">
        <v>415</v>
      </c>
      <c r="K13" t="s">
        <v>416</v>
      </c>
      <c r="L13">
        <v>1368</v>
      </c>
      <c r="N13">
        <v>1011</v>
      </c>
      <c r="O13" t="s">
        <v>394</v>
      </c>
      <c r="P13" t="s">
        <v>394</v>
      </c>
      <c r="Q13">
        <v>1</v>
      </c>
      <c r="X13">
        <v>15.1</v>
      </c>
      <c r="Y13">
        <v>0</v>
      </c>
      <c r="Z13">
        <v>7.55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15.1</v>
      </c>
      <c r="AH13">
        <v>2</v>
      </c>
      <c r="AI13">
        <v>84186859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ROW(Source!A74)</f>
        <v>74</v>
      </c>
      <c r="B14">
        <v>84186872</v>
      </c>
      <c r="C14">
        <v>84186855</v>
      </c>
      <c r="D14">
        <v>37804456</v>
      </c>
      <c r="E14">
        <v>1</v>
      </c>
      <c r="F14">
        <v>1</v>
      </c>
      <c r="G14">
        <v>1</v>
      </c>
      <c r="H14">
        <v>2</v>
      </c>
      <c r="I14" t="s">
        <v>395</v>
      </c>
      <c r="J14" t="s">
        <v>396</v>
      </c>
      <c r="K14" t="s">
        <v>397</v>
      </c>
      <c r="L14">
        <v>1368</v>
      </c>
      <c r="N14">
        <v>1011</v>
      </c>
      <c r="O14" t="s">
        <v>394</v>
      </c>
      <c r="P14" t="s">
        <v>394</v>
      </c>
      <c r="Q14">
        <v>1</v>
      </c>
      <c r="X14">
        <v>1.74</v>
      </c>
      <c r="Y14">
        <v>0</v>
      </c>
      <c r="Z14">
        <v>91.76</v>
      </c>
      <c r="AA14">
        <v>10.35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1.74</v>
      </c>
      <c r="AH14">
        <v>2</v>
      </c>
      <c r="AI14">
        <v>84186860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ROW(Source!A74)</f>
        <v>74</v>
      </c>
      <c r="B15">
        <v>84186873</v>
      </c>
      <c r="C15">
        <v>84186855</v>
      </c>
      <c r="D15">
        <v>37731377</v>
      </c>
      <c r="E15">
        <v>1</v>
      </c>
      <c r="F15">
        <v>1</v>
      </c>
      <c r="G15">
        <v>1</v>
      </c>
      <c r="H15">
        <v>3</v>
      </c>
      <c r="I15" t="s">
        <v>417</v>
      </c>
      <c r="J15" t="s">
        <v>418</v>
      </c>
      <c r="K15" t="s">
        <v>419</v>
      </c>
      <c r="L15">
        <v>1348</v>
      </c>
      <c r="N15">
        <v>1009</v>
      </c>
      <c r="O15" t="s">
        <v>117</v>
      </c>
      <c r="P15" t="s">
        <v>117</v>
      </c>
      <c r="Q15">
        <v>1000</v>
      </c>
      <c r="X15">
        <v>0.18</v>
      </c>
      <c r="Y15">
        <v>582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0.18</v>
      </c>
      <c r="AH15">
        <v>2</v>
      </c>
      <c r="AI15">
        <v>84186861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ROW(Source!A74)</f>
        <v>74</v>
      </c>
      <c r="B16">
        <v>84186874</v>
      </c>
      <c r="C16">
        <v>84186855</v>
      </c>
      <c r="D16">
        <v>37737041</v>
      </c>
      <c r="E16">
        <v>1</v>
      </c>
      <c r="F16">
        <v>1</v>
      </c>
      <c r="G16">
        <v>1</v>
      </c>
      <c r="H16">
        <v>3</v>
      </c>
      <c r="I16" t="s">
        <v>420</v>
      </c>
      <c r="J16" t="s">
        <v>421</v>
      </c>
      <c r="K16" t="s">
        <v>422</v>
      </c>
      <c r="L16">
        <v>1355</v>
      </c>
      <c r="N16">
        <v>1010</v>
      </c>
      <c r="O16" t="s">
        <v>423</v>
      </c>
      <c r="P16" t="s">
        <v>423</v>
      </c>
      <c r="Q16">
        <v>100</v>
      </c>
      <c r="X16">
        <v>0.8</v>
      </c>
      <c r="Y16">
        <v>111.65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0.8</v>
      </c>
      <c r="AH16">
        <v>2</v>
      </c>
      <c r="AI16">
        <v>84186862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ROW(Source!A74)</f>
        <v>74</v>
      </c>
      <c r="B17">
        <v>84186875</v>
      </c>
      <c r="C17">
        <v>84186855</v>
      </c>
      <c r="D17">
        <v>37736610</v>
      </c>
      <c r="E17">
        <v>1</v>
      </c>
      <c r="F17">
        <v>1</v>
      </c>
      <c r="G17">
        <v>1</v>
      </c>
      <c r="H17">
        <v>3</v>
      </c>
      <c r="I17" t="s">
        <v>424</v>
      </c>
      <c r="J17" t="s">
        <v>425</v>
      </c>
      <c r="K17" t="s">
        <v>426</v>
      </c>
      <c r="L17">
        <v>1346</v>
      </c>
      <c r="N17">
        <v>1009</v>
      </c>
      <c r="O17" t="s">
        <v>139</v>
      </c>
      <c r="P17" t="s">
        <v>139</v>
      </c>
      <c r="Q17">
        <v>1</v>
      </c>
      <c r="X17">
        <v>4.2</v>
      </c>
      <c r="Y17">
        <v>12.65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4.2</v>
      </c>
      <c r="AH17">
        <v>2</v>
      </c>
      <c r="AI17">
        <v>84186863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ROW(Source!A74)</f>
        <v>74</v>
      </c>
      <c r="B18">
        <v>84186876</v>
      </c>
      <c r="C18">
        <v>84186855</v>
      </c>
      <c r="D18">
        <v>37736858</v>
      </c>
      <c r="E18">
        <v>1</v>
      </c>
      <c r="F18">
        <v>1</v>
      </c>
      <c r="G18">
        <v>1</v>
      </c>
      <c r="H18">
        <v>3</v>
      </c>
      <c r="I18" t="s">
        <v>427</v>
      </c>
      <c r="J18" t="s">
        <v>428</v>
      </c>
      <c r="K18" t="s">
        <v>116</v>
      </c>
      <c r="L18">
        <v>1346</v>
      </c>
      <c r="N18">
        <v>1009</v>
      </c>
      <c r="O18" t="s">
        <v>139</v>
      </c>
      <c r="P18" t="s">
        <v>139</v>
      </c>
      <c r="Q18">
        <v>1</v>
      </c>
      <c r="X18">
        <v>27</v>
      </c>
      <c r="Y18">
        <v>9.49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27</v>
      </c>
      <c r="AH18">
        <v>2</v>
      </c>
      <c r="AI18">
        <v>84186864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ROW(Source!A74)</f>
        <v>74</v>
      </c>
      <c r="B19">
        <v>84186877</v>
      </c>
      <c r="C19">
        <v>84186855</v>
      </c>
      <c r="D19">
        <v>37751465</v>
      </c>
      <c r="E19">
        <v>1</v>
      </c>
      <c r="F19">
        <v>1</v>
      </c>
      <c r="G19">
        <v>1</v>
      </c>
      <c r="H19">
        <v>3</v>
      </c>
      <c r="I19" t="s">
        <v>429</v>
      </c>
      <c r="J19" t="s">
        <v>430</v>
      </c>
      <c r="K19" t="s">
        <v>431</v>
      </c>
      <c r="L19">
        <v>1348</v>
      </c>
      <c r="N19">
        <v>1009</v>
      </c>
      <c r="O19" t="s">
        <v>117</v>
      </c>
      <c r="P19" t="s">
        <v>117</v>
      </c>
      <c r="Q19">
        <v>1000</v>
      </c>
      <c r="X19">
        <v>1</v>
      </c>
      <c r="Y19">
        <v>11672.49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1</v>
      </c>
      <c r="AH19">
        <v>2</v>
      </c>
      <c r="AI19">
        <v>84186865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ROW(Source!A74)</f>
        <v>74</v>
      </c>
      <c r="B20">
        <v>84186878</v>
      </c>
      <c r="C20">
        <v>84186855</v>
      </c>
      <c r="D20">
        <v>37777370</v>
      </c>
      <c r="E20">
        <v>1</v>
      </c>
      <c r="F20">
        <v>1</v>
      </c>
      <c r="G20">
        <v>1</v>
      </c>
      <c r="H20">
        <v>3</v>
      </c>
      <c r="I20" t="s">
        <v>432</v>
      </c>
      <c r="J20" t="s">
        <v>433</v>
      </c>
      <c r="K20" t="s">
        <v>434</v>
      </c>
      <c r="L20">
        <v>1339</v>
      </c>
      <c r="N20">
        <v>1007</v>
      </c>
      <c r="O20" t="s">
        <v>435</v>
      </c>
      <c r="P20" t="s">
        <v>435</v>
      </c>
      <c r="Q20">
        <v>1</v>
      </c>
      <c r="X20">
        <v>0.15</v>
      </c>
      <c r="Y20">
        <v>64.959999999999994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0.15</v>
      </c>
      <c r="AH20">
        <v>2</v>
      </c>
      <c r="AI20">
        <v>84186866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ROW(Source!A74)</f>
        <v>74</v>
      </c>
      <c r="B21">
        <v>84186879</v>
      </c>
      <c r="C21">
        <v>84186855</v>
      </c>
      <c r="D21">
        <v>37801918</v>
      </c>
      <c r="E21">
        <v>1</v>
      </c>
      <c r="F21">
        <v>1</v>
      </c>
      <c r="G21">
        <v>1</v>
      </c>
      <c r="H21">
        <v>3</v>
      </c>
      <c r="I21" t="s">
        <v>436</v>
      </c>
      <c r="J21" t="s">
        <v>437</v>
      </c>
      <c r="K21" t="s">
        <v>438</v>
      </c>
      <c r="L21">
        <v>1374</v>
      </c>
      <c r="N21">
        <v>1013</v>
      </c>
      <c r="O21" t="s">
        <v>439</v>
      </c>
      <c r="P21" t="s">
        <v>439</v>
      </c>
      <c r="Q21">
        <v>1</v>
      </c>
      <c r="X21">
        <v>11.18</v>
      </c>
      <c r="Y21">
        <v>1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11.18</v>
      </c>
      <c r="AH21">
        <v>2</v>
      </c>
      <c r="AI21">
        <v>84186867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ROW(Source!A75)</f>
        <v>75</v>
      </c>
      <c r="B22">
        <v>84186900</v>
      </c>
      <c r="C22">
        <v>84186880</v>
      </c>
      <c r="D22">
        <v>23129536</v>
      </c>
      <c r="E22">
        <v>1</v>
      </c>
      <c r="F22">
        <v>1</v>
      </c>
      <c r="G22">
        <v>1</v>
      </c>
      <c r="H22">
        <v>1</v>
      </c>
      <c r="I22" t="s">
        <v>440</v>
      </c>
      <c r="J22" t="s">
        <v>3</v>
      </c>
      <c r="K22" t="s">
        <v>441</v>
      </c>
      <c r="L22">
        <v>1369</v>
      </c>
      <c r="N22">
        <v>1013</v>
      </c>
      <c r="O22" t="s">
        <v>388</v>
      </c>
      <c r="P22" t="s">
        <v>388</v>
      </c>
      <c r="Q22">
        <v>1</v>
      </c>
      <c r="X22">
        <v>7.9</v>
      </c>
      <c r="Y22">
        <v>0</v>
      </c>
      <c r="Z22">
        <v>0</v>
      </c>
      <c r="AA22">
        <v>0</v>
      </c>
      <c r="AB22">
        <v>8.2799999999999994</v>
      </c>
      <c r="AC22">
        <v>0</v>
      </c>
      <c r="AD22">
        <v>1</v>
      </c>
      <c r="AE22">
        <v>1</v>
      </c>
      <c r="AF22" t="s">
        <v>3</v>
      </c>
      <c r="AG22">
        <v>7.9</v>
      </c>
      <c r="AH22">
        <v>2</v>
      </c>
      <c r="AI22">
        <v>84186881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ROW(Source!A75)</f>
        <v>75</v>
      </c>
      <c r="B23">
        <v>84186901</v>
      </c>
      <c r="C23">
        <v>84186880</v>
      </c>
      <c r="D23">
        <v>121548</v>
      </c>
      <c r="E23">
        <v>1</v>
      </c>
      <c r="F23">
        <v>1</v>
      </c>
      <c r="G23">
        <v>1</v>
      </c>
      <c r="H23">
        <v>1</v>
      </c>
      <c r="I23" t="s">
        <v>95</v>
      </c>
      <c r="J23" t="s">
        <v>3</v>
      </c>
      <c r="K23" t="s">
        <v>389</v>
      </c>
      <c r="L23">
        <v>608254</v>
      </c>
      <c r="N23">
        <v>1013</v>
      </c>
      <c r="O23" t="s">
        <v>390</v>
      </c>
      <c r="P23" t="s">
        <v>390</v>
      </c>
      <c r="Q23">
        <v>1</v>
      </c>
      <c r="X23">
        <v>1.86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2</v>
      </c>
      <c r="AF23" t="s">
        <v>3</v>
      </c>
      <c r="AG23">
        <v>1.86</v>
      </c>
      <c r="AH23">
        <v>2</v>
      </c>
      <c r="AI23">
        <v>84186882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ROW(Source!A75)</f>
        <v>75</v>
      </c>
      <c r="B24">
        <v>84186902</v>
      </c>
      <c r="C24">
        <v>84186880</v>
      </c>
      <c r="D24">
        <v>37803498</v>
      </c>
      <c r="E24">
        <v>1</v>
      </c>
      <c r="F24">
        <v>1</v>
      </c>
      <c r="G24">
        <v>1</v>
      </c>
      <c r="H24">
        <v>2</v>
      </c>
      <c r="I24" t="s">
        <v>442</v>
      </c>
      <c r="J24" t="s">
        <v>443</v>
      </c>
      <c r="K24" t="s">
        <v>444</v>
      </c>
      <c r="L24">
        <v>1368</v>
      </c>
      <c r="N24">
        <v>1011</v>
      </c>
      <c r="O24" t="s">
        <v>394</v>
      </c>
      <c r="P24" t="s">
        <v>394</v>
      </c>
      <c r="Q24">
        <v>1</v>
      </c>
      <c r="X24">
        <v>1.86</v>
      </c>
      <c r="Y24">
        <v>0</v>
      </c>
      <c r="Z24">
        <v>123.86</v>
      </c>
      <c r="AA24">
        <v>10.35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1.86</v>
      </c>
      <c r="AH24">
        <v>2</v>
      </c>
      <c r="AI24">
        <v>84186883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ROW(Source!A75)</f>
        <v>75</v>
      </c>
      <c r="B25">
        <v>84186903</v>
      </c>
      <c r="C25">
        <v>84186880</v>
      </c>
      <c r="D25">
        <v>37804456</v>
      </c>
      <c r="E25">
        <v>1</v>
      </c>
      <c r="F25">
        <v>1</v>
      </c>
      <c r="G25">
        <v>1</v>
      </c>
      <c r="H25">
        <v>2</v>
      </c>
      <c r="I25" t="s">
        <v>395</v>
      </c>
      <c r="J25" t="s">
        <v>396</v>
      </c>
      <c r="K25" t="s">
        <v>397</v>
      </c>
      <c r="L25">
        <v>1368</v>
      </c>
      <c r="N25">
        <v>1011</v>
      </c>
      <c r="O25" t="s">
        <v>394</v>
      </c>
      <c r="P25" t="s">
        <v>394</v>
      </c>
      <c r="Q25">
        <v>1</v>
      </c>
      <c r="X25">
        <v>0.4</v>
      </c>
      <c r="Y25">
        <v>0</v>
      </c>
      <c r="Z25">
        <v>91.76</v>
      </c>
      <c r="AA25">
        <v>10.35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0.4</v>
      </c>
      <c r="AH25">
        <v>2</v>
      </c>
      <c r="AI25">
        <v>84186884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ROW(Source!A75)</f>
        <v>75</v>
      </c>
      <c r="B26">
        <v>84186904</v>
      </c>
      <c r="C26">
        <v>84186880</v>
      </c>
      <c r="D26">
        <v>37732468</v>
      </c>
      <c r="E26">
        <v>1</v>
      </c>
      <c r="F26">
        <v>1</v>
      </c>
      <c r="G26">
        <v>1</v>
      </c>
      <c r="H26">
        <v>3</v>
      </c>
      <c r="I26" t="s">
        <v>445</v>
      </c>
      <c r="J26" t="s">
        <v>446</v>
      </c>
      <c r="K26" t="s">
        <v>447</v>
      </c>
      <c r="L26">
        <v>1348</v>
      </c>
      <c r="N26">
        <v>1009</v>
      </c>
      <c r="O26" t="s">
        <v>117</v>
      </c>
      <c r="P26" t="s">
        <v>117</v>
      </c>
      <c r="Q26">
        <v>1000</v>
      </c>
      <c r="X26">
        <v>4.0000000000000002E-4</v>
      </c>
      <c r="Y26">
        <v>15954.5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4.0000000000000002E-4</v>
      </c>
      <c r="AH26">
        <v>2</v>
      </c>
      <c r="AI26">
        <v>84186885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ROW(Source!A75)</f>
        <v>75</v>
      </c>
      <c r="B27">
        <v>84186905</v>
      </c>
      <c r="C27">
        <v>84186880</v>
      </c>
      <c r="D27">
        <v>37729879</v>
      </c>
      <c r="E27">
        <v>1</v>
      </c>
      <c r="F27">
        <v>1</v>
      </c>
      <c r="G27">
        <v>1</v>
      </c>
      <c r="H27">
        <v>3</v>
      </c>
      <c r="I27" t="s">
        <v>448</v>
      </c>
      <c r="J27" t="s">
        <v>449</v>
      </c>
      <c r="K27" t="s">
        <v>450</v>
      </c>
      <c r="L27">
        <v>1348</v>
      </c>
      <c r="N27">
        <v>1009</v>
      </c>
      <c r="O27" t="s">
        <v>117</v>
      </c>
      <c r="P27" t="s">
        <v>117</v>
      </c>
      <c r="Q27">
        <v>1000</v>
      </c>
      <c r="X27">
        <v>3.0000000000000001E-5</v>
      </c>
      <c r="Y27">
        <v>9662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3.0000000000000001E-5</v>
      </c>
      <c r="AH27">
        <v>2</v>
      </c>
      <c r="AI27">
        <v>84186886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ROW(Source!A75)</f>
        <v>75</v>
      </c>
      <c r="B28">
        <v>84186906</v>
      </c>
      <c r="C28">
        <v>84186880</v>
      </c>
      <c r="D28">
        <v>37736859</v>
      </c>
      <c r="E28">
        <v>1</v>
      </c>
      <c r="F28">
        <v>1</v>
      </c>
      <c r="G28">
        <v>1</v>
      </c>
      <c r="H28">
        <v>3</v>
      </c>
      <c r="I28" t="s">
        <v>115</v>
      </c>
      <c r="J28" t="s">
        <v>118</v>
      </c>
      <c r="K28" t="s">
        <v>116</v>
      </c>
      <c r="L28">
        <v>1348</v>
      </c>
      <c r="N28">
        <v>1009</v>
      </c>
      <c r="O28" t="s">
        <v>117</v>
      </c>
      <c r="P28" t="s">
        <v>117</v>
      </c>
      <c r="Q28">
        <v>1000</v>
      </c>
      <c r="X28">
        <v>0</v>
      </c>
      <c r="Y28">
        <v>9040.01</v>
      </c>
      <c r="Z28">
        <v>0</v>
      </c>
      <c r="AA28">
        <v>0</v>
      </c>
      <c r="AB28">
        <v>0</v>
      </c>
      <c r="AC28">
        <v>1</v>
      </c>
      <c r="AD28">
        <v>0</v>
      </c>
      <c r="AE28">
        <v>0</v>
      </c>
      <c r="AF28" t="s">
        <v>3</v>
      </c>
      <c r="AG28">
        <v>0</v>
      </c>
      <c r="AH28">
        <v>2</v>
      </c>
      <c r="AI28">
        <v>84186887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ROW(Source!A75)</f>
        <v>75</v>
      </c>
      <c r="B29">
        <v>84186907</v>
      </c>
      <c r="C29">
        <v>84186880</v>
      </c>
      <c r="D29">
        <v>37729991</v>
      </c>
      <c r="E29">
        <v>1</v>
      </c>
      <c r="F29">
        <v>1</v>
      </c>
      <c r="G29">
        <v>1</v>
      </c>
      <c r="H29">
        <v>3</v>
      </c>
      <c r="I29" t="s">
        <v>451</v>
      </c>
      <c r="J29" t="s">
        <v>452</v>
      </c>
      <c r="K29" t="s">
        <v>453</v>
      </c>
      <c r="L29">
        <v>1346</v>
      </c>
      <c r="N29">
        <v>1009</v>
      </c>
      <c r="O29" t="s">
        <v>139</v>
      </c>
      <c r="P29" t="s">
        <v>139</v>
      </c>
      <c r="Q29">
        <v>1</v>
      </c>
      <c r="X29">
        <v>0.02</v>
      </c>
      <c r="Y29">
        <v>1.82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0.02</v>
      </c>
      <c r="AH29">
        <v>2</v>
      </c>
      <c r="AI29">
        <v>84186888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ROW(Source!A75)</f>
        <v>75</v>
      </c>
      <c r="B30">
        <v>84186908</v>
      </c>
      <c r="C30">
        <v>84186880</v>
      </c>
      <c r="D30">
        <v>37729892</v>
      </c>
      <c r="E30">
        <v>1</v>
      </c>
      <c r="F30">
        <v>1</v>
      </c>
      <c r="G30">
        <v>1</v>
      </c>
      <c r="H30">
        <v>3</v>
      </c>
      <c r="I30" t="s">
        <v>454</v>
      </c>
      <c r="J30" t="s">
        <v>455</v>
      </c>
      <c r="K30" t="s">
        <v>456</v>
      </c>
      <c r="L30">
        <v>1346</v>
      </c>
      <c r="N30">
        <v>1009</v>
      </c>
      <c r="O30" t="s">
        <v>139</v>
      </c>
      <c r="P30" t="s">
        <v>139</v>
      </c>
      <c r="Q30">
        <v>1</v>
      </c>
      <c r="X30">
        <v>0.1</v>
      </c>
      <c r="Y30">
        <v>14.62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0.1</v>
      </c>
      <c r="AH30">
        <v>2</v>
      </c>
      <c r="AI30">
        <v>84186889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ROW(Source!A75)</f>
        <v>75</v>
      </c>
      <c r="B31">
        <v>84186909</v>
      </c>
      <c r="C31">
        <v>84186880</v>
      </c>
      <c r="D31">
        <v>37735757</v>
      </c>
      <c r="E31">
        <v>1</v>
      </c>
      <c r="F31">
        <v>1</v>
      </c>
      <c r="G31">
        <v>1</v>
      </c>
      <c r="H31">
        <v>3</v>
      </c>
      <c r="I31" t="s">
        <v>120</v>
      </c>
      <c r="J31" t="s">
        <v>122</v>
      </c>
      <c r="K31" t="s">
        <v>121</v>
      </c>
      <c r="L31">
        <v>1348</v>
      </c>
      <c r="N31">
        <v>1009</v>
      </c>
      <c r="O31" t="s">
        <v>117</v>
      </c>
      <c r="P31" t="s">
        <v>117</v>
      </c>
      <c r="Q31">
        <v>1000</v>
      </c>
      <c r="X31">
        <v>0</v>
      </c>
      <c r="Y31">
        <v>0</v>
      </c>
      <c r="Z31">
        <v>0</v>
      </c>
      <c r="AA31">
        <v>0</v>
      </c>
      <c r="AB31">
        <v>0</v>
      </c>
      <c r="AC31">
        <v>1</v>
      </c>
      <c r="AD31">
        <v>0</v>
      </c>
      <c r="AE31">
        <v>0</v>
      </c>
      <c r="AF31" t="s">
        <v>3</v>
      </c>
      <c r="AG31">
        <v>0</v>
      </c>
      <c r="AH31">
        <v>2</v>
      </c>
      <c r="AI31">
        <v>84186890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ROW(Source!A75)</f>
        <v>75</v>
      </c>
      <c r="B32">
        <v>84186910</v>
      </c>
      <c r="C32">
        <v>84186880</v>
      </c>
      <c r="D32">
        <v>37744299</v>
      </c>
      <c r="E32">
        <v>1</v>
      </c>
      <c r="F32">
        <v>1</v>
      </c>
      <c r="G32">
        <v>1</v>
      </c>
      <c r="H32">
        <v>3</v>
      </c>
      <c r="I32" t="s">
        <v>124</v>
      </c>
      <c r="J32" t="s">
        <v>127</v>
      </c>
      <c r="K32" t="s">
        <v>125</v>
      </c>
      <c r="L32">
        <v>1354</v>
      </c>
      <c r="N32">
        <v>1010</v>
      </c>
      <c r="O32" t="s">
        <v>126</v>
      </c>
      <c r="P32" t="s">
        <v>126</v>
      </c>
      <c r="Q32">
        <v>1</v>
      </c>
      <c r="X32">
        <v>0</v>
      </c>
      <c r="Y32">
        <v>0</v>
      </c>
      <c r="Z32">
        <v>0</v>
      </c>
      <c r="AA32">
        <v>0</v>
      </c>
      <c r="AB32">
        <v>0</v>
      </c>
      <c r="AC32">
        <v>1</v>
      </c>
      <c r="AD32">
        <v>0</v>
      </c>
      <c r="AE32">
        <v>0</v>
      </c>
      <c r="AF32" t="s">
        <v>3</v>
      </c>
      <c r="AG32">
        <v>0</v>
      </c>
      <c r="AH32">
        <v>2</v>
      </c>
      <c r="AI32">
        <v>84186891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ROW(Source!A75)</f>
        <v>75</v>
      </c>
      <c r="B33">
        <v>84186911</v>
      </c>
      <c r="C33">
        <v>84186880</v>
      </c>
      <c r="D33">
        <v>37744290</v>
      </c>
      <c r="E33">
        <v>1</v>
      </c>
      <c r="F33">
        <v>1</v>
      </c>
      <c r="G33">
        <v>1</v>
      </c>
      <c r="H33">
        <v>3</v>
      </c>
      <c r="I33" t="s">
        <v>129</v>
      </c>
      <c r="J33" t="s">
        <v>131</v>
      </c>
      <c r="K33" t="s">
        <v>130</v>
      </c>
      <c r="L33">
        <v>1354</v>
      </c>
      <c r="N33">
        <v>1010</v>
      </c>
      <c r="O33" t="s">
        <v>126</v>
      </c>
      <c r="P33" t="s">
        <v>126</v>
      </c>
      <c r="Q33">
        <v>1</v>
      </c>
      <c r="X33">
        <v>0</v>
      </c>
      <c r="Y33">
        <v>0</v>
      </c>
      <c r="Z33">
        <v>0</v>
      </c>
      <c r="AA33">
        <v>0</v>
      </c>
      <c r="AB33">
        <v>0</v>
      </c>
      <c r="AC33">
        <v>1</v>
      </c>
      <c r="AD33">
        <v>0</v>
      </c>
      <c r="AE33">
        <v>0</v>
      </c>
      <c r="AF33" t="s">
        <v>3</v>
      </c>
      <c r="AG33">
        <v>0</v>
      </c>
      <c r="AH33">
        <v>2</v>
      </c>
      <c r="AI33">
        <v>84186892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ROW(Source!A75)</f>
        <v>75</v>
      </c>
      <c r="B34">
        <v>84186912</v>
      </c>
      <c r="C34">
        <v>84186880</v>
      </c>
      <c r="D34">
        <v>37744198</v>
      </c>
      <c r="E34">
        <v>1</v>
      </c>
      <c r="F34">
        <v>1</v>
      </c>
      <c r="G34">
        <v>1</v>
      </c>
      <c r="H34">
        <v>3</v>
      </c>
      <c r="I34" t="s">
        <v>133</v>
      </c>
      <c r="J34" t="s">
        <v>135</v>
      </c>
      <c r="K34" t="s">
        <v>134</v>
      </c>
      <c r="L34">
        <v>1354</v>
      </c>
      <c r="N34">
        <v>1010</v>
      </c>
      <c r="O34" t="s">
        <v>126</v>
      </c>
      <c r="P34" t="s">
        <v>126</v>
      </c>
      <c r="Q34">
        <v>1</v>
      </c>
      <c r="X34">
        <v>0.1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 t="s">
        <v>3</v>
      </c>
      <c r="AG34">
        <v>0.1</v>
      </c>
      <c r="AH34">
        <v>2</v>
      </c>
      <c r="AI34">
        <v>84186893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ROW(Source!A75)</f>
        <v>75</v>
      </c>
      <c r="B35">
        <v>84186913</v>
      </c>
      <c r="C35">
        <v>84186880</v>
      </c>
      <c r="D35">
        <v>37745010</v>
      </c>
      <c r="E35">
        <v>1</v>
      </c>
      <c r="F35">
        <v>1</v>
      </c>
      <c r="G35">
        <v>1</v>
      </c>
      <c r="H35">
        <v>3</v>
      </c>
      <c r="I35" t="s">
        <v>457</v>
      </c>
      <c r="J35" t="s">
        <v>458</v>
      </c>
      <c r="K35" t="s">
        <v>459</v>
      </c>
      <c r="L35">
        <v>1348</v>
      </c>
      <c r="N35">
        <v>1009</v>
      </c>
      <c r="O35" t="s">
        <v>117</v>
      </c>
      <c r="P35" t="s">
        <v>117</v>
      </c>
      <c r="Q35">
        <v>1000</v>
      </c>
      <c r="X35">
        <v>1E-4</v>
      </c>
      <c r="Y35">
        <v>9550.01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1E-4</v>
      </c>
      <c r="AH35">
        <v>2</v>
      </c>
      <c r="AI35">
        <v>84186894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ROW(Source!A75)</f>
        <v>75</v>
      </c>
      <c r="B36">
        <v>84186914</v>
      </c>
      <c r="C36">
        <v>84186880</v>
      </c>
      <c r="D36">
        <v>37750429</v>
      </c>
      <c r="E36">
        <v>1</v>
      </c>
      <c r="F36">
        <v>1</v>
      </c>
      <c r="G36">
        <v>1</v>
      </c>
      <c r="H36">
        <v>3</v>
      </c>
      <c r="I36" t="s">
        <v>137</v>
      </c>
      <c r="J36" t="s">
        <v>140</v>
      </c>
      <c r="K36" t="s">
        <v>138</v>
      </c>
      <c r="L36">
        <v>1346</v>
      </c>
      <c r="N36">
        <v>1009</v>
      </c>
      <c r="O36" t="s">
        <v>139</v>
      </c>
      <c r="P36" t="s">
        <v>139</v>
      </c>
      <c r="Q36">
        <v>1</v>
      </c>
      <c r="X36">
        <v>0</v>
      </c>
      <c r="Y36">
        <v>0</v>
      </c>
      <c r="Z36">
        <v>0</v>
      </c>
      <c r="AA36">
        <v>0</v>
      </c>
      <c r="AB36">
        <v>0</v>
      </c>
      <c r="AC36">
        <v>1</v>
      </c>
      <c r="AD36">
        <v>0</v>
      </c>
      <c r="AE36">
        <v>0</v>
      </c>
      <c r="AF36" t="s">
        <v>3</v>
      </c>
      <c r="AG36">
        <v>0</v>
      </c>
      <c r="AH36">
        <v>2</v>
      </c>
      <c r="AI36">
        <v>84186895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ROW(Source!A75)</f>
        <v>75</v>
      </c>
      <c r="B37">
        <v>84186915</v>
      </c>
      <c r="C37">
        <v>84186880</v>
      </c>
      <c r="D37">
        <v>37751168</v>
      </c>
      <c r="E37">
        <v>1</v>
      </c>
      <c r="F37">
        <v>1</v>
      </c>
      <c r="G37">
        <v>1</v>
      </c>
      <c r="H37">
        <v>3</v>
      </c>
      <c r="I37" t="s">
        <v>142</v>
      </c>
      <c r="J37" t="s">
        <v>144</v>
      </c>
      <c r="K37" t="s">
        <v>143</v>
      </c>
      <c r="L37">
        <v>1346</v>
      </c>
      <c r="N37">
        <v>1009</v>
      </c>
      <c r="O37" t="s">
        <v>139</v>
      </c>
      <c r="P37" t="s">
        <v>139</v>
      </c>
      <c r="Q37">
        <v>1</v>
      </c>
      <c r="X37">
        <v>0</v>
      </c>
      <c r="Y37">
        <v>0</v>
      </c>
      <c r="Z37">
        <v>0</v>
      </c>
      <c r="AA37">
        <v>0</v>
      </c>
      <c r="AB37">
        <v>0</v>
      </c>
      <c r="AC37">
        <v>1</v>
      </c>
      <c r="AD37">
        <v>0</v>
      </c>
      <c r="AE37">
        <v>0</v>
      </c>
      <c r="AF37" t="s">
        <v>3</v>
      </c>
      <c r="AG37">
        <v>0</v>
      </c>
      <c r="AH37">
        <v>2</v>
      </c>
      <c r="AI37">
        <v>84186896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ROW(Source!A75)</f>
        <v>75</v>
      </c>
      <c r="B38">
        <v>84186916</v>
      </c>
      <c r="C38">
        <v>84186880</v>
      </c>
      <c r="D38">
        <v>37750801</v>
      </c>
      <c r="E38">
        <v>1</v>
      </c>
      <c r="F38">
        <v>1</v>
      </c>
      <c r="G38">
        <v>1</v>
      </c>
      <c r="H38">
        <v>3</v>
      </c>
      <c r="I38" t="s">
        <v>146</v>
      </c>
      <c r="J38" t="s">
        <v>148</v>
      </c>
      <c r="K38" t="s">
        <v>147</v>
      </c>
      <c r="L38">
        <v>1348</v>
      </c>
      <c r="N38">
        <v>1009</v>
      </c>
      <c r="O38" t="s">
        <v>117</v>
      </c>
      <c r="P38" t="s">
        <v>117</v>
      </c>
      <c r="Q38">
        <v>1000</v>
      </c>
      <c r="X38">
        <v>0</v>
      </c>
      <c r="Y38">
        <v>0</v>
      </c>
      <c r="Z38">
        <v>0</v>
      </c>
      <c r="AA38">
        <v>0</v>
      </c>
      <c r="AB38">
        <v>0</v>
      </c>
      <c r="AC38">
        <v>1</v>
      </c>
      <c r="AD38">
        <v>0</v>
      </c>
      <c r="AE38">
        <v>0</v>
      </c>
      <c r="AF38" t="s">
        <v>3</v>
      </c>
      <c r="AG38">
        <v>0</v>
      </c>
      <c r="AH38">
        <v>2</v>
      </c>
      <c r="AI38">
        <v>84186897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ROW(Source!A75)</f>
        <v>75</v>
      </c>
      <c r="B39">
        <v>84186917</v>
      </c>
      <c r="C39">
        <v>84186880</v>
      </c>
      <c r="D39">
        <v>37775906</v>
      </c>
      <c r="E39">
        <v>1</v>
      </c>
      <c r="F39">
        <v>1</v>
      </c>
      <c r="G39">
        <v>1</v>
      </c>
      <c r="H39">
        <v>3</v>
      </c>
      <c r="I39" t="s">
        <v>150</v>
      </c>
      <c r="J39" t="s">
        <v>152</v>
      </c>
      <c r="K39" t="s">
        <v>151</v>
      </c>
      <c r="L39">
        <v>1354</v>
      </c>
      <c r="N39">
        <v>1010</v>
      </c>
      <c r="O39" t="s">
        <v>126</v>
      </c>
      <c r="P39" t="s">
        <v>126</v>
      </c>
      <c r="Q39">
        <v>1</v>
      </c>
      <c r="X39">
        <v>0</v>
      </c>
      <c r="Y39">
        <v>2074</v>
      </c>
      <c r="Z39">
        <v>0</v>
      </c>
      <c r="AA39">
        <v>0</v>
      </c>
      <c r="AB39">
        <v>0</v>
      </c>
      <c r="AC39">
        <v>1</v>
      </c>
      <c r="AD39">
        <v>0</v>
      </c>
      <c r="AE39">
        <v>0</v>
      </c>
      <c r="AF39" t="s">
        <v>3</v>
      </c>
      <c r="AG39">
        <v>0</v>
      </c>
      <c r="AH39">
        <v>2</v>
      </c>
      <c r="AI39">
        <v>84186898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ROW(Source!A75)</f>
        <v>75</v>
      </c>
      <c r="B40">
        <v>84186918</v>
      </c>
      <c r="C40">
        <v>84186880</v>
      </c>
      <c r="D40">
        <v>37792552</v>
      </c>
      <c r="E40">
        <v>1</v>
      </c>
      <c r="F40">
        <v>1</v>
      </c>
      <c r="G40">
        <v>1</v>
      </c>
      <c r="H40">
        <v>3</v>
      </c>
      <c r="I40" t="s">
        <v>460</v>
      </c>
      <c r="J40" t="s">
        <v>461</v>
      </c>
      <c r="K40" t="s">
        <v>462</v>
      </c>
      <c r="L40">
        <v>1354</v>
      </c>
      <c r="N40">
        <v>1010</v>
      </c>
      <c r="O40" t="s">
        <v>126</v>
      </c>
      <c r="P40" t="s">
        <v>126</v>
      </c>
      <c r="Q40">
        <v>1</v>
      </c>
      <c r="X40">
        <v>6</v>
      </c>
      <c r="Y40">
        <v>6.2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6</v>
      </c>
      <c r="AH40">
        <v>2</v>
      </c>
      <c r="AI40">
        <v>84186899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ROW(Source!A96)</f>
        <v>96</v>
      </c>
      <c r="B41">
        <v>84186954</v>
      </c>
      <c r="C41">
        <v>84186939</v>
      </c>
      <c r="D41">
        <v>23129536</v>
      </c>
      <c r="E41">
        <v>1</v>
      </c>
      <c r="F41">
        <v>1</v>
      </c>
      <c r="G41">
        <v>1</v>
      </c>
      <c r="H41">
        <v>1</v>
      </c>
      <c r="I41" t="s">
        <v>440</v>
      </c>
      <c r="J41" t="s">
        <v>3</v>
      </c>
      <c r="K41" t="s">
        <v>441</v>
      </c>
      <c r="L41">
        <v>1369</v>
      </c>
      <c r="N41">
        <v>1013</v>
      </c>
      <c r="O41" t="s">
        <v>388</v>
      </c>
      <c r="P41" t="s">
        <v>388</v>
      </c>
      <c r="Q41">
        <v>1</v>
      </c>
      <c r="X41">
        <v>4.29</v>
      </c>
      <c r="Y41">
        <v>0</v>
      </c>
      <c r="Z41">
        <v>0</v>
      </c>
      <c r="AA41">
        <v>0</v>
      </c>
      <c r="AB41">
        <v>8.2799999999999994</v>
      </c>
      <c r="AC41">
        <v>0</v>
      </c>
      <c r="AD41">
        <v>1</v>
      </c>
      <c r="AE41">
        <v>1</v>
      </c>
      <c r="AF41" t="s">
        <v>3</v>
      </c>
      <c r="AG41">
        <v>4.29</v>
      </c>
      <c r="AH41">
        <v>2</v>
      </c>
      <c r="AI41">
        <v>84186940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ROW(Source!A96)</f>
        <v>96</v>
      </c>
      <c r="B42">
        <v>84186955</v>
      </c>
      <c r="C42">
        <v>84186939</v>
      </c>
      <c r="D42">
        <v>121548</v>
      </c>
      <c r="E42">
        <v>1</v>
      </c>
      <c r="F42">
        <v>1</v>
      </c>
      <c r="G42">
        <v>1</v>
      </c>
      <c r="H42">
        <v>1</v>
      </c>
      <c r="I42" t="s">
        <v>95</v>
      </c>
      <c r="J42" t="s">
        <v>3</v>
      </c>
      <c r="K42" t="s">
        <v>389</v>
      </c>
      <c r="L42">
        <v>608254</v>
      </c>
      <c r="N42">
        <v>1013</v>
      </c>
      <c r="O42" t="s">
        <v>390</v>
      </c>
      <c r="P42" t="s">
        <v>390</v>
      </c>
      <c r="Q42">
        <v>1</v>
      </c>
      <c r="X42">
        <v>0.97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2</v>
      </c>
      <c r="AF42" t="s">
        <v>3</v>
      </c>
      <c r="AG42">
        <v>0.97</v>
      </c>
      <c r="AH42">
        <v>2</v>
      </c>
      <c r="AI42">
        <v>84186941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ROW(Source!A96)</f>
        <v>96</v>
      </c>
      <c r="B43">
        <v>84186956</v>
      </c>
      <c r="C43">
        <v>84186939</v>
      </c>
      <c r="D43">
        <v>37802579</v>
      </c>
      <c r="E43">
        <v>1</v>
      </c>
      <c r="F43">
        <v>1</v>
      </c>
      <c r="G43">
        <v>1</v>
      </c>
      <c r="H43">
        <v>2</v>
      </c>
      <c r="I43" t="s">
        <v>391</v>
      </c>
      <c r="J43" t="s">
        <v>392</v>
      </c>
      <c r="K43" t="s">
        <v>393</v>
      </c>
      <c r="L43">
        <v>1368</v>
      </c>
      <c r="N43">
        <v>1011</v>
      </c>
      <c r="O43" t="s">
        <v>394</v>
      </c>
      <c r="P43" t="s">
        <v>394</v>
      </c>
      <c r="Q43">
        <v>1</v>
      </c>
      <c r="X43">
        <v>0.97</v>
      </c>
      <c r="Y43">
        <v>0</v>
      </c>
      <c r="Z43">
        <v>85.64</v>
      </c>
      <c r="AA43">
        <v>9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0.97</v>
      </c>
      <c r="AH43">
        <v>2</v>
      </c>
      <c r="AI43">
        <v>84186942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ROW(Source!A96)</f>
        <v>96</v>
      </c>
      <c r="B44">
        <v>84186957</v>
      </c>
      <c r="C44">
        <v>84186939</v>
      </c>
      <c r="D44">
        <v>37804456</v>
      </c>
      <c r="E44">
        <v>1</v>
      </c>
      <c r="F44">
        <v>1</v>
      </c>
      <c r="G44">
        <v>1</v>
      </c>
      <c r="H44">
        <v>2</v>
      </c>
      <c r="I44" t="s">
        <v>395</v>
      </c>
      <c r="J44" t="s">
        <v>396</v>
      </c>
      <c r="K44" t="s">
        <v>397</v>
      </c>
      <c r="L44">
        <v>1368</v>
      </c>
      <c r="N44">
        <v>1011</v>
      </c>
      <c r="O44" t="s">
        <v>394</v>
      </c>
      <c r="P44" t="s">
        <v>394</v>
      </c>
      <c r="Q44">
        <v>1</v>
      </c>
      <c r="X44">
        <v>0.22</v>
      </c>
      <c r="Y44">
        <v>0</v>
      </c>
      <c r="Z44">
        <v>91.76</v>
      </c>
      <c r="AA44">
        <v>10.35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0.22</v>
      </c>
      <c r="AH44">
        <v>2</v>
      </c>
      <c r="AI44">
        <v>84186943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ROW(Source!A96)</f>
        <v>96</v>
      </c>
      <c r="B45">
        <v>84186958</v>
      </c>
      <c r="C45">
        <v>84186939</v>
      </c>
      <c r="D45">
        <v>37729879</v>
      </c>
      <c r="E45">
        <v>1</v>
      </c>
      <c r="F45">
        <v>1</v>
      </c>
      <c r="G45">
        <v>1</v>
      </c>
      <c r="H45">
        <v>3</v>
      </c>
      <c r="I45" t="s">
        <v>448</v>
      </c>
      <c r="J45" t="s">
        <v>449</v>
      </c>
      <c r="K45" t="s">
        <v>450</v>
      </c>
      <c r="L45">
        <v>1348</v>
      </c>
      <c r="N45">
        <v>1009</v>
      </c>
      <c r="O45" t="s">
        <v>117</v>
      </c>
      <c r="P45" t="s">
        <v>117</v>
      </c>
      <c r="Q45">
        <v>1000</v>
      </c>
      <c r="X45">
        <v>3.0000000000000001E-5</v>
      </c>
      <c r="Y45">
        <v>9662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3.0000000000000001E-5</v>
      </c>
      <c r="AH45">
        <v>2</v>
      </c>
      <c r="AI45">
        <v>84186944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ROW(Source!A96)</f>
        <v>96</v>
      </c>
      <c r="B46">
        <v>84186959</v>
      </c>
      <c r="C46">
        <v>84186939</v>
      </c>
      <c r="D46">
        <v>37729917</v>
      </c>
      <c r="E46">
        <v>1</v>
      </c>
      <c r="F46">
        <v>1</v>
      </c>
      <c r="G46">
        <v>1</v>
      </c>
      <c r="H46">
        <v>3</v>
      </c>
      <c r="I46" t="s">
        <v>463</v>
      </c>
      <c r="J46" t="s">
        <v>464</v>
      </c>
      <c r="K46" t="s">
        <v>465</v>
      </c>
      <c r="L46">
        <v>1348</v>
      </c>
      <c r="N46">
        <v>1009</v>
      </c>
      <c r="O46" t="s">
        <v>117</v>
      </c>
      <c r="P46" t="s">
        <v>117</v>
      </c>
      <c r="Q46">
        <v>1000</v>
      </c>
      <c r="X46">
        <v>3.0000000000000001E-5</v>
      </c>
      <c r="Y46">
        <v>6667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3.0000000000000001E-5</v>
      </c>
      <c r="AH46">
        <v>2</v>
      </c>
      <c r="AI46">
        <v>84186945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ROW(Source!A96)</f>
        <v>96</v>
      </c>
      <c r="B47">
        <v>84186960</v>
      </c>
      <c r="C47">
        <v>84186939</v>
      </c>
      <c r="D47">
        <v>37736859</v>
      </c>
      <c r="E47">
        <v>1</v>
      </c>
      <c r="F47">
        <v>1</v>
      </c>
      <c r="G47">
        <v>1</v>
      </c>
      <c r="H47">
        <v>3</v>
      </c>
      <c r="I47" t="s">
        <v>115</v>
      </c>
      <c r="J47" t="s">
        <v>118</v>
      </c>
      <c r="K47" t="s">
        <v>116</v>
      </c>
      <c r="L47">
        <v>1348</v>
      </c>
      <c r="N47">
        <v>1009</v>
      </c>
      <c r="O47" t="s">
        <v>117</v>
      </c>
      <c r="P47" t="s">
        <v>117</v>
      </c>
      <c r="Q47">
        <v>1000</v>
      </c>
      <c r="X47">
        <v>0</v>
      </c>
      <c r="Y47">
        <v>9040.01</v>
      </c>
      <c r="Z47">
        <v>0</v>
      </c>
      <c r="AA47">
        <v>0</v>
      </c>
      <c r="AB47">
        <v>0</v>
      </c>
      <c r="AC47">
        <v>1</v>
      </c>
      <c r="AD47">
        <v>0</v>
      </c>
      <c r="AE47">
        <v>0</v>
      </c>
      <c r="AF47" t="s">
        <v>3</v>
      </c>
      <c r="AG47">
        <v>0</v>
      </c>
      <c r="AH47">
        <v>2</v>
      </c>
      <c r="AI47">
        <v>84186946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ROW(Source!A96)</f>
        <v>96</v>
      </c>
      <c r="B48">
        <v>84186961</v>
      </c>
      <c r="C48">
        <v>84186939</v>
      </c>
      <c r="D48">
        <v>37729991</v>
      </c>
      <c r="E48">
        <v>1</v>
      </c>
      <c r="F48">
        <v>1</v>
      </c>
      <c r="G48">
        <v>1</v>
      </c>
      <c r="H48">
        <v>3</v>
      </c>
      <c r="I48" t="s">
        <v>451</v>
      </c>
      <c r="J48" t="s">
        <v>452</v>
      </c>
      <c r="K48" t="s">
        <v>453</v>
      </c>
      <c r="L48">
        <v>1346</v>
      </c>
      <c r="N48">
        <v>1009</v>
      </c>
      <c r="O48" t="s">
        <v>139</v>
      </c>
      <c r="P48" t="s">
        <v>139</v>
      </c>
      <c r="Q48">
        <v>1</v>
      </c>
      <c r="X48">
        <v>0.02</v>
      </c>
      <c r="Y48">
        <v>1.82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0.02</v>
      </c>
      <c r="AH48">
        <v>2</v>
      </c>
      <c r="AI48">
        <v>84186947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ROW(Source!A96)</f>
        <v>96</v>
      </c>
      <c r="B49">
        <v>84186962</v>
      </c>
      <c r="C49">
        <v>84186939</v>
      </c>
      <c r="D49">
        <v>37729892</v>
      </c>
      <c r="E49">
        <v>1</v>
      </c>
      <c r="F49">
        <v>1</v>
      </c>
      <c r="G49">
        <v>1</v>
      </c>
      <c r="H49">
        <v>3</v>
      </c>
      <c r="I49" t="s">
        <v>454</v>
      </c>
      <c r="J49" t="s">
        <v>455</v>
      </c>
      <c r="K49" t="s">
        <v>456</v>
      </c>
      <c r="L49">
        <v>1346</v>
      </c>
      <c r="N49">
        <v>1009</v>
      </c>
      <c r="O49" t="s">
        <v>139</v>
      </c>
      <c r="P49" t="s">
        <v>139</v>
      </c>
      <c r="Q49">
        <v>1</v>
      </c>
      <c r="X49">
        <v>0.1</v>
      </c>
      <c r="Y49">
        <v>14.62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0.1</v>
      </c>
      <c r="AH49">
        <v>2</v>
      </c>
      <c r="AI49">
        <v>84186948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ROW(Source!A96)</f>
        <v>96</v>
      </c>
      <c r="B50">
        <v>84186963</v>
      </c>
      <c r="C50">
        <v>84186939</v>
      </c>
      <c r="D50">
        <v>37735757</v>
      </c>
      <c r="E50">
        <v>1</v>
      </c>
      <c r="F50">
        <v>1</v>
      </c>
      <c r="G50">
        <v>1</v>
      </c>
      <c r="H50">
        <v>3</v>
      </c>
      <c r="I50" t="s">
        <v>120</v>
      </c>
      <c r="J50" t="s">
        <v>122</v>
      </c>
      <c r="K50" t="s">
        <v>121</v>
      </c>
      <c r="L50">
        <v>1348</v>
      </c>
      <c r="N50">
        <v>1009</v>
      </c>
      <c r="O50" t="s">
        <v>117</v>
      </c>
      <c r="P50" t="s">
        <v>117</v>
      </c>
      <c r="Q50">
        <v>1000</v>
      </c>
      <c r="X50">
        <v>0</v>
      </c>
      <c r="Y50">
        <v>0</v>
      </c>
      <c r="Z50">
        <v>0</v>
      </c>
      <c r="AA50">
        <v>0</v>
      </c>
      <c r="AB50">
        <v>0</v>
      </c>
      <c r="AC50">
        <v>1</v>
      </c>
      <c r="AD50">
        <v>0</v>
      </c>
      <c r="AE50">
        <v>0</v>
      </c>
      <c r="AF50" t="s">
        <v>3</v>
      </c>
      <c r="AG50">
        <v>0</v>
      </c>
      <c r="AH50">
        <v>2</v>
      </c>
      <c r="AI50">
        <v>84186949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ROW(Source!A96)</f>
        <v>96</v>
      </c>
      <c r="B51">
        <v>84186964</v>
      </c>
      <c r="C51">
        <v>84186939</v>
      </c>
      <c r="D51">
        <v>37744299</v>
      </c>
      <c r="E51">
        <v>1</v>
      </c>
      <c r="F51">
        <v>1</v>
      </c>
      <c r="G51">
        <v>1</v>
      </c>
      <c r="H51">
        <v>3</v>
      </c>
      <c r="I51" t="s">
        <v>124</v>
      </c>
      <c r="J51" t="s">
        <v>127</v>
      </c>
      <c r="K51" t="s">
        <v>125</v>
      </c>
      <c r="L51">
        <v>1354</v>
      </c>
      <c r="N51">
        <v>1010</v>
      </c>
      <c r="O51" t="s">
        <v>126</v>
      </c>
      <c r="P51" t="s">
        <v>126</v>
      </c>
      <c r="Q51">
        <v>1</v>
      </c>
      <c r="X51">
        <v>0</v>
      </c>
      <c r="Y51">
        <v>0</v>
      </c>
      <c r="Z51">
        <v>0</v>
      </c>
      <c r="AA51">
        <v>0</v>
      </c>
      <c r="AB51">
        <v>0</v>
      </c>
      <c r="AC51">
        <v>1</v>
      </c>
      <c r="AD51">
        <v>0</v>
      </c>
      <c r="AE51">
        <v>0</v>
      </c>
      <c r="AF51" t="s">
        <v>3</v>
      </c>
      <c r="AG51">
        <v>0</v>
      </c>
      <c r="AH51">
        <v>2</v>
      </c>
      <c r="AI51">
        <v>84186950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ROW(Source!A96)</f>
        <v>96</v>
      </c>
      <c r="B52">
        <v>84186965</v>
      </c>
      <c r="C52">
        <v>84186939</v>
      </c>
      <c r="D52">
        <v>37745010</v>
      </c>
      <c r="E52">
        <v>1</v>
      </c>
      <c r="F52">
        <v>1</v>
      </c>
      <c r="G52">
        <v>1</v>
      </c>
      <c r="H52">
        <v>3</v>
      </c>
      <c r="I52" t="s">
        <v>457</v>
      </c>
      <c r="J52" t="s">
        <v>458</v>
      </c>
      <c r="K52" t="s">
        <v>459</v>
      </c>
      <c r="L52">
        <v>1348</v>
      </c>
      <c r="N52">
        <v>1009</v>
      </c>
      <c r="O52" t="s">
        <v>117</v>
      </c>
      <c r="P52" t="s">
        <v>117</v>
      </c>
      <c r="Q52">
        <v>1000</v>
      </c>
      <c r="X52">
        <v>1E-4</v>
      </c>
      <c r="Y52">
        <v>9550.01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1E-4</v>
      </c>
      <c r="AH52">
        <v>2</v>
      </c>
      <c r="AI52">
        <v>84186951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ROW(Source!A96)</f>
        <v>96</v>
      </c>
      <c r="B53">
        <v>84186966</v>
      </c>
      <c r="C53">
        <v>84186939</v>
      </c>
      <c r="D53">
        <v>37750429</v>
      </c>
      <c r="E53">
        <v>1</v>
      </c>
      <c r="F53">
        <v>1</v>
      </c>
      <c r="G53">
        <v>1</v>
      </c>
      <c r="H53">
        <v>3</v>
      </c>
      <c r="I53" t="s">
        <v>137</v>
      </c>
      <c r="J53" t="s">
        <v>140</v>
      </c>
      <c r="K53" t="s">
        <v>138</v>
      </c>
      <c r="L53">
        <v>1346</v>
      </c>
      <c r="N53">
        <v>1009</v>
      </c>
      <c r="O53" t="s">
        <v>139</v>
      </c>
      <c r="P53" t="s">
        <v>139</v>
      </c>
      <c r="Q53">
        <v>1</v>
      </c>
      <c r="X53">
        <v>0</v>
      </c>
      <c r="Y53">
        <v>0</v>
      </c>
      <c r="Z53">
        <v>0</v>
      </c>
      <c r="AA53">
        <v>0</v>
      </c>
      <c r="AB53">
        <v>0</v>
      </c>
      <c r="AC53">
        <v>1</v>
      </c>
      <c r="AD53">
        <v>0</v>
      </c>
      <c r="AE53">
        <v>0</v>
      </c>
      <c r="AF53" t="s">
        <v>3</v>
      </c>
      <c r="AG53">
        <v>0</v>
      </c>
      <c r="AH53">
        <v>2</v>
      </c>
      <c r="AI53">
        <v>84186952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ROW(Source!A96)</f>
        <v>96</v>
      </c>
      <c r="B54">
        <v>84186967</v>
      </c>
      <c r="C54">
        <v>84186939</v>
      </c>
      <c r="D54">
        <v>37751168</v>
      </c>
      <c r="E54">
        <v>1</v>
      </c>
      <c r="F54">
        <v>1</v>
      </c>
      <c r="G54">
        <v>1</v>
      </c>
      <c r="H54">
        <v>3</v>
      </c>
      <c r="I54" t="s">
        <v>142</v>
      </c>
      <c r="J54" t="s">
        <v>144</v>
      </c>
      <c r="K54" t="s">
        <v>143</v>
      </c>
      <c r="L54">
        <v>1346</v>
      </c>
      <c r="N54">
        <v>1009</v>
      </c>
      <c r="O54" t="s">
        <v>139</v>
      </c>
      <c r="P54" t="s">
        <v>139</v>
      </c>
      <c r="Q54">
        <v>1</v>
      </c>
      <c r="X54">
        <v>0</v>
      </c>
      <c r="Y54">
        <v>0</v>
      </c>
      <c r="Z54">
        <v>0</v>
      </c>
      <c r="AA54">
        <v>0</v>
      </c>
      <c r="AB54">
        <v>0</v>
      </c>
      <c r="AC54">
        <v>1</v>
      </c>
      <c r="AD54">
        <v>0</v>
      </c>
      <c r="AE54">
        <v>0</v>
      </c>
      <c r="AF54" t="s">
        <v>3</v>
      </c>
      <c r="AG54">
        <v>0</v>
      </c>
      <c r="AH54">
        <v>2</v>
      </c>
      <c r="AI54">
        <v>84186953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ROW(Source!A103)</f>
        <v>103</v>
      </c>
      <c r="B55">
        <v>84186982</v>
      </c>
      <c r="C55">
        <v>84186974</v>
      </c>
      <c r="D55">
        <v>23135014</v>
      </c>
      <c r="E55">
        <v>1</v>
      </c>
      <c r="F55">
        <v>1</v>
      </c>
      <c r="G55">
        <v>1</v>
      </c>
      <c r="H55">
        <v>1</v>
      </c>
      <c r="I55" t="s">
        <v>466</v>
      </c>
      <c r="J55" t="s">
        <v>3</v>
      </c>
      <c r="K55" t="s">
        <v>467</v>
      </c>
      <c r="L55">
        <v>1369</v>
      </c>
      <c r="N55">
        <v>1013</v>
      </c>
      <c r="O55" t="s">
        <v>388</v>
      </c>
      <c r="P55" t="s">
        <v>388</v>
      </c>
      <c r="Q55">
        <v>1</v>
      </c>
      <c r="X55">
        <v>0.81</v>
      </c>
      <c r="Y55">
        <v>0</v>
      </c>
      <c r="Z55">
        <v>0</v>
      </c>
      <c r="AA55">
        <v>0</v>
      </c>
      <c r="AB55">
        <v>7.9</v>
      </c>
      <c r="AC55">
        <v>0</v>
      </c>
      <c r="AD55">
        <v>1</v>
      </c>
      <c r="AE55">
        <v>1</v>
      </c>
      <c r="AF55" t="s">
        <v>3</v>
      </c>
      <c r="AG55">
        <v>0.81</v>
      </c>
      <c r="AH55">
        <v>2</v>
      </c>
      <c r="AI55">
        <v>84186975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ROW(Source!A103)</f>
        <v>103</v>
      </c>
      <c r="B56">
        <v>84186983</v>
      </c>
      <c r="C56">
        <v>84186974</v>
      </c>
      <c r="D56">
        <v>121548</v>
      </c>
      <c r="E56">
        <v>1</v>
      </c>
      <c r="F56">
        <v>1</v>
      </c>
      <c r="G56">
        <v>1</v>
      </c>
      <c r="H56">
        <v>1</v>
      </c>
      <c r="I56" t="s">
        <v>95</v>
      </c>
      <c r="J56" t="s">
        <v>3</v>
      </c>
      <c r="K56" t="s">
        <v>389</v>
      </c>
      <c r="L56">
        <v>608254</v>
      </c>
      <c r="N56">
        <v>1013</v>
      </c>
      <c r="O56" t="s">
        <v>390</v>
      </c>
      <c r="P56" t="s">
        <v>390</v>
      </c>
      <c r="Q56">
        <v>1</v>
      </c>
      <c r="X56">
        <v>0.61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2</v>
      </c>
      <c r="AF56" t="s">
        <v>3</v>
      </c>
      <c r="AG56">
        <v>0.61</v>
      </c>
      <c r="AH56">
        <v>2</v>
      </c>
      <c r="AI56">
        <v>84186976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ROW(Source!A103)</f>
        <v>103</v>
      </c>
      <c r="B57">
        <v>84186984</v>
      </c>
      <c r="C57">
        <v>84186974</v>
      </c>
      <c r="D57">
        <v>37802644</v>
      </c>
      <c r="E57">
        <v>1</v>
      </c>
      <c r="F57">
        <v>1</v>
      </c>
      <c r="G57">
        <v>1</v>
      </c>
      <c r="H57">
        <v>2</v>
      </c>
      <c r="I57" t="s">
        <v>468</v>
      </c>
      <c r="J57" t="s">
        <v>469</v>
      </c>
      <c r="K57" t="s">
        <v>470</v>
      </c>
      <c r="L57">
        <v>1368</v>
      </c>
      <c r="N57">
        <v>1011</v>
      </c>
      <c r="O57" t="s">
        <v>394</v>
      </c>
      <c r="P57" t="s">
        <v>394</v>
      </c>
      <c r="Q57">
        <v>1</v>
      </c>
      <c r="X57">
        <v>0.19</v>
      </c>
      <c r="Y57">
        <v>0</v>
      </c>
      <c r="Z57">
        <v>14.14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0.19</v>
      </c>
      <c r="AH57">
        <v>2</v>
      </c>
      <c r="AI57">
        <v>84186977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ROW(Source!A103)</f>
        <v>103</v>
      </c>
      <c r="B58">
        <v>84186985</v>
      </c>
      <c r="C58">
        <v>84186974</v>
      </c>
      <c r="D58">
        <v>37802699</v>
      </c>
      <c r="E58">
        <v>1</v>
      </c>
      <c r="F58">
        <v>1</v>
      </c>
      <c r="G58">
        <v>1</v>
      </c>
      <c r="H58">
        <v>2</v>
      </c>
      <c r="I58" t="s">
        <v>471</v>
      </c>
      <c r="J58" t="s">
        <v>472</v>
      </c>
      <c r="K58" t="s">
        <v>473</v>
      </c>
      <c r="L58">
        <v>1368</v>
      </c>
      <c r="N58">
        <v>1011</v>
      </c>
      <c r="O58" t="s">
        <v>394</v>
      </c>
      <c r="P58" t="s">
        <v>394</v>
      </c>
      <c r="Q58">
        <v>1</v>
      </c>
      <c r="X58">
        <v>0.61</v>
      </c>
      <c r="Y58">
        <v>0</v>
      </c>
      <c r="Z58">
        <v>59.38</v>
      </c>
      <c r="AA58">
        <v>9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0.61</v>
      </c>
      <c r="AH58">
        <v>2</v>
      </c>
      <c r="AI58">
        <v>84186978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ROW(Source!A103)</f>
        <v>103</v>
      </c>
      <c r="B59">
        <v>84186986</v>
      </c>
      <c r="C59">
        <v>84186974</v>
      </c>
      <c r="D59">
        <v>37804144</v>
      </c>
      <c r="E59">
        <v>1</v>
      </c>
      <c r="F59">
        <v>1</v>
      </c>
      <c r="G59">
        <v>1</v>
      </c>
      <c r="H59">
        <v>2</v>
      </c>
      <c r="I59" t="s">
        <v>474</v>
      </c>
      <c r="J59" t="s">
        <v>475</v>
      </c>
      <c r="K59" t="s">
        <v>476</v>
      </c>
      <c r="L59">
        <v>1368</v>
      </c>
      <c r="N59">
        <v>1011</v>
      </c>
      <c r="O59" t="s">
        <v>394</v>
      </c>
      <c r="P59" t="s">
        <v>394</v>
      </c>
      <c r="Q59">
        <v>1</v>
      </c>
      <c r="X59">
        <v>0.61</v>
      </c>
      <c r="Y59">
        <v>0</v>
      </c>
      <c r="Z59">
        <v>100.79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0.61</v>
      </c>
      <c r="AH59">
        <v>2</v>
      </c>
      <c r="AI59">
        <v>84186979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ROW(Source!A103)</f>
        <v>103</v>
      </c>
      <c r="B60">
        <v>84186987</v>
      </c>
      <c r="C60">
        <v>84186974</v>
      </c>
      <c r="D60">
        <v>37736609</v>
      </c>
      <c r="E60">
        <v>1</v>
      </c>
      <c r="F60">
        <v>1</v>
      </c>
      <c r="G60">
        <v>1</v>
      </c>
      <c r="H60">
        <v>3</v>
      </c>
      <c r="I60" t="s">
        <v>477</v>
      </c>
      <c r="J60" t="s">
        <v>478</v>
      </c>
      <c r="K60" t="s">
        <v>479</v>
      </c>
      <c r="L60">
        <v>1348</v>
      </c>
      <c r="N60">
        <v>1009</v>
      </c>
      <c r="O60" t="s">
        <v>117</v>
      </c>
      <c r="P60" t="s">
        <v>117</v>
      </c>
      <c r="Q60">
        <v>1000</v>
      </c>
      <c r="X60">
        <v>3.0000000000000001E-5</v>
      </c>
      <c r="Y60">
        <v>9750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3.0000000000000001E-5</v>
      </c>
      <c r="AH60">
        <v>2</v>
      </c>
      <c r="AI60">
        <v>84186980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ROW(Source!A103)</f>
        <v>103</v>
      </c>
      <c r="B61">
        <v>84186988</v>
      </c>
      <c r="C61">
        <v>84186974</v>
      </c>
      <c r="D61">
        <v>37753212</v>
      </c>
      <c r="E61">
        <v>1</v>
      </c>
      <c r="F61">
        <v>1</v>
      </c>
      <c r="G61">
        <v>1</v>
      </c>
      <c r="H61">
        <v>3</v>
      </c>
      <c r="I61" t="s">
        <v>223</v>
      </c>
      <c r="J61" t="s">
        <v>225</v>
      </c>
      <c r="K61" t="s">
        <v>224</v>
      </c>
      <c r="L61">
        <v>1348</v>
      </c>
      <c r="N61">
        <v>1009</v>
      </c>
      <c r="O61" t="s">
        <v>117</v>
      </c>
      <c r="P61" t="s">
        <v>117</v>
      </c>
      <c r="Q61">
        <v>1000</v>
      </c>
      <c r="X61">
        <v>5.0000000000000001E-3</v>
      </c>
      <c r="Y61">
        <v>6594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5.0000000000000001E-3</v>
      </c>
      <c r="AH61">
        <v>2</v>
      </c>
      <c r="AI61">
        <v>84186981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ROW(Source!A106)</f>
        <v>106</v>
      </c>
      <c r="B62">
        <v>84186998</v>
      </c>
      <c r="C62">
        <v>84186991</v>
      </c>
      <c r="D62">
        <v>23135499</v>
      </c>
      <c r="E62">
        <v>1</v>
      </c>
      <c r="F62">
        <v>1</v>
      </c>
      <c r="G62">
        <v>1</v>
      </c>
      <c r="H62">
        <v>1</v>
      </c>
      <c r="I62" t="s">
        <v>480</v>
      </c>
      <c r="J62" t="s">
        <v>3</v>
      </c>
      <c r="K62" t="s">
        <v>481</v>
      </c>
      <c r="L62">
        <v>1369</v>
      </c>
      <c r="N62">
        <v>1013</v>
      </c>
      <c r="O62" t="s">
        <v>388</v>
      </c>
      <c r="P62" t="s">
        <v>388</v>
      </c>
      <c r="Q62">
        <v>1</v>
      </c>
      <c r="X62">
        <v>28.59</v>
      </c>
      <c r="Y62">
        <v>0</v>
      </c>
      <c r="Z62">
        <v>0</v>
      </c>
      <c r="AA62">
        <v>0</v>
      </c>
      <c r="AB62">
        <v>8.99</v>
      </c>
      <c r="AC62">
        <v>0</v>
      </c>
      <c r="AD62">
        <v>1</v>
      </c>
      <c r="AE62">
        <v>1</v>
      </c>
      <c r="AF62" t="s">
        <v>3</v>
      </c>
      <c r="AG62">
        <v>28.59</v>
      </c>
      <c r="AH62">
        <v>2</v>
      </c>
      <c r="AI62">
        <v>84186992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ROW(Source!A106)</f>
        <v>106</v>
      </c>
      <c r="B63">
        <v>84186999</v>
      </c>
      <c r="C63">
        <v>84186991</v>
      </c>
      <c r="D63">
        <v>121548</v>
      </c>
      <c r="E63">
        <v>1</v>
      </c>
      <c r="F63">
        <v>1</v>
      </c>
      <c r="G63">
        <v>1</v>
      </c>
      <c r="H63">
        <v>1</v>
      </c>
      <c r="I63" t="s">
        <v>95</v>
      </c>
      <c r="J63" t="s">
        <v>3</v>
      </c>
      <c r="K63" t="s">
        <v>389</v>
      </c>
      <c r="L63">
        <v>608254</v>
      </c>
      <c r="N63">
        <v>1013</v>
      </c>
      <c r="O63" t="s">
        <v>390</v>
      </c>
      <c r="P63" t="s">
        <v>390</v>
      </c>
      <c r="Q63">
        <v>1</v>
      </c>
      <c r="X63">
        <v>8.4499999999999993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2</v>
      </c>
      <c r="AF63" t="s">
        <v>3</v>
      </c>
      <c r="AG63">
        <v>8.4499999999999993</v>
      </c>
      <c r="AH63">
        <v>2</v>
      </c>
      <c r="AI63">
        <v>84186993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ROW(Source!A106)</f>
        <v>106</v>
      </c>
      <c r="B64">
        <v>84187000</v>
      </c>
      <c r="C64">
        <v>84186991</v>
      </c>
      <c r="D64">
        <v>37802443</v>
      </c>
      <c r="E64">
        <v>1</v>
      </c>
      <c r="F64">
        <v>1</v>
      </c>
      <c r="G64">
        <v>1</v>
      </c>
      <c r="H64">
        <v>2</v>
      </c>
      <c r="I64" t="s">
        <v>406</v>
      </c>
      <c r="J64" t="s">
        <v>407</v>
      </c>
      <c r="K64" t="s">
        <v>408</v>
      </c>
      <c r="L64">
        <v>1368</v>
      </c>
      <c r="N64">
        <v>1011</v>
      </c>
      <c r="O64" t="s">
        <v>394</v>
      </c>
      <c r="P64" t="s">
        <v>394</v>
      </c>
      <c r="Q64">
        <v>1</v>
      </c>
      <c r="X64">
        <v>2.67</v>
      </c>
      <c r="Y64">
        <v>0</v>
      </c>
      <c r="Z64">
        <v>124.14</v>
      </c>
      <c r="AA64">
        <v>12.1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2.67</v>
      </c>
      <c r="AH64">
        <v>2</v>
      </c>
      <c r="AI64">
        <v>84186994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ROW(Source!A106)</f>
        <v>106</v>
      </c>
      <c r="B65">
        <v>84187001</v>
      </c>
      <c r="C65">
        <v>84186991</v>
      </c>
      <c r="D65">
        <v>37802579</v>
      </c>
      <c r="E65">
        <v>1</v>
      </c>
      <c r="F65">
        <v>1</v>
      </c>
      <c r="G65">
        <v>1</v>
      </c>
      <c r="H65">
        <v>2</v>
      </c>
      <c r="I65" t="s">
        <v>391</v>
      </c>
      <c r="J65" t="s">
        <v>392</v>
      </c>
      <c r="K65" t="s">
        <v>393</v>
      </c>
      <c r="L65">
        <v>1368</v>
      </c>
      <c r="N65">
        <v>1011</v>
      </c>
      <c r="O65" t="s">
        <v>394</v>
      </c>
      <c r="P65" t="s">
        <v>394</v>
      </c>
      <c r="Q65">
        <v>1</v>
      </c>
      <c r="X65">
        <v>5.78</v>
      </c>
      <c r="Y65">
        <v>0</v>
      </c>
      <c r="Z65">
        <v>85.64</v>
      </c>
      <c r="AA65">
        <v>9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5.78</v>
      </c>
      <c r="AH65">
        <v>2</v>
      </c>
      <c r="AI65">
        <v>84186995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ROW(Source!A106)</f>
        <v>106</v>
      </c>
      <c r="B66">
        <v>84187002</v>
      </c>
      <c r="C66">
        <v>84186991</v>
      </c>
      <c r="D66">
        <v>37804456</v>
      </c>
      <c r="E66">
        <v>1</v>
      </c>
      <c r="F66">
        <v>1</v>
      </c>
      <c r="G66">
        <v>1</v>
      </c>
      <c r="H66">
        <v>2</v>
      </c>
      <c r="I66" t="s">
        <v>395</v>
      </c>
      <c r="J66" t="s">
        <v>396</v>
      </c>
      <c r="K66" t="s">
        <v>397</v>
      </c>
      <c r="L66">
        <v>1368</v>
      </c>
      <c r="N66">
        <v>1011</v>
      </c>
      <c r="O66" t="s">
        <v>394</v>
      </c>
      <c r="P66" t="s">
        <v>394</v>
      </c>
      <c r="Q66">
        <v>1</v>
      </c>
      <c r="X66">
        <v>1.43</v>
      </c>
      <c r="Y66">
        <v>0</v>
      </c>
      <c r="Z66">
        <v>91.76</v>
      </c>
      <c r="AA66">
        <v>10.35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1.43</v>
      </c>
      <c r="AH66">
        <v>2</v>
      </c>
      <c r="AI66">
        <v>84186996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ROW(Source!A106)</f>
        <v>106</v>
      </c>
      <c r="B67">
        <v>84187003</v>
      </c>
      <c r="C67">
        <v>84186991</v>
      </c>
      <c r="D67">
        <v>37750429</v>
      </c>
      <c r="E67">
        <v>1</v>
      </c>
      <c r="F67">
        <v>1</v>
      </c>
      <c r="G67">
        <v>1</v>
      </c>
      <c r="H67">
        <v>3</v>
      </c>
      <c r="I67" t="s">
        <v>137</v>
      </c>
      <c r="J67" t="s">
        <v>140</v>
      </c>
      <c r="K67" t="s">
        <v>138</v>
      </c>
      <c r="L67">
        <v>1346</v>
      </c>
      <c r="N67">
        <v>1009</v>
      </c>
      <c r="O67" t="s">
        <v>139</v>
      </c>
      <c r="P67" t="s">
        <v>139</v>
      </c>
      <c r="Q67">
        <v>1</v>
      </c>
      <c r="X67">
        <v>0</v>
      </c>
      <c r="Y67">
        <v>0</v>
      </c>
      <c r="Z67">
        <v>0</v>
      </c>
      <c r="AA67">
        <v>0</v>
      </c>
      <c r="AB67">
        <v>0</v>
      </c>
      <c r="AC67">
        <v>1</v>
      </c>
      <c r="AD67">
        <v>0</v>
      </c>
      <c r="AE67">
        <v>0</v>
      </c>
      <c r="AF67" t="s">
        <v>3</v>
      </c>
      <c r="AG67">
        <v>0</v>
      </c>
      <c r="AH67">
        <v>2</v>
      </c>
      <c r="AI67">
        <v>84186997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ROW(Source!A110)</f>
        <v>110</v>
      </c>
      <c r="B68">
        <v>84193181</v>
      </c>
      <c r="C68">
        <v>84193179</v>
      </c>
      <c r="D68">
        <v>23129555</v>
      </c>
      <c r="E68">
        <v>1</v>
      </c>
      <c r="F68">
        <v>1</v>
      </c>
      <c r="G68">
        <v>1</v>
      </c>
      <c r="H68">
        <v>1</v>
      </c>
      <c r="I68" t="s">
        <v>482</v>
      </c>
      <c r="J68" t="s">
        <v>3</v>
      </c>
      <c r="K68" t="s">
        <v>483</v>
      </c>
      <c r="L68">
        <v>1369</v>
      </c>
      <c r="N68">
        <v>1013</v>
      </c>
      <c r="O68" t="s">
        <v>388</v>
      </c>
      <c r="P68" t="s">
        <v>388</v>
      </c>
      <c r="Q68">
        <v>1</v>
      </c>
      <c r="X68">
        <v>154</v>
      </c>
      <c r="Y68">
        <v>0</v>
      </c>
      <c r="Z68">
        <v>0</v>
      </c>
      <c r="AA68">
        <v>0</v>
      </c>
      <c r="AB68">
        <v>7.29</v>
      </c>
      <c r="AC68">
        <v>0</v>
      </c>
      <c r="AD68">
        <v>1</v>
      </c>
      <c r="AE68">
        <v>1</v>
      </c>
      <c r="AF68" t="s">
        <v>3</v>
      </c>
      <c r="AG68">
        <v>154</v>
      </c>
      <c r="AH68">
        <v>2</v>
      </c>
      <c r="AI68">
        <v>84193180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ROW(Source!A111)</f>
        <v>111</v>
      </c>
      <c r="B69">
        <v>84205113</v>
      </c>
      <c r="C69">
        <v>84205111</v>
      </c>
      <c r="D69">
        <v>23135960</v>
      </c>
      <c r="E69">
        <v>1</v>
      </c>
      <c r="F69">
        <v>1</v>
      </c>
      <c r="G69">
        <v>1</v>
      </c>
      <c r="H69">
        <v>1</v>
      </c>
      <c r="I69" t="s">
        <v>484</v>
      </c>
      <c r="J69" t="s">
        <v>3</v>
      </c>
      <c r="K69" t="s">
        <v>485</v>
      </c>
      <c r="L69">
        <v>1369</v>
      </c>
      <c r="N69">
        <v>1013</v>
      </c>
      <c r="O69" t="s">
        <v>388</v>
      </c>
      <c r="P69" t="s">
        <v>388</v>
      </c>
      <c r="Q69">
        <v>1</v>
      </c>
      <c r="X69">
        <v>97.2</v>
      </c>
      <c r="Y69">
        <v>0</v>
      </c>
      <c r="Z69">
        <v>0</v>
      </c>
      <c r="AA69">
        <v>0</v>
      </c>
      <c r="AB69">
        <v>7.01</v>
      </c>
      <c r="AC69">
        <v>0</v>
      </c>
      <c r="AD69">
        <v>1</v>
      </c>
      <c r="AE69">
        <v>1</v>
      </c>
      <c r="AF69" t="s">
        <v>3</v>
      </c>
      <c r="AG69">
        <v>97.2</v>
      </c>
      <c r="AH69">
        <v>2</v>
      </c>
      <c r="AI69">
        <v>84205113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ROW(Source!A112)</f>
        <v>112</v>
      </c>
      <c r="B70">
        <v>84193191</v>
      </c>
      <c r="C70">
        <v>84193182</v>
      </c>
      <c r="D70">
        <v>23351341</v>
      </c>
      <c r="E70">
        <v>1</v>
      </c>
      <c r="F70">
        <v>1</v>
      </c>
      <c r="G70">
        <v>1</v>
      </c>
      <c r="H70">
        <v>1</v>
      </c>
      <c r="I70" t="s">
        <v>486</v>
      </c>
      <c r="J70" t="s">
        <v>3</v>
      </c>
      <c r="K70" t="s">
        <v>487</v>
      </c>
      <c r="L70">
        <v>1369</v>
      </c>
      <c r="N70">
        <v>1013</v>
      </c>
      <c r="O70" t="s">
        <v>388</v>
      </c>
      <c r="P70" t="s">
        <v>388</v>
      </c>
      <c r="Q70">
        <v>1</v>
      </c>
      <c r="X70">
        <v>16.600000000000001</v>
      </c>
      <c r="Y70">
        <v>0</v>
      </c>
      <c r="Z70">
        <v>0</v>
      </c>
      <c r="AA70">
        <v>0</v>
      </c>
      <c r="AB70">
        <v>8.7899999999999991</v>
      </c>
      <c r="AC70">
        <v>0</v>
      </c>
      <c r="AD70">
        <v>1</v>
      </c>
      <c r="AE70">
        <v>1</v>
      </c>
      <c r="AF70" t="s">
        <v>3</v>
      </c>
      <c r="AG70">
        <v>16.600000000000001</v>
      </c>
      <c r="AH70">
        <v>2</v>
      </c>
      <c r="AI70">
        <v>84193183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ROW(Source!A112)</f>
        <v>112</v>
      </c>
      <c r="B71">
        <v>84193192</v>
      </c>
      <c r="C71">
        <v>84193182</v>
      </c>
      <c r="D71">
        <v>121548</v>
      </c>
      <c r="E71">
        <v>1</v>
      </c>
      <c r="F71">
        <v>1</v>
      </c>
      <c r="G71">
        <v>1</v>
      </c>
      <c r="H71">
        <v>1</v>
      </c>
      <c r="I71" t="s">
        <v>95</v>
      </c>
      <c r="J71" t="s">
        <v>3</v>
      </c>
      <c r="K71" t="s">
        <v>389</v>
      </c>
      <c r="L71">
        <v>608254</v>
      </c>
      <c r="N71">
        <v>1013</v>
      </c>
      <c r="O71" t="s">
        <v>390</v>
      </c>
      <c r="P71" t="s">
        <v>390</v>
      </c>
      <c r="Q71">
        <v>1</v>
      </c>
      <c r="X71">
        <v>0.22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2</v>
      </c>
      <c r="AF71" t="s">
        <v>3</v>
      </c>
      <c r="AG71">
        <v>0.22</v>
      </c>
      <c r="AH71">
        <v>2</v>
      </c>
      <c r="AI71">
        <v>84193184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ROW(Source!A112)</f>
        <v>112</v>
      </c>
      <c r="B72">
        <v>84193193</v>
      </c>
      <c r="C72">
        <v>84193182</v>
      </c>
      <c r="D72">
        <v>37802432</v>
      </c>
      <c r="E72">
        <v>1</v>
      </c>
      <c r="F72">
        <v>1</v>
      </c>
      <c r="G72">
        <v>1</v>
      </c>
      <c r="H72">
        <v>2</v>
      </c>
      <c r="I72" t="s">
        <v>411</v>
      </c>
      <c r="J72" t="s">
        <v>412</v>
      </c>
      <c r="K72" t="s">
        <v>413</v>
      </c>
      <c r="L72">
        <v>1368</v>
      </c>
      <c r="N72">
        <v>1011</v>
      </c>
      <c r="O72" t="s">
        <v>394</v>
      </c>
      <c r="P72" t="s">
        <v>394</v>
      </c>
      <c r="Q72">
        <v>1</v>
      </c>
      <c r="X72">
        <v>0.22</v>
      </c>
      <c r="Y72">
        <v>0</v>
      </c>
      <c r="Z72">
        <v>138.54</v>
      </c>
      <c r="AA72">
        <v>12.1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0.22</v>
      </c>
      <c r="AH72">
        <v>2</v>
      </c>
      <c r="AI72">
        <v>84193185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ROW(Source!A112)</f>
        <v>112</v>
      </c>
      <c r="B73">
        <v>84193194</v>
      </c>
      <c r="C73">
        <v>84193182</v>
      </c>
      <c r="D73">
        <v>37802657</v>
      </c>
      <c r="E73">
        <v>1</v>
      </c>
      <c r="F73">
        <v>1</v>
      </c>
      <c r="G73">
        <v>1</v>
      </c>
      <c r="H73">
        <v>2</v>
      </c>
      <c r="I73" t="s">
        <v>414</v>
      </c>
      <c r="J73" t="s">
        <v>415</v>
      </c>
      <c r="K73" t="s">
        <v>416</v>
      </c>
      <c r="L73">
        <v>1368</v>
      </c>
      <c r="N73">
        <v>1011</v>
      </c>
      <c r="O73" t="s">
        <v>394</v>
      </c>
      <c r="P73" t="s">
        <v>394</v>
      </c>
      <c r="Q73">
        <v>1</v>
      </c>
      <c r="X73">
        <v>3.13</v>
      </c>
      <c r="Y73">
        <v>0</v>
      </c>
      <c r="Z73">
        <v>7.55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3.13</v>
      </c>
      <c r="AH73">
        <v>2</v>
      </c>
      <c r="AI73">
        <v>84193186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ROW(Source!A112)</f>
        <v>112</v>
      </c>
      <c r="B74">
        <v>84193195</v>
      </c>
      <c r="C74">
        <v>84193182</v>
      </c>
      <c r="D74">
        <v>37804456</v>
      </c>
      <c r="E74">
        <v>1</v>
      </c>
      <c r="F74">
        <v>1</v>
      </c>
      <c r="G74">
        <v>1</v>
      </c>
      <c r="H74">
        <v>2</v>
      </c>
      <c r="I74" t="s">
        <v>395</v>
      </c>
      <c r="J74" t="s">
        <v>396</v>
      </c>
      <c r="K74" t="s">
        <v>397</v>
      </c>
      <c r="L74">
        <v>1368</v>
      </c>
      <c r="N74">
        <v>1011</v>
      </c>
      <c r="O74" t="s">
        <v>394</v>
      </c>
      <c r="P74" t="s">
        <v>394</v>
      </c>
      <c r="Q74">
        <v>1</v>
      </c>
      <c r="X74">
        <v>0.22</v>
      </c>
      <c r="Y74">
        <v>0</v>
      </c>
      <c r="Z74">
        <v>91.76</v>
      </c>
      <c r="AA74">
        <v>10.35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0.22</v>
      </c>
      <c r="AH74">
        <v>2</v>
      </c>
      <c r="AI74">
        <v>84193187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ROW(Source!A112)</f>
        <v>112</v>
      </c>
      <c r="B75">
        <v>84193196</v>
      </c>
      <c r="C75">
        <v>84193182</v>
      </c>
      <c r="D75">
        <v>37736610</v>
      </c>
      <c r="E75">
        <v>1</v>
      </c>
      <c r="F75">
        <v>1</v>
      </c>
      <c r="G75">
        <v>1</v>
      </c>
      <c r="H75">
        <v>3</v>
      </c>
      <c r="I75" t="s">
        <v>424</v>
      </c>
      <c r="J75" t="s">
        <v>425</v>
      </c>
      <c r="K75" t="s">
        <v>426</v>
      </c>
      <c r="L75">
        <v>1346</v>
      </c>
      <c r="N75">
        <v>1009</v>
      </c>
      <c r="O75" t="s">
        <v>139</v>
      </c>
      <c r="P75" t="s">
        <v>139</v>
      </c>
      <c r="Q75">
        <v>1</v>
      </c>
      <c r="X75">
        <v>0.9</v>
      </c>
      <c r="Y75">
        <v>12.65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0.9</v>
      </c>
      <c r="AH75">
        <v>2</v>
      </c>
      <c r="AI75">
        <v>84193188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ROW(Source!A112)</f>
        <v>112</v>
      </c>
      <c r="B76">
        <v>84193197</v>
      </c>
      <c r="C76">
        <v>84193182</v>
      </c>
      <c r="D76">
        <v>37745017</v>
      </c>
      <c r="E76">
        <v>1</v>
      </c>
      <c r="F76">
        <v>1</v>
      </c>
      <c r="G76">
        <v>1</v>
      </c>
      <c r="H76">
        <v>3</v>
      </c>
      <c r="I76" t="s">
        <v>488</v>
      </c>
      <c r="J76" t="s">
        <v>489</v>
      </c>
      <c r="K76" t="s">
        <v>490</v>
      </c>
      <c r="L76">
        <v>1348</v>
      </c>
      <c r="N76">
        <v>1009</v>
      </c>
      <c r="O76" t="s">
        <v>117</v>
      </c>
      <c r="P76" t="s">
        <v>117</v>
      </c>
      <c r="Q76">
        <v>1000</v>
      </c>
      <c r="X76">
        <v>3.7000000000000002E-3</v>
      </c>
      <c r="Y76">
        <v>9528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3.7000000000000002E-3</v>
      </c>
      <c r="AH76">
        <v>2</v>
      </c>
      <c r="AI76">
        <v>84193189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ROW(Source!A112)</f>
        <v>112</v>
      </c>
      <c r="B77">
        <v>84193198</v>
      </c>
      <c r="C77">
        <v>84193182</v>
      </c>
      <c r="D77">
        <v>37801918</v>
      </c>
      <c r="E77">
        <v>1</v>
      </c>
      <c r="F77">
        <v>1</v>
      </c>
      <c r="G77">
        <v>1</v>
      </c>
      <c r="H77">
        <v>3</v>
      </c>
      <c r="I77" t="s">
        <v>436</v>
      </c>
      <c r="J77" t="s">
        <v>437</v>
      </c>
      <c r="K77" t="s">
        <v>438</v>
      </c>
      <c r="L77">
        <v>1374</v>
      </c>
      <c r="N77">
        <v>1013</v>
      </c>
      <c r="O77" t="s">
        <v>439</v>
      </c>
      <c r="P77" t="s">
        <v>439</v>
      </c>
      <c r="Q77">
        <v>1</v>
      </c>
      <c r="X77">
        <v>2.92</v>
      </c>
      <c r="Y77">
        <v>1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2.92</v>
      </c>
      <c r="AH77">
        <v>2</v>
      </c>
      <c r="AI77">
        <v>84193190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ROW(Source!A114)</f>
        <v>114</v>
      </c>
      <c r="B78">
        <v>84193208</v>
      </c>
      <c r="C78">
        <v>84193200</v>
      </c>
      <c r="D78">
        <v>23135014</v>
      </c>
      <c r="E78">
        <v>1</v>
      </c>
      <c r="F78">
        <v>1</v>
      </c>
      <c r="G78">
        <v>1</v>
      </c>
      <c r="H78">
        <v>1</v>
      </c>
      <c r="I78" t="s">
        <v>466</v>
      </c>
      <c r="J78" t="s">
        <v>3</v>
      </c>
      <c r="K78" t="s">
        <v>467</v>
      </c>
      <c r="L78">
        <v>1369</v>
      </c>
      <c r="N78">
        <v>1013</v>
      </c>
      <c r="O78" t="s">
        <v>388</v>
      </c>
      <c r="P78" t="s">
        <v>388</v>
      </c>
      <c r="Q78">
        <v>1</v>
      </c>
      <c r="X78">
        <v>0.81</v>
      </c>
      <c r="Y78">
        <v>0</v>
      </c>
      <c r="Z78">
        <v>0</v>
      </c>
      <c r="AA78">
        <v>0</v>
      </c>
      <c r="AB78">
        <v>7.9</v>
      </c>
      <c r="AC78">
        <v>0</v>
      </c>
      <c r="AD78">
        <v>1</v>
      </c>
      <c r="AE78">
        <v>1</v>
      </c>
      <c r="AF78" t="s">
        <v>3</v>
      </c>
      <c r="AG78">
        <v>0.81</v>
      </c>
      <c r="AH78">
        <v>2</v>
      </c>
      <c r="AI78">
        <v>84193201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ROW(Source!A114)</f>
        <v>114</v>
      </c>
      <c r="B79">
        <v>84193209</v>
      </c>
      <c r="C79">
        <v>84193200</v>
      </c>
      <c r="D79">
        <v>121548</v>
      </c>
      <c r="E79">
        <v>1</v>
      </c>
      <c r="F79">
        <v>1</v>
      </c>
      <c r="G79">
        <v>1</v>
      </c>
      <c r="H79">
        <v>1</v>
      </c>
      <c r="I79" t="s">
        <v>95</v>
      </c>
      <c r="J79" t="s">
        <v>3</v>
      </c>
      <c r="K79" t="s">
        <v>389</v>
      </c>
      <c r="L79">
        <v>608254</v>
      </c>
      <c r="N79">
        <v>1013</v>
      </c>
      <c r="O79" t="s">
        <v>390</v>
      </c>
      <c r="P79" t="s">
        <v>390</v>
      </c>
      <c r="Q79">
        <v>1</v>
      </c>
      <c r="X79">
        <v>0.61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2</v>
      </c>
      <c r="AF79" t="s">
        <v>3</v>
      </c>
      <c r="AG79">
        <v>0.61</v>
      </c>
      <c r="AH79">
        <v>2</v>
      </c>
      <c r="AI79">
        <v>84193202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ROW(Source!A114)</f>
        <v>114</v>
      </c>
      <c r="B80">
        <v>84193210</v>
      </c>
      <c r="C80">
        <v>84193200</v>
      </c>
      <c r="D80">
        <v>37802644</v>
      </c>
      <c r="E80">
        <v>1</v>
      </c>
      <c r="F80">
        <v>1</v>
      </c>
      <c r="G80">
        <v>1</v>
      </c>
      <c r="H80">
        <v>2</v>
      </c>
      <c r="I80" t="s">
        <v>468</v>
      </c>
      <c r="J80" t="s">
        <v>469</v>
      </c>
      <c r="K80" t="s">
        <v>470</v>
      </c>
      <c r="L80">
        <v>1368</v>
      </c>
      <c r="N80">
        <v>1011</v>
      </c>
      <c r="O80" t="s">
        <v>394</v>
      </c>
      <c r="P80" t="s">
        <v>394</v>
      </c>
      <c r="Q80">
        <v>1</v>
      </c>
      <c r="X80">
        <v>0.19</v>
      </c>
      <c r="Y80">
        <v>0</v>
      </c>
      <c r="Z80">
        <v>14.14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0.19</v>
      </c>
      <c r="AH80">
        <v>2</v>
      </c>
      <c r="AI80">
        <v>84193203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ROW(Source!A114)</f>
        <v>114</v>
      </c>
      <c r="B81">
        <v>84193211</v>
      </c>
      <c r="C81">
        <v>84193200</v>
      </c>
      <c r="D81">
        <v>37802699</v>
      </c>
      <c r="E81">
        <v>1</v>
      </c>
      <c r="F81">
        <v>1</v>
      </c>
      <c r="G81">
        <v>1</v>
      </c>
      <c r="H81">
        <v>2</v>
      </c>
      <c r="I81" t="s">
        <v>471</v>
      </c>
      <c r="J81" t="s">
        <v>472</v>
      </c>
      <c r="K81" t="s">
        <v>473</v>
      </c>
      <c r="L81">
        <v>1368</v>
      </c>
      <c r="N81">
        <v>1011</v>
      </c>
      <c r="O81" t="s">
        <v>394</v>
      </c>
      <c r="P81" t="s">
        <v>394</v>
      </c>
      <c r="Q81">
        <v>1</v>
      </c>
      <c r="X81">
        <v>0.61</v>
      </c>
      <c r="Y81">
        <v>0</v>
      </c>
      <c r="Z81">
        <v>59.38</v>
      </c>
      <c r="AA81">
        <v>9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0.61</v>
      </c>
      <c r="AH81">
        <v>2</v>
      </c>
      <c r="AI81">
        <v>84193204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ROW(Source!A114)</f>
        <v>114</v>
      </c>
      <c r="B82">
        <v>84193212</v>
      </c>
      <c r="C82">
        <v>84193200</v>
      </c>
      <c r="D82">
        <v>37804144</v>
      </c>
      <c r="E82">
        <v>1</v>
      </c>
      <c r="F82">
        <v>1</v>
      </c>
      <c r="G82">
        <v>1</v>
      </c>
      <c r="H82">
        <v>2</v>
      </c>
      <c r="I82" t="s">
        <v>474</v>
      </c>
      <c r="J82" t="s">
        <v>475</v>
      </c>
      <c r="K82" t="s">
        <v>476</v>
      </c>
      <c r="L82">
        <v>1368</v>
      </c>
      <c r="N82">
        <v>1011</v>
      </c>
      <c r="O82" t="s">
        <v>394</v>
      </c>
      <c r="P82" t="s">
        <v>394</v>
      </c>
      <c r="Q82">
        <v>1</v>
      </c>
      <c r="X82">
        <v>0.61</v>
      </c>
      <c r="Y82">
        <v>0</v>
      </c>
      <c r="Z82">
        <v>100.79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0.61</v>
      </c>
      <c r="AH82">
        <v>2</v>
      </c>
      <c r="AI82">
        <v>84193205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ROW(Source!A114)</f>
        <v>114</v>
      </c>
      <c r="B83">
        <v>84193213</v>
      </c>
      <c r="C83">
        <v>84193200</v>
      </c>
      <c r="D83">
        <v>37736609</v>
      </c>
      <c r="E83">
        <v>1</v>
      </c>
      <c r="F83">
        <v>1</v>
      </c>
      <c r="G83">
        <v>1</v>
      </c>
      <c r="H83">
        <v>3</v>
      </c>
      <c r="I83" t="s">
        <v>477</v>
      </c>
      <c r="J83" t="s">
        <v>478</v>
      </c>
      <c r="K83" t="s">
        <v>479</v>
      </c>
      <c r="L83">
        <v>1348</v>
      </c>
      <c r="N83">
        <v>1009</v>
      </c>
      <c r="O83" t="s">
        <v>117</v>
      </c>
      <c r="P83" t="s">
        <v>117</v>
      </c>
      <c r="Q83">
        <v>1000</v>
      </c>
      <c r="X83">
        <v>3.0000000000000001E-5</v>
      </c>
      <c r="Y83">
        <v>9750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3.0000000000000001E-5</v>
      </c>
      <c r="AH83">
        <v>2</v>
      </c>
      <c r="AI83">
        <v>84193206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ROW(Source!A114)</f>
        <v>114</v>
      </c>
      <c r="B84">
        <v>84193214</v>
      </c>
      <c r="C84">
        <v>84193200</v>
      </c>
      <c r="D84">
        <v>37753212</v>
      </c>
      <c r="E84">
        <v>1</v>
      </c>
      <c r="F84">
        <v>1</v>
      </c>
      <c r="G84">
        <v>1</v>
      </c>
      <c r="H84">
        <v>3</v>
      </c>
      <c r="I84" t="s">
        <v>223</v>
      </c>
      <c r="J84" t="s">
        <v>225</v>
      </c>
      <c r="K84" t="s">
        <v>224</v>
      </c>
      <c r="L84">
        <v>1348</v>
      </c>
      <c r="N84">
        <v>1009</v>
      </c>
      <c r="O84" t="s">
        <v>117</v>
      </c>
      <c r="P84" t="s">
        <v>117</v>
      </c>
      <c r="Q84">
        <v>1000</v>
      </c>
      <c r="X84">
        <v>5.0000000000000001E-3</v>
      </c>
      <c r="Y84">
        <v>6594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5.0000000000000001E-3</v>
      </c>
      <c r="AH84">
        <v>2</v>
      </c>
      <c r="AI84">
        <v>84193207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ROW(Source!A117)</f>
        <v>117</v>
      </c>
      <c r="B85">
        <v>84193220</v>
      </c>
      <c r="C85">
        <v>84193217</v>
      </c>
      <c r="D85">
        <v>23567769</v>
      </c>
      <c r="E85">
        <v>1</v>
      </c>
      <c r="F85">
        <v>1</v>
      </c>
      <c r="G85">
        <v>1</v>
      </c>
      <c r="H85">
        <v>1</v>
      </c>
      <c r="I85" t="s">
        <v>491</v>
      </c>
      <c r="J85" t="s">
        <v>3</v>
      </c>
      <c r="K85" t="s">
        <v>492</v>
      </c>
      <c r="L85">
        <v>1369</v>
      </c>
      <c r="N85">
        <v>1013</v>
      </c>
      <c r="O85" t="s">
        <v>388</v>
      </c>
      <c r="P85" t="s">
        <v>388</v>
      </c>
      <c r="Q85">
        <v>1</v>
      </c>
      <c r="X85">
        <v>0.61</v>
      </c>
      <c r="Y85">
        <v>0</v>
      </c>
      <c r="Z85">
        <v>0</v>
      </c>
      <c r="AA85">
        <v>0</v>
      </c>
      <c r="AB85">
        <v>12.08</v>
      </c>
      <c r="AC85">
        <v>0</v>
      </c>
      <c r="AD85">
        <v>1</v>
      </c>
      <c r="AE85">
        <v>1</v>
      </c>
      <c r="AF85" t="s">
        <v>3</v>
      </c>
      <c r="AG85">
        <v>0.61</v>
      </c>
      <c r="AH85">
        <v>2</v>
      </c>
      <c r="AI85">
        <v>84193218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ROW(Source!A117)</f>
        <v>117</v>
      </c>
      <c r="B86">
        <v>84193221</v>
      </c>
      <c r="C86">
        <v>84193217</v>
      </c>
      <c r="D86">
        <v>23566809</v>
      </c>
      <c r="E86">
        <v>1</v>
      </c>
      <c r="F86">
        <v>1</v>
      </c>
      <c r="G86">
        <v>1</v>
      </c>
      <c r="H86">
        <v>1</v>
      </c>
      <c r="I86" t="s">
        <v>493</v>
      </c>
      <c r="J86" t="s">
        <v>3</v>
      </c>
      <c r="K86" t="s">
        <v>494</v>
      </c>
      <c r="L86">
        <v>1369</v>
      </c>
      <c r="N86">
        <v>1013</v>
      </c>
      <c r="O86" t="s">
        <v>388</v>
      </c>
      <c r="P86" t="s">
        <v>388</v>
      </c>
      <c r="Q86">
        <v>1</v>
      </c>
      <c r="X86">
        <v>0.61</v>
      </c>
      <c r="Y86">
        <v>0</v>
      </c>
      <c r="Z86">
        <v>0</v>
      </c>
      <c r="AA86">
        <v>0</v>
      </c>
      <c r="AB86">
        <v>11.86</v>
      </c>
      <c r="AC86">
        <v>0</v>
      </c>
      <c r="AD86">
        <v>1</v>
      </c>
      <c r="AE86">
        <v>1</v>
      </c>
      <c r="AF86" t="s">
        <v>3</v>
      </c>
      <c r="AG86">
        <v>0.61</v>
      </c>
      <c r="AH86">
        <v>2</v>
      </c>
      <c r="AI86">
        <v>84193219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ROW(Source!A118)</f>
        <v>118</v>
      </c>
      <c r="B87">
        <v>84193225</v>
      </c>
      <c r="C87">
        <v>84193222</v>
      </c>
      <c r="D87">
        <v>23567769</v>
      </c>
      <c r="E87">
        <v>1</v>
      </c>
      <c r="F87">
        <v>1</v>
      </c>
      <c r="G87">
        <v>1</v>
      </c>
      <c r="H87">
        <v>1</v>
      </c>
      <c r="I87" t="s">
        <v>491</v>
      </c>
      <c r="J87" t="s">
        <v>3</v>
      </c>
      <c r="K87" t="s">
        <v>492</v>
      </c>
      <c r="L87">
        <v>1369</v>
      </c>
      <c r="N87">
        <v>1013</v>
      </c>
      <c r="O87" t="s">
        <v>388</v>
      </c>
      <c r="P87" t="s">
        <v>388</v>
      </c>
      <c r="Q87">
        <v>1</v>
      </c>
      <c r="X87">
        <v>6.48</v>
      </c>
      <c r="Y87">
        <v>0</v>
      </c>
      <c r="Z87">
        <v>0</v>
      </c>
      <c r="AA87">
        <v>0</v>
      </c>
      <c r="AB87">
        <v>12.08</v>
      </c>
      <c r="AC87">
        <v>0</v>
      </c>
      <c r="AD87">
        <v>1</v>
      </c>
      <c r="AE87">
        <v>1</v>
      </c>
      <c r="AF87" t="s">
        <v>3</v>
      </c>
      <c r="AG87">
        <v>6.48</v>
      </c>
      <c r="AH87">
        <v>2</v>
      </c>
      <c r="AI87">
        <v>84193223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ROW(Source!A118)</f>
        <v>118</v>
      </c>
      <c r="B88">
        <v>84193226</v>
      </c>
      <c r="C88">
        <v>84193222</v>
      </c>
      <c r="D88">
        <v>23566809</v>
      </c>
      <c r="E88">
        <v>1</v>
      </c>
      <c r="F88">
        <v>1</v>
      </c>
      <c r="G88">
        <v>1</v>
      </c>
      <c r="H88">
        <v>1</v>
      </c>
      <c r="I88" t="s">
        <v>493</v>
      </c>
      <c r="J88" t="s">
        <v>3</v>
      </c>
      <c r="K88" t="s">
        <v>494</v>
      </c>
      <c r="L88">
        <v>1369</v>
      </c>
      <c r="N88">
        <v>1013</v>
      </c>
      <c r="O88" t="s">
        <v>388</v>
      </c>
      <c r="P88" t="s">
        <v>388</v>
      </c>
      <c r="Q88">
        <v>1</v>
      </c>
      <c r="X88">
        <v>6.48</v>
      </c>
      <c r="Y88">
        <v>0</v>
      </c>
      <c r="Z88">
        <v>0</v>
      </c>
      <c r="AA88">
        <v>0</v>
      </c>
      <c r="AB88">
        <v>11.86</v>
      </c>
      <c r="AC88">
        <v>0</v>
      </c>
      <c r="AD88">
        <v>1</v>
      </c>
      <c r="AE88">
        <v>1</v>
      </c>
      <c r="AF88" t="s">
        <v>3</v>
      </c>
      <c r="AG88">
        <v>6.48</v>
      </c>
      <c r="AH88">
        <v>2</v>
      </c>
      <c r="AI88">
        <v>84193224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ROW(Source!A163)</f>
        <v>163</v>
      </c>
      <c r="B89">
        <v>84187114</v>
      </c>
      <c r="C89">
        <v>84187099</v>
      </c>
      <c r="D89">
        <v>23134628</v>
      </c>
      <c r="E89">
        <v>1</v>
      </c>
      <c r="F89">
        <v>1</v>
      </c>
      <c r="G89">
        <v>1</v>
      </c>
      <c r="H89">
        <v>1</v>
      </c>
      <c r="I89" t="s">
        <v>495</v>
      </c>
      <c r="J89" t="s">
        <v>3</v>
      </c>
      <c r="K89" t="s">
        <v>496</v>
      </c>
      <c r="L89">
        <v>1369</v>
      </c>
      <c r="N89">
        <v>1013</v>
      </c>
      <c r="O89" t="s">
        <v>388</v>
      </c>
      <c r="P89" t="s">
        <v>388</v>
      </c>
      <c r="Q89">
        <v>1</v>
      </c>
      <c r="X89">
        <v>48.94</v>
      </c>
      <c r="Y89">
        <v>0</v>
      </c>
      <c r="Z89">
        <v>0</v>
      </c>
      <c r="AA89">
        <v>0</v>
      </c>
      <c r="AB89">
        <v>8.68</v>
      </c>
      <c r="AC89">
        <v>0</v>
      </c>
      <c r="AD89">
        <v>1</v>
      </c>
      <c r="AE89">
        <v>1</v>
      </c>
      <c r="AF89" t="s">
        <v>3</v>
      </c>
      <c r="AG89">
        <v>48.94</v>
      </c>
      <c r="AH89">
        <v>2</v>
      </c>
      <c r="AI89">
        <v>84187100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ROW(Source!A163)</f>
        <v>163</v>
      </c>
      <c r="B90">
        <v>84187115</v>
      </c>
      <c r="C90">
        <v>84187099</v>
      </c>
      <c r="D90">
        <v>121548</v>
      </c>
      <c r="E90">
        <v>1</v>
      </c>
      <c r="F90">
        <v>1</v>
      </c>
      <c r="G90">
        <v>1</v>
      </c>
      <c r="H90">
        <v>1</v>
      </c>
      <c r="I90" t="s">
        <v>95</v>
      </c>
      <c r="J90" t="s">
        <v>3</v>
      </c>
      <c r="K90" t="s">
        <v>389</v>
      </c>
      <c r="L90">
        <v>608254</v>
      </c>
      <c r="N90">
        <v>1013</v>
      </c>
      <c r="O90" t="s">
        <v>390</v>
      </c>
      <c r="P90" t="s">
        <v>390</v>
      </c>
      <c r="Q90">
        <v>1</v>
      </c>
      <c r="X90">
        <v>14.19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2</v>
      </c>
      <c r="AF90" t="s">
        <v>3</v>
      </c>
      <c r="AG90">
        <v>14.19</v>
      </c>
      <c r="AH90">
        <v>2</v>
      </c>
      <c r="AI90">
        <v>84187101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ROW(Source!A163)</f>
        <v>163</v>
      </c>
      <c r="B91">
        <v>84187116</v>
      </c>
      <c r="C91">
        <v>84187099</v>
      </c>
      <c r="D91">
        <v>37802345</v>
      </c>
      <c r="E91">
        <v>1</v>
      </c>
      <c r="F91">
        <v>1</v>
      </c>
      <c r="G91">
        <v>1</v>
      </c>
      <c r="H91">
        <v>2</v>
      </c>
      <c r="I91" t="s">
        <v>403</v>
      </c>
      <c r="J91" t="s">
        <v>404</v>
      </c>
      <c r="K91" t="s">
        <v>405</v>
      </c>
      <c r="L91">
        <v>1368</v>
      </c>
      <c r="N91">
        <v>1011</v>
      </c>
      <c r="O91" t="s">
        <v>394</v>
      </c>
      <c r="P91" t="s">
        <v>394</v>
      </c>
      <c r="Q91">
        <v>1</v>
      </c>
      <c r="X91">
        <v>7.56</v>
      </c>
      <c r="Y91">
        <v>0</v>
      </c>
      <c r="Z91">
        <v>72.239999999999995</v>
      </c>
      <c r="AA91">
        <v>12.1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7.56</v>
      </c>
      <c r="AH91">
        <v>2</v>
      </c>
      <c r="AI91">
        <v>84187102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ROW(Source!A163)</f>
        <v>163</v>
      </c>
      <c r="B92">
        <v>84187117</v>
      </c>
      <c r="C92">
        <v>84187099</v>
      </c>
      <c r="D92">
        <v>37802579</v>
      </c>
      <c r="E92">
        <v>1</v>
      </c>
      <c r="F92">
        <v>1</v>
      </c>
      <c r="G92">
        <v>1</v>
      </c>
      <c r="H92">
        <v>2</v>
      </c>
      <c r="I92" t="s">
        <v>391</v>
      </c>
      <c r="J92" t="s">
        <v>392</v>
      </c>
      <c r="K92" t="s">
        <v>393</v>
      </c>
      <c r="L92">
        <v>1368</v>
      </c>
      <c r="N92">
        <v>1011</v>
      </c>
      <c r="O92" t="s">
        <v>394</v>
      </c>
      <c r="P92" t="s">
        <v>394</v>
      </c>
      <c r="Q92">
        <v>1</v>
      </c>
      <c r="X92">
        <v>6.63</v>
      </c>
      <c r="Y92">
        <v>0</v>
      </c>
      <c r="Z92">
        <v>85.64</v>
      </c>
      <c r="AA92">
        <v>9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6.63</v>
      </c>
      <c r="AH92">
        <v>2</v>
      </c>
      <c r="AI92">
        <v>84187103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ROW(Source!A163)</f>
        <v>163</v>
      </c>
      <c r="B93">
        <v>84187118</v>
      </c>
      <c r="C93">
        <v>84187099</v>
      </c>
      <c r="D93">
        <v>37804456</v>
      </c>
      <c r="E93">
        <v>1</v>
      </c>
      <c r="F93">
        <v>1</v>
      </c>
      <c r="G93">
        <v>1</v>
      </c>
      <c r="H93">
        <v>2</v>
      </c>
      <c r="I93" t="s">
        <v>395</v>
      </c>
      <c r="J93" t="s">
        <v>396</v>
      </c>
      <c r="K93" t="s">
        <v>397</v>
      </c>
      <c r="L93">
        <v>1368</v>
      </c>
      <c r="N93">
        <v>1011</v>
      </c>
      <c r="O93" t="s">
        <v>394</v>
      </c>
      <c r="P93" t="s">
        <v>394</v>
      </c>
      <c r="Q93">
        <v>1</v>
      </c>
      <c r="X93">
        <v>2.4500000000000002</v>
      </c>
      <c r="Y93">
        <v>0</v>
      </c>
      <c r="Z93">
        <v>91.76</v>
      </c>
      <c r="AA93">
        <v>10.35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2.4500000000000002</v>
      </c>
      <c r="AH93">
        <v>2</v>
      </c>
      <c r="AI93">
        <v>84187104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ROW(Source!A163)</f>
        <v>163</v>
      </c>
      <c r="B94">
        <v>84187119</v>
      </c>
      <c r="C94">
        <v>84187099</v>
      </c>
      <c r="D94">
        <v>37729917</v>
      </c>
      <c r="E94">
        <v>1</v>
      </c>
      <c r="F94">
        <v>1</v>
      </c>
      <c r="G94">
        <v>1</v>
      </c>
      <c r="H94">
        <v>3</v>
      </c>
      <c r="I94" t="s">
        <v>463</v>
      </c>
      <c r="J94" t="s">
        <v>464</v>
      </c>
      <c r="K94" t="s">
        <v>465</v>
      </c>
      <c r="L94">
        <v>1348</v>
      </c>
      <c r="N94">
        <v>1009</v>
      </c>
      <c r="O94" t="s">
        <v>117</v>
      </c>
      <c r="P94" t="s">
        <v>117</v>
      </c>
      <c r="Q94">
        <v>1000</v>
      </c>
      <c r="X94">
        <v>2.2000000000000001E-4</v>
      </c>
      <c r="Y94">
        <v>6667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2.2000000000000001E-4</v>
      </c>
      <c r="AH94">
        <v>2</v>
      </c>
      <c r="AI94">
        <v>84187105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ROW(Source!A163)</f>
        <v>163</v>
      </c>
      <c r="B95">
        <v>84187120</v>
      </c>
      <c r="C95">
        <v>84187099</v>
      </c>
      <c r="D95">
        <v>37729633</v>
      </c>
      <c r="E95">
        <v>1</v>
      </c>
      <c r="F95">
        <v>1</v>
      </c>
      <c r="G95">
        <v>1</v>
      </c>
      <c r="H95">
        <v>3</v>
      </c>
      <c r="I95" t="s">
        <v>497</v>
      </c>
      <c r="J95" t="s">
        <v>498</v>
      </c>
      <c r="K95" t="s">
        <v>499</v>
      </c>
      <c r="L95">
        <v>1348</v>
      </c>
      <c r="N95">
        <v>1009</v>
      </c>
      <c r="O95" t="s">
        <v>117</v>
      </c>
      <c r="P95" t="s">
        <v>117</v>
      </c>
      <c r="Q95">
        <v>1000</v>
      </c>
      <c r="X95">
        <v>6.0000000000000002E-5</v>
      </c>
      <c r="Y95">
        <v>6144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6.0000000000000002E-5</v>
      </c>
      <c r="AH95">
        <v>2</v>
      </c>
      <c r="AI95">
        <v>84187106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ROW(Source!A163)</f>
        <v>163</v>
      </c>
      <c r="B96">
        <v>84187121</v>
      </c>
      <c r="C96">
        <v>84187099</v>
      </c>
      <c r="D96">
        <v>37729991</v>
      </c>
      <c r="E96">
        <v>1</v>
      </c>
      <c r="F96">
        <v>1</v>
      </c>
      <c r="G96">
        <v>1</v>
      </c>
      <c r="H96">
        <v>3</v>
      </c>
      <c r="I96" t="s">
        <v>451</v>
      </c>
      <c r="J96" t="s">
        <v>452</v>
      </c>
      <c r="K96" t="s">
        <v>453</v>
      </c>
      <c r="L96">
        <v>1346</v>
      </c>
      <c r="N96">
        <v>1009</v>
      </c>
      <c r="O96" t="s">
        <v>139</v>
      </c>
      <c r="P96" t="s">
        <v>139</v>
      </c>
      <c r="Q96">
        <v>1</v>
      </c>
      <c r="X96">
        <v>0.05</v>
      </c>
      <c r="Y96">
        <v>1.82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0.05</v>
      </c>
      <c r="AH96">
        <v>2</v>
      </c>
      <c r="AI96">
        <v>84187107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ROW(Source!A163)</f>
        <v>163</v>
      </c>
      <c r="B97">
        <v>84187122</v>
      </c>
      <c r="C97">
        <v>84187099</v>
      </c>
      <c r="D97">
        <v>37729892</v>
      </c>
      <c r="E97">
        <v>1</v>
      </c>
      <c r="F97">
        <v>1</v>
      </c>
      <c r="G97">
        <v>1</v>
      </c>
      <c r="H97">
        <v>3</v>
      </c>
      <c r="I97" t="s">
        <v>454</v>
      </c>
      <c r="J97" t="s">
        <v>455</v>
      </c>
      <c r="K97" t="s">
        <v>456</v>
      </c>
      <c r="L97">
        <v>1346</v>
      </c>
      <c r="N97">
        <v>1009</v>
      </c>
      <c r="O97" t="s">
        <v>139</v>
      </c>
      <c r="P97" t="s">
        <v>139</v>
      </c>
      <c r="Q97">
        <v>1</v>
      </c>
      <c r="X97">
        <v>0.1</v>
      </c>
      <c r="Y97">
        <v>14.62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0.1</v>
      </c>
      <c r="AH97">
        <v>2</v>
      </c>
      <c r="AI97">
        <v>84187108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ROW(Source!A163)</f>
        <v>163</v>
      </c>
      <c r="B98">
        <v>84187123</v>
      </c>
      <c r="C98">
        <v>84187099</v>
      </c>
      <c r="D98">
        <v>37744087</v>
      </c>
      <c r="E98">
        <v>1</v>
      </c>
      <c r="F98">
        <v>1</v>
      </c>
      <c r="G98">
        <v>1</v>
      </c>
      <c r="H98">
        <v>3</v>
      </c>
      <c r="I98" t="s">
        <v>292</v>
      </c>
      <c r="J98" t="s">
        <v>294</v>
      </c>
      <c r="K98" t="s">
        <v>293</v>
      </c>
      <c r="L98">
        <v>1348</v>
      </c>
      <c r="N98">
        <v>1009</v>
      </c>
      <c r="O98" t="s">
        <v>117</v>
      </c>
      <c r="P98" t="s">
        <v>117</v>
      </c>
      <c r="Q98">
        <v>1000</v>
      </c>
      <c r="X98">
        <v>0</v>
      </c>
      <c r="Y98">
        <v>0</v>
      </c>
      <c r="Z98">
        <v>0</v>
      </c>
      <c r="AA98">
        <v>0</v>
      </c>
      <c r="AB98">
        <v>0</v>
      </c>
      <c r="AC98">
        <v>1</v>
      </c>
      <c r="AD98">
        <v>0</v>
      </c>
      <c r="AE98">
        <v>0</v>
      </c>
      <c r="AF98" t="s">
        <v>3</v>
      </c>
      <c r="AG98">
        <v>0</v>
      </c>
      <c r="AH98">
        <v>2</v>
      </c>
      <c r="AI98">
        <v>84187109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ROW(Source!A163)</f>
        <v>163</v>
      </c>
      <c r="B99">
        <v>84187124</v>
      </c>
      <c r="C99">
        <v>84187099</v>
      </c>
      <c r="D99">
        <v>37744375</v>
      </c>
      <c r="E99">
        <v>1</v>
      </c>
      <c r="F99">
        <v>1</v>
      </c>
      <c r="G99">
        <v>1</v>
      </c>
      <c r="H99">
        <v>3</v>
      </c>
      <c r="I99" t="s">
        <v>296</v>
      </c>
      <c r="J99" t="s">
        <v>298</v>
      </c>
      <c r="K99" t="s">
        <v>297</v>
      </c>
      <c r="L99">
        <v>1348</v>
      </c>
      <c r="N99">
        <v>1009</v>
      </c>
      <c r="O99" t="s">
        <v>117</v>
      </c>
      <c r="P99" t="s">
        <v>117</v>
      </c>
      <c r="Q99">
        <v>1000</v>
      </c>
      <c r="X99">
        <v>0</v>
      </c>
      <c r="Y99">
        <v>0</v>
      </c>
      <c r="Z99">
        <v>0</v>
      </c>
      <c r="AA99">
        <v>0</v>
      </c>
      <c r="AB99">
        <v>0</v>
      </c>
      <c r="AC99">
        <v>1</v>
      </c>
      <c r="AD99">
        <v>0</v>
      </c>
      <c r="AE99">
        <v>0</v>
      </c>
      <c r="AF99" t="s">
        <v>3</v>
      </c>
      <c r="AG99">
        <v>0</v>
      </c>
      <c r="AH99">
        <v>2</v>
      </c>
      <c r="AI99">
        <v>84187110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ROW(Source!A163)</f>
        <v>163</v>
      </c>
      <c r="B100">
        <v>84187125</v>
      </c>
      <c r="C100">
        <v>84187099</v>
      </c>
      <c r="D100">
        <v>37783476</v>
      </c>
      <c r="E100">
        <v>1</v>
      </c>
      <c r="F100">
        <v>1</v>
      </c>
      <c r="G100">
        <v>1</v>
      </c>
      <c r="H100">
        <v>3</v>
      </c>
      <c r="I100" t="s">
        <v>300</v>
      </c>
      <c r="J100" t="s">
        <v>302</v>
      </c>
      <c r="K100" t="s">
        <v>301</v>
      </c>
      <c r="L100">
        <v>1348</v>
      </c>
      <c r="N100">
        <v>1009</v>
      </c>
      <c r="O100" t="s">
        <v>117</v>
      </c>
      <c r="P100" t="s">
        <v>117</v>
      </c>
      <c r="Q100">
        <v>1000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1</v>
      </c>
      <c r="AD100">
        <v>0</v>
      </c>
      <c r="AE100">
        <v>0</v>
      </c>
      <c r="AF100" t="s">
        <v>3</v>
      </c>
      <c r="AG100">
        <v>0</v>
      </c>
      <c r="AH100">
        <v>2</v>
      </c>
      <c r="AI100">
        <v>84187111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ROW(Source!A163)</f>
        <v>163</v>
      </c>
      <c r="B101">
        <v>84187126</v>
      </c>
      <c r="C101">
        <v>84187099</v>
      </c>
      <c r="D101">
        <v>37785254</v>
      </c>
      <c r="E101">
        <v>1</v>
      </c>
      <c r="F101">
        <v>1</v>
      </c>
      <c r="G101">
        <v>1</v>
      </c>
      <c r="H101">
        <v>3</v>
      </c>
      <c r="I101" t="s">
        <v>500</v>
      </c>
      <c r="J101" t="s">
        <v>501</v>
      </c>
      <c r="K101" t="s">
        <v>502</v>
      </c>
      <c r="L101">
        <v>1348</v>
      </c>
      <c r="N101">
        <v>1009</v>
      </c>
      <c r="O101" t="s">
        <v>117</v>
      </c>
      <c r="P101" t="s">
        <v>117</v>
      </c>
      <c r="Q101">
        <v>1000</v>
      </c>
      <c r="X101">
        <v>2E-3</v>
      </c>
      <c r="Y101">
        <v>29627.5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2E-3</v>
      </c>
      <c r="AH101">
        <v>2</v>
      </c>
      <c r="AI101">
        <v>84187112</v>
      </c>
      <c r="AJ101">
        <v>101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ROW(Source!A163)</f>
        <v>163</v>
      </c>
      <c r="B102">
        <v>84187127</v>
      </c>
      <c r="C102">
        <v>84187099</v>
      </c>
      <c r="D102">
        <v>37794662</v>
      </c>
      <c r="E102">
        <v>1</v>
      </c>
      <c r="F102">
        <v>1</v>
      </c>
      <c r="G102">
        <v>1</v>
      </c>
      <c r="H102">
        <v>3</v>
      </c>
      <c r="I102" t="s">
        <v>503</v>
      </c>
      <c r="J102" t="s">
        <v>504</v>
      </c>
      <c r="K102" t="s">
        <v>505</v>
      </c>
      <c r="L102">
        <v>1354</v>
      </c>
      <c r="N102">
        <v>1010</v>
      </c>
      <c r="O102" t="s">
        <v>126</v>
      </c>
      <c r="P102" t="s">
        <v>126</v>
      </c>
      <c r="Q102">
        <v>1</v>
      </c>
      <c r="X102">
        <v>3.4</v>
      </c>
      <c r="Y102">
        <v>79.599999999999994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3.4</v>
      </c>
      <c r="AH102">
        <v>2</v>
      </c>
      <c r="AI102">
        <v>84187113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Смета для ТЕР ЧР</vt:lpstr>
      <vt:lpstr>RV_DATA</vt:lpstr>
      <vt:lpstr>Расчет стоимости ресурсов</vt:lpstr>
      <vt:lpstr>Акт КС-2 для ТЕР ЧР</vt:lpstr>
      <vt:lpstr>Макет форма-3</vt:lpstr>
      <vt:lpstr>Source</vt:lpstr>
      <vt:lpstr>SourceObSm</vt:lpstr>
      <vt:lpstr>SmtRes</vt:lpstr>
      <vt:lpstr>EtalonRes</vt:lpstr>
      <vt:lpstr>SrcKA</vt:lpstr>
      <vt:lpstr>'Акт КС-2 для ТЕР ЧР'!Заголовки_для_печати</vt:lpstr>
      <vt:lpstr>'Расчет стоимости ресурсов'!Заголовки_для_печати</vt:lpstr>
      <vt:lpstr>'Смета для ТЕР ЧР'!Заголовки_для_печати</vt:lpstr>
      <vt:lpstr>'Акт КС-2 для ТЕР ЧР'!Область_печати</vt:lpstr>
      <vt:lpstr>'Расчет стоимости ресурсов'!Область_печати</vt:lpstr>
      <vt:lpstr>'Смета для ТЕР ЧР'!Область_печати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Гаврилов Евгений Владимирович</dc:creator>
  <cp:lastModifiedBy>Плотникова Татьяна Александровна</cp:lastModifiedBy>
  <cp:lastPrinted>2024-08-09T10:30:50Z</cp:lastPrinted>
  <dcterms:created xsi:type="dcterms:W3CDTF">2024-08-06T11:01:59Z</dcterms:created>
  <dcterms:modified xsi:type="dcterms:W3CDTF">2024-08-09T10:45:57Z</dcterms:modified>
</cp:coreProperties>
</file>