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№1 ул.Радиальная д.6 стр\4. ОТДЕЛ ЗАКУПОК\Алымова С.А\2024\24000060 кап. ремонт\"/>
    </mc:Choice>
  </mc:AlternateContent>
  <xr:revisionPtr revIDLastSave="0" documentId="13_ncr:1_{15820635-87AA-4B5B-B431-DD37227EDB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Смета по ТСН-2001(с доп.43" sheetId="6" r:id="rId1"/>
    <sheet name="Source" sheetId="1" r:id="rId2"/>
    <sheet name="SourceObSm" sheetId="2" r:id="rId3"/>
    <sheet name="SmtRes" sheetId="3" r:id="rId4"/>
    <sheet name="EtalonRes" sheetId="4" r:id="rId5"/>
    <sheet name="SrcKA" sheetId="5" r:id="rId6"/>
  </sheets>
  <definedNames>
    <definedName name="_xlnm.Print_Titles" localSheetId="0">'Смета по ТСН-2001(с доп.43'!$40:$40</definedName>
    <definedName name="_xlnm.Print_Area" localSheetId="0">'Смета по ТСН-2001(с доп.43'!$A$1:$K$143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6" l="1"/>
  <c r="B12" i="6"/>
  <c r="C140" i="6" l="1"/>
  <c r="C139" i="6"/>
  <c r="I33" i="6"/>
  <c r="I138" i="6"/>
  <c r="I137" i="6"/>
  <c r="I132" i="6"/>
  <c r="H132" i="6"/>
  <c r="G132" i="6"/>
  <c r="F132" i="6"/>
  <c r="E131" i="6"/>
  <c r="D131" i="6"/>
  <c r="B131" i="6"/>
  <c r="I128" i="6"/>
  <c r="H128" i="6"/>
  <c r="G128" i="6"/>
  <c r="F128" i="6"/>
  <c r="E127" i="6"/>
  <c r="D127" i="6"/>
  <c r="B127" i="6"/>
  <c r="E124" i="6"/>
  <c r="I123" i="6"/>
  <c r="H123" i="6"/>
  <c r="G123" i="6"/>
  <c r="F123" i="6"/>
  <c r="I122" i="6"/>
  <c r="H122" i="6"/>
  <c r="G122" i="6"/>
  <c r="F122" i="6"/>
  <c r="E121" i="6"/>
  <c r="D121" i="6"/>
  <c r="B121" i="6"/>
  <c r="H118" i="6"/>
  <c r="G118" i="6"/>
  <c r="E118" i="6"/>
  <c r="E117" i="6"/>
  <c r="E116" i="6"/>
  <c r="E115" i="6"/>
  <c r="I114" i="6"/>
  <c r="H114" i="6"/>
  <c r="F114" i="6"/>
  <c r="D114" i="6"/>
  <c r="B114" i="6"/>
  <c r="I113" i="6"/>
  <c r="H113" i="6"/>
  <c r="G113" i="6"/>
  <c r="F113" i="6"/>
  <c r="I112" i="6"/>
  <c r="H112" i="6"/>
  <c r="G112" i="6"/>
  <c r="F112" i="6"/>
  <c r="I111" i="6"/>
  <c r="H111" i="6"/>
  <c r="G111" i="6"/>
  <c r="F111" i="6"/>
  <c r="D109" i="6"/>
  <c r="B109" i="6"/>
  <c r="H106" i="6"/>
  <c r="G106" i="6"/>
  <c r="E106" i="6"/>
  <c r="E105" i="6"/>
  <c r="E104" i="6"/>
  <c r="E103" i="6"/>
  <c r="I102" i="6"/>
  <c r="H102" i="6"/>
  <c r="F102" i="6"/>
  <c r="D102" i="6"/>
  <c r="B102" i="6"/>
  <c r="I101" i="6"/>
  <c r="H101" i="6"/>
  <c r="F101" i="6"/>
  <c r="D101" i="6"/>
  <c r="B101" i="6"/>
  <c r="I100" i="6"/>
  <c r="H100" i="6"/>
  <c r="F100" i="6"/>
  <c r="D100" i="6"/>
  <c r="B100" i="6"/>
  <c r="I99" i="6"/>
  <c r="H99" i="6"/>
  <c r="F99" i="6"/>
  <c r="D99" i="6"/>
  <c r="B99" i="6"/>
  <c r="I98" i="6"/>
  <c r="H98" i="6"/>
  <c r="G98" i="6"/>
  <c r="F98" i="6"/>
  <c r="I97" i="6"/>
  <c r="H97" i="6"/>
  <c r="G97" i="6"/>
  <c r="F97" i="6"/>
  <c r="I96" i="6"/>
  <c r="H96" i="6"/>
  <c r="G96" i="6"/>
  <c r="F96" i="6"/>
  <c r="I95" i="6"/>
  <c r="H95" i="6"/>
  <c r="G95" i="6"/>
  <c r="F95" i="6"/>
  <c r="D93" i="6"/>
  <c r="B93" i="6"/>
  <c r="H90" i="6"/>
  <c r="G90" i="6"/>
  <c r="E90" i="6"/>
  <c r="E89" i="6"/>
  <c r="E88" i="6"/>
  <c r="E87" i="6"/>
  <c r="I86" i="6"/>
  <c r="H86" i="6"/>
  <c r="F86" i="6"/>
  <c r="D86" i="6"/>
  <c r="B86" i="6"/>
  <c r="I85" i="6"/>
  <c r="H85" i="6"/>
  <c r="G85" i="6"/>
  <c r="F85" i="6"/>
  <c r="I84" i="6"/>
  <c r="H84" i="6"/>
  <c r="G84" i="6"/>
  <c r="F84" i="6"/>
  <c r="I83" i="6"/>
  <c r="H83" i="6"/>
  <c r="G83" i="6"/>
  <c r="F83" i="6"/>
  <c r="I82" i="6"/>
  <c r="H82" i="6"/>
  <c r="G82" i="6"/>
  <c r="F82" i="6"/>
  <c r="D80" i="6"/>
  <c r="B80" i="6"/>
  <c r="H77" i="6"/>
  <c r="G77" i="6"/>
  <c r="E77" i="6"/>
  <c r="E76" i="6"/>
  <c r="E75" i="6"/>
  <c r="E74" i="6"/>
  <c r="I73" i="6"/>
  <c r="H73" i="6"/>
  <c r="F73" i="6"/>
  <c r="D73" i="6"/>
  <c r="B73" i="6"/>
  <c r="I72" i="6"/>
  <c r="H72" i="6"/>
  <c r="F72" i="6"/>
  <c r="D72" i="6"/>
  <c r="B72" i="6"/>
  <c r="I71" i="6"/>
  <c r="H71" i="6"/>
  <c r="G71" i="6"/>
  <c r="F71" i="6"/>
  <c r="I70" i="6"/>
  <c r="H70" i="6"/>
  <c r="G70" i="6"/>
  <c r="F70" i="6"/>
  <c r="I69" i="6"/>
  <c r="H69" i="6"/>
  <c r="G69" i="6"/>
  <c r="F69" i="6"/>
  <c r="I68" i="6"/>
  <c r="H68" i="6"/>
  <c r="G68" i="6"/>
  <c r="F68" i="6"/>
  <c r="E67" i="6"/>
  <c r="D67" i="6"/>
  <c r="B67" i="6"/>
  <c r="H64" i="6"/>
  <c r="G64" i="6"/>
  <c r="E64" i="6"/>
  <c r="E63" i="6"/>
  <c r="E62" i="6"/>
  <c r="E61" i="6"/>
  <c r="I60" i="6"/>
  <c r="H60" i="6"/>
  <c r="F60" i="6"/>
  <c r="D60" i="6"/>
  <c r="B60" i="6"/>
  <c r="I59" i="6"/>
  <c r="H59" i="6"/>
  <c r="F59" i="6"/>
  <c r="D59" i="6"/>
  <c r="B59" i="6"/>
  <c r="I58" i="6"/>
  <c r="H58" i="6"/>
  <c r="F58" i="6"/>
  <c r="D58" i="6"/>
  <c r="B58" i="6"/>
  <c r="I57" i="6"/>
  <c r="H57" i="6"/>
  <c r="F57" i="6"/>
  <c r="D57" i="6"/>
  <c r="B57" i="6"/>
  <c r="I56" i="6"/>
  <c r="H56" i="6"/>
  <c r="G56" i="6"/>
  <c r="F56" i="6"/>
  <c r="I55" i="6"/>
  <c r="H55" i="6"/>
  <c r="G55" i="6"/>
  <c r="F55" i="6"/>
  <c r="I54" i="6"/>
  <c r="H54" i="6"/>
  <c r="G54" i="6"/>
  <c r="F54" i="6"/>
  <c r="I53" i="6"/>
  <c r="H53" i="6"/>
  <c r="G53" i="6"/>
  <c r="F53" i="6"/>
  <c r="E52" i="6"/>
  <c r="D52" i="6"/>
  <c r="B52" i="6"/>
  <c r="H49" i="6"/>
  <c r="G49" i="6"/>
  <c r="E49" i="6"/>
  <c r="E48" i="6"/>
  <c r="E47" i="6"/>
  <c r="E46" i="6"/>
  <c r="I45" i="6"/>
  <c r="H45" i="6"/>
  <c r="G45" i="6"/>
  <c r="F45" i="6"/>
  <c r="I44" i="6"/>
  <c r="H44" i="6"/>
  <c r="G44" i="6"/>
  <c r="F44" i="6"/>
  <c r="I43" i="6"/>
  <c r="H43" i="6"/>
  <c r="G43" i="6"/>
  <c r="F43" i="6"/>
  <c r="E42" i="6"/>
  <c r="D42" i="6"/>
  <c r="B42" i="6"/>
  <c r="A22" i="6"/>
  <c r="A1" i="4" l="1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1" i="3"/>
  <c r="Y1" i="3"/>
  <c r="CU1" i="3"/>
  <c r="CY1" i="3"/>
  <c r="CZ1" i="3"/>
  <c r="DB1" i="3" s="1"/>
  <c r="DA1" i="3"/>
  <c r="DC1" i="3"/>
  <c r="A2" i="3"/>
  <c r="Y2" i="3"/>
  <c r="CW2" i="3" s="1"/>
  <c r="CX2" i="3"/>
  <c r="DG2" i="3" s="1"/>
  <c r="DJ2" i="3" s="1"/>
  <c r="CY2" i="3"/>
  <c r="CZ2" i="3"/>
  <c r="DA2" i="3"/>
  <c r="DB2" i="3"/>
  <c r="DC2" i="3"/>
  <c r="A3" i="3"/>
  <c r="Y3" i="3"/>
  <c r="CX3" i="3" s="1"/>
  <c r="DI3" i="3" s="1"/>
  <c r="CW3" i="3"/>
  <c r="CY3" i="3"/>
  <c r="CZ3" i="3"/>
  <c r="DB3" i="3" s="1"/>
  <c r="DA3" i="3"/>
  <c r="DC3" i="3"/>
  <c r="A4" i="3"/>
  <c r="Y4" i="3"/>
  <c r="CW4" i="3" s="1"/>
  <c r="CY4" i="3"/>
  <c r="CZ4" i="3"/>
  <c r="DA4" i="3"/>
  <c r="DB4" i="3"/>
  <c r="DC4" i="3"/>
  <c r="A5" i="3"/>
  <c r="Y5" i="3"/>
  <c r="CX5" i="3" s="1"/>
  <c r="CY5" i="3"/>
  <c r="CZ5" i="3"/>
  <c r="DB5" i="3" s="1"/>
  <c r="DA5" i="3"/>
  <c r="DC5" i="3"/>
  <c r="A6" i="3"/>
  <c r="Y6" i="3"/>
  <c r="CX6" i="3" s="1"/>
  <c r="CY6" i="3"/>
  <c r="CZ6" i="3"/>
  <c r="DA6" i="3"/>
  <c r="DB6" i="3"/>
  <c r="DC6" i="3"/>
  <c r="A7" i="3"/>
  <c r="Y7" i="3"/>
  <c r="CX7" i="3" s="1"/>
  <c r="CY7" i="3"/>
  <c r="CZ7" i="3"/>
  <c r="DA7" i="3"/>
  <c r="DB7" i="3"/>
  <c r="DC7" i="3"/>
  <c r="A8" i="3"/>
  <c r="Y8" i="3"/>
  <c r="CU8" i="3"/>
  <c r="CY8" i="3"/>
  <c r="CZ8" i="3"/>
  <c r="DA8" i="3"/>
  <c r="DB8" i="3"/>
  <c r="DC8" i="3"/>
  <c r="A9" i="3"/>
  <c r="Y9" i="3"/>
  <c r="CW9" i="3" s="1"/>
  <c r="CY9" i="3"/>
  <c r="CZ9" i="3"/>
  <c r="DB9" i="3" s="1"/>
  <c r="DA9" i="3"/>
  <c r="DC9" i="3"/>
  <c r="A10" i="3"/>
  <c r="Y10" i="3"/>
  <c r="CW10" i="3"/>
  <c r="CX10" i="3"/>
  <c r="DI10" i="3" s="1"/>
  <c r="CY10" i="3"/>
  <c r="CZ10" i="3"/>
  <c r="DB10" i="3" s="1"/>
  <c r="DA10" i="3"/>
  <c r="DC10" i="3"/>
  <c r="A11" i="3"/>
  <c r="Y11" i="3"/>
  <c r="CW11" i="3" s="1"/>
  <c r="CY11" i="3"/>
  <c r="CZ11" i="3"/>
  <c r="DA11" i="3"/>
  <c r="DB11" i="3"/>
  <c r="DC11" i="3"/>
  <c r="A12" i="3"/>
  <c r="Y12" i="3"/>
  <c r="CX12" i="3" s="1"/>
  <c r="CY12" i="3"/>
  <c r="CZ12" i="3"/>
  <c r="DB12" i="3" s="1"/>
  <c r="DA12" i="3"/>
  <c r="DC12" i="3"/>
  <c r="A13" i="3"/>
  <c r="Y13" i="3"/>
  <c r="CX13" i="3" s="1"/>
  <c r="CY13" i="3"/>
  <c r="CZ13" i="3"/>
  <c r="DA13" i="3"/>
  <c r="DB13" i="3"/>
  <c r="DC13" i="3"/>
  <c r="A14" i="3"/>
  <c r="Y14" i="3"/>
  <c r="CX14" i="3" s="1"/>
  <c r="CY14" i="3"/>
  <c r="CZ14" i="3"/>
  <c r="DA14" i="3"/>
  <c r="DB14" i="3"/>
  <c r="DC14" i="3"/>
  <c r="A15" i="3"/>
  <c r="Y15" i="3"/>
  <c r="CX15" i="3" s="1"/>
  <c r="CY15" i="3"/>
  <c r="CZ15" i="3"/>
  <c r="DA15" i="3"/>
  <c r="DB15" i="3"/>
  <c r="DC15" i="3"/>
  <c r="A16" i="3"/>
  <c r="Y16" i="3"/>
  <c r="CX16" i="3" s="1"/>
  <c r="CY16" i="3"/>
  <c r="CZ16" i="3"/>
  <c r="DB16" i="3" s="1"/>
  <c r="DA16" i="3"/>
  <c r="DC16" i="3"/>
  <c r="A17" i="3"/>
  <c r="Y17" i="3"/>
  <c r="CX17" i="3"/>
  <c r="DG17" i="3" s="1"/>
  <c r="CY17" i="3"/>
  <c r="CZ17" i="3"/>
  <c r="DA17" i="3"/>
  <c r="DB17" i="3"/>
  <c r="DC17" i="3"/>
  <c r="DF17" i="3"/>
  <c r="DJ17" i="3" s="1"/>
  <c r="A18" i="3"/>
  <c r="Y18" i="3"/>
  <c r="CX18" i="3" s="1"/>
  <c r="CY18" i="3"/>
  <c r="CZ18" i="3"/>
  <c r="DB18" i="3" s="1"/>
  <c r="DA18" i="3"/>
  <c r="DC18" i="3"/>
  <c r="A19" i="3"/>
  <c r="Y19" i="3"/>
  <c r="CV19" i="3" s="1"/>
  <c r="CU19" i="3"/>
  <c r="CY19" i="3"/>
  <c r="CZ19" i="3"/>
  <c r="DA19" i="3"/>
  <c r="DB19" i="3"/>
  <c r="DC19" i="3"/>
  <c r="A20" i="3"/>
  <c r="Y20" i="3"/>
  <c r="CW20" i="3" s="1"/>
  <c r="CY20" i="3"/>
  <c r="CZ20" i="3"/>
  <c r="DB20" i="3" s="1"/>
  <c r="DA20" i="3"/>
  <c r="DC20" i="3"/>
  <c r="A21" i="3"/>
  <c r="Y21" i="3"/>
  <c r="CX21" i="3" s="1"/>
  <c r="DF21" i="3" s="1"/>
  <c r="DJ21" i="3" s="1"/>
  <c r="CY21" i="3"/>
  <c r="CZ21" i="3"/>
  <c r="DB21" i="3" s="1"/>
  <c r="DA21" i="3"/>
  <c r="DC21" i="3"/>
  <c r="A22" i="3"/>
  <c r="Y22" i="3"/>
  <c r="CX22" i="3" s="1"/>
  <c r="CY22" i="3"/>
  <c r="CZ22" i="3"/>
  <c r="DB22" i="3" s="1"/>
  <c r="DA22" i="3"/>
  <c r="DC22" i="3"/>
  <c r="A23" i="3"/>
  <c r="Y23" i="3"/>
  <c r="CX23" i="3" s="1"/>
  <c r="CY23" i="3"/>
  <c r="CZ23" i="3"/>
  <c r="DB23" i="3" s="1"/>
  <c r="DA23" i="3"/>
  <c r="DC23" i="3"/>
  <c r="A24" i="3"/>
  <c r="Y24" i="3"/>
  <c r="CY24" i="3"/>
  <c r="CZ24" i="3"/>
  <c r="DA24" i="3"/>
  <c r="DB24" i="3"/>
  <c r="DC24" i="3"/>
  <c r="A25" i="3"/>
  <c r="Y25" i="3"/>
  <c r="CY25" i="3"/>
  <c r="CZ25" i="3"/>
  <c r="DB25" i="3" s="1"/>
  <c r="DA25" i="3"/>
  <c r="DC25" i="3"/>
  <c r="A26" i="3"/>
  <c r="Y26" i="3"/>
  <c r="CX26" i="3" s="1"/>
  <c r="CY26" i="3"/>
  <c r="CZ26" i="3"/>
  <c r="DA26" i="3"/>
  <c r="DB26" i="3"/>
  <c r="DC26" i="3"/>
  <c r="A27" i="3"/>
  <c r="Y27" i="3"/>
  <c r="CY27" i="3"/>
  <c r="CZ27" i="3"/>
  <c r="DB27" i="3" s="1"/>
  <c r="DA27" i="3"/>
  <c r="DC27" i="3"/>
  <c r="A28" i="3"/>
  <c r="Y28" i="3"/>
  <c r="CY28" i="3"/>
  <c r="CZ28" i="3"/>
  <c r="DB28" i="3" s="1"/>
  <c r="DA28" i="3"/>
  <c r="DC28" i="3"/>
  <c r="A29" i="3"/>
  <c r="Y29" i="3"/>
  <c r="CX29" i="3" s="1"/>
  <c r="CY29" i="3"/>
  <c r="CZ29" i="3"/>
  <c r="DB29" i="3" s="1"/>
  <c r="DA29" i="3"/>
  <c r="DC29" i="3"/>
  <c r="A30" i="3"/>
  <c r="Y30" i="3"/>
  <c r="CY30" i="3"/>
  <c r="CZ30" i="3"/>
  <c r="DB30" i="3" s="1"/>
  <c r="DA30" i="3"/>
  <c r="DC30" i="3"/>
  <c r="A31" i="3"/>
  <c r="Y31" i="3"/>
  <c r="CY31" i="3"/>
  <c r="CZ31" i="3"/>
  <c r="DB31" i="3" s="1"/>
  <c r="DA31" i="3"/>
  <c r="DC31" i="3"/>
  <c r="A32" i="3"/>
  <c r="Y32" i="3"/>
  <c r="CX32" i="3" s="1"/>
  <c r="DH32" i="3" s="1"/>
  <c r="CY32" i="3"/>
  <c r="CZ32" i="3"/>
  <c r="DB32" i="3" s="1"/>
  <c r="DA32" i="3"/>
  <c r="DC32" i="3"/>
  <c r="A33" i="3"/>
  <c r="Y33" i="3"/>
  <c r="CY33" i="3"/>
  <c r="CZ33" i="3"/>
  <c r="DB33" i="3" s="1"/>
  <c r="DA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B35" i="3" s="1"/>
  <c r="DA35" i="3"/>
  <c r="DC35" i="3"/>
  <c r="A36" i="3"/>
  <c r="Y36" i="3"/>
  <c r="CW36" i="3" s="1"/>
  <c r="CY36" i="3"/>
  <c r="CZ36" i="3"/>
  <c r="DB36" i="3" s="1"/>
  <c r="DA36" i="3"/>
  <c r="DC36" i="3"/>
  <c r="A37" i="3"/>
  <c r="Y37" i="3"/>
  <c r="CY37" i="3"/>
  <c r="CZ37" i="3"/>
  <c r="DB37" i="3" s="1"/>
  <c r="DA37" i="3"/>
  <c r="DC37" i="3"/>
  <c r="A38" i="3"/>
  <c r="Y38" i="3"/>
  <c r="CX38" i="3"/>
  <c r="DF38" i="3" s="1"/>
  <c r="CY38" i="3"/>
  <c r="CZ38" i="3"/>
  <c r="DA38" i="3"/>
  <c r="DB38" i="3"/>
  <c r="DC38" i="3"/>
  <c r="A39" i="3"/>
  <c r="Y39" i="3"/>
  <c r="CW39" i="3" s="1"/>
  <c r="CY39" i="3"/>
  <c r="CZ39" i="3"/>
  <c r="DB39" i="3" s="1"/>
  <c r="DA39" i="3"/>
  <c r="DC39" i="3"/>
  <c r="A40" i="3"/>
  <c r="Y40" i="3"/>
  <c r="CY40" i="3"/>
  <c r="CZ40" i="3"/>
  <c r="DB40" i="3" s="1"/>
  <c r="DA40" i="3"/>
  <c r="DC40" i="3"/>
  <c r="A41" i="3"/>
  <c r="Y41" i="3"/>
  <c r="CX41" i="3" s="1"/>
  <c r="DH41" i="3" s="1"/>
  <c r="CY41" i="3"/>
  <c r="CZ41" i="3"/>
  <c r="DA41" i="3"/>
  <c r="DB41" i="3"/>
  <c r="DC41" i="3"/>
  <c r="A42" i="3"/>
  <c r="Y42" i="3"/>
  <c r="CX42" i="3" s="1"/>
  <c r="CY42" i="3"/>
  <c r="CZ42" i="3"/>
  <c r="DB42" i="3" s="1"/>
  <c r="DA42" i="3"/>
  <c r="DC42" i="3"/>
  <c r="A43" i="3"/>
  <c r="Y43" i="3"/>
  <c r="CX43" i="3" s="1"/>
  <c r="DF43" i="3" s="1"/>
  <c r="DJ43" i="3" s="1"/>
  <c r="CY43" i="3"/>
  <c r="CZ43" i="3"/>
  <c r="DB43" i="3" s="1"/>
  <c r="DA43" i="3"/>
  <c r="DC43" i="3"/>
  <c r="A44" i="3"/>
  <c r="Y44" i="3"/>
  <c r="CX44" i="3"/>
  <c r="DH44" i="3" s="1"/>
  <c r="CY44" i="3"/>
  <c r="CZ44" i="3"/>
  <c r="DA44" i="3"/>
  <c r="DB44" i="3"/>
  <c r="DC44" i="3"/>
  <c r="A45" i="3"/>
  <c r="Y45" i="3"/>
  <c r="CY45" i="3"/>
  <c r="CZ45" i="3"/>
  <c r="DB45" i="3" s="1"/>
  <c r="DA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B48" i="3" s="1"/>
  <c r="DA48" i="3"/>
  <c r="DC48" i="3"/>
  <c r="A49" i="3"/>
  <c r="Y49" i="3"/>
  <c r="CX49" i="3" s="1"/>
  <c r="CY49" i="3"/>
  <c r="CZ49" i="3"/>
  <c r="DA49" i="3"/>
  <c r="DB49" i="3"/>
  <c r="DC49" i="3"/>
  <c r="A50" i="3"/>
  <c r="Y50" i="3"/>
  <c r="CX50" i="3" s="1"/>
  <c r="CY50" i="3"/>
  <c r="CZ50" i="3"/>
  <c r="DB50" i="3" s="1"/>
  <c r="DA50" i="3"/>
  <c r="DC50" i="3"/>
  <c r="A51" i="3"/>
  <c r="Y51" i="3"/>
  <c r="CY51" i="3"/>
  <c r="CZ51" i="3"/>
  <c r="DB51" i="3" s="1"/>
  <c r="DA51" i="3"/>
  <c r="DC51" i="3"/>
  <c r="A52" i="3"/>
  <c r="Y52" i="3"/>
  <c r="CY52" i="3"/>
  <c r="CZ52" i="3"/>
  <c r="DA52" i="3"/>
  <c r="DB52" i="3"/>
  <c r="DC52" i="3"/>
  <c r="A53" i="3"/>
  <c r="Y53" i="3"/>
  <c r="CY53" i="3"/>
  <c r="CZ53" i="3"/>
  <c r="DB53" i="3" s="1"/>
  <c r="DA53" i="3"/>
  <c r="DC53" i="3"/>
  <c r="A54" i="3"/>
  <c r="Y54" i="3"/>
  <c r="CY54" i="3"/>
  <c r="CZ54" i="3"/>
  <c r="DA54" i="3"/>
  <c r="DB54" i="3"/>
  <c r="DC54" i="3"/>
  <c r="A55" i="3"/>
  <c r="Y55" i="3"/>
  <c r="CY55" i="3"/>
  <c r="CZ55" i="3"/>
  <c r="DA55" i="3"/>
  <c r="DB55" i="3"/>
  <c r="DC55" i="3"/>
  <c r="A56" i="3"/>
  <c r="Y56" i="3"/>
  <c r="CX56" i="3" s="1"/>
  <c r="CY56" i="3"/>
  <c r="CZ56" i="3"/>
  <c r="DA56" i="3"/>
  <c r="DB56" i="3"/>
  <c r="DC56" i="3"/>
  <c r="A57" i="3"/>
  <c r="Y57" i="3"/>
  <c r="CX57" i="3" s="1"/>
  <c r="DF57" i="3" s="1"/>
  <c r="DJ57" i="3" s="1"/>
  <c r="CY57" i="3"/>
  <c r="CZ57" i="3"/>
  <c r="DA57" i="3"/>
  <c r="DB57" i="3"/>
  <c r="DC57" i="3"/>
  <c r="A58" i="3"/>
  <c r="Y58" i="3"/>
  <c r="CX58" i="3" s="1"/>
  <c r="CY58" i="3"/>
  <c r="CZ58" i="3"/>
  <c r="DB58" i="3" s="1"/>
  <c r="DA58" i="3"/>
  <c r="DC5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C24" i="1"/>
  <c r="D24" i="1"/>
  <c r="AC24" i="1"/>
  <c r="AE24" i="1"/>
  <c r="AF24" i="1"/>
  <c r="AG24" i="1"/>
  <c r="AH24" i="1"/>
  <c r="CV24" i="1" s="1"/>
  <c r="U24" i="1" s="1"/>
  <c r="K49" i="6" s="1"/>
  <c r="AI24" i="1"/>
  <c r="CW24" i="1" s="1"/>
  <c r="V24" i="1" s="1"/>
  <c r="AJ24" i="1"/>
  <c r="CT24" i="1"/>
  <c r="CU24" i="1"/>
  <c r="T24" i="1" s="1"/>
  <c r="CX24" i="1"/>
  <c r="W24" i="1" s="1"/>
  <c r="FR24" i="1"/>
  <c r="GL24" i="1"/>
  <c r="GO24" i="1"/>
  <c r="GP24" i="1"/>
  <c r="GV24" i="1"/>
  <c r="HC24" i="1" s="1"/>
  <c r="GX24" i="1" s="1"/>
  <c r="C25" i="1"/>
  <c r="D25" i="1"/>
  <c r="S25" i="1"/>
  <c r="J53" i="6" s="1"/>
  <c r="T25" i="1"/>
  <c r="U25" i="1"/>
  <c r="K64" i="6" s="1"/>
  <c r="V25" i="1"/>
  <c r="AC25" i="1"/>
  <c r="P25" i="1" s="1"/>
  <c r="J56" i="6" s="1"/>
  <c r="AE25" i="1"/>
  <c r="AF25" i="1"/>
  <c r="AG25" i="1"/>
  <c r="CU25" i="1" s="1"/>
  <c r="AH25" i="1"/>
  <c r="CV25" i="1" s="1"/>
  <c r="AI25" i="1"/>
  <c r="CW25" i="1" s="1"/>
  <c r="AJ25" i="1"/>
  <c r="CX25" i="1" s="1"/>
  <c r="W25" i="1" s="1"/>
  <c r="CR25" i="1"/>
  <c r="CS25" i="1"/>
  <c r="CY25" i="1"/>
  <c r="X25" i="1" s="1"/>
  <c r="R52" i="6" s="1"/>
  <c r="FR25" i="1"/>
  <c r="GL25" i="1"/>
  <c r="GO25" i="1"/>
  <c r="GP25" i="1"/>
  <c r="GV25" i="1"/>
  <c r="HC25" i="1" s="1"/>
  <c r="GX25" i="1" s="1"/>
  <c r="I26" i="1"/>
  <c r="E57" i="6" s="1"/>
  <c r="R26" i="1"/>
  <c r="GK26" i="1" s="1"/>
  <c r="AC26" i="1"/>
  <c r="AD26" i="1"/>
  <c r="AB26" i="1" s="1"/>
  <c r="AE26" i="1"/>
  <c r="CR26" i="1" s="1"/>
  <c r="AF26" i="1"/>
  <c r="S26" i="1" s="1"/>
  <c r="AG26" i="1"/>
  <c r="AH26" i="1"/>
  <c r="AI26" i="1"/>
  <c r="AJ26" i="1"/>
  <c r="CS26" i="1"/>
  <c r="CU26" i="1"/>
  <c r="T26" i="1" s="1"/>
  <c r="CV26" i="1"/>
  <c r="U26" i="1" s="1"/>
  <c r="CW26" i="1"/>
  <c r="V26" i="1" s="1"/>
  <c r="CX26" i="1"/>
  <c r="W26" i="1" s="1"/>
  <c r="FR26" i="1"/>
  <c r="GL26" i="1"/>
  <c r="GO26" i="1"/>
  <c r="GP26" i="1"/>
  <c r="GV26" i="1"/>
  <c r="HC26" i="1" s="1"/>
  <c r="GX26" i="1"/>
  <c r="I27" i="1"/>
  <c r="E58" i="6" s="1"/>
  <c r="P27" i="1"/>
  <c r="Q27" i="1"/>
  <c r="R27" i="1"/>
  <c r="GK27" i="1" s="1"/>
  <c r="AC27" i="1"/>
  <c r="CQ27" i="1" s="1"/>
  <c r="AE27" i="1"/>
  <c r="AF27" i="1"/>
  <c r="AG27" i="1"/>
  <c r="CU27" i="1" s="1"/>
  <c r="T27" i="1" s="1"/>
  <c r="AH27" i="1"/>
  <c r="CV27" i="1" s="1"/>
  <c r="U27" i="1" s="1"/>
  <c r="AI27" i="1"/>
  <c r="CW27" i="1" s="1"/>
  <c r="V27" i="1" s="1"/>
  <c r="AJ27" i="1"/>
  <c r="CX27" i="1" s="1"/>
  <c r="W27" i="1" s="1"/>
  <c r="FR27" i="1"/>
  <c r="GL27" i="1"/>
  <c r="BZ46" i="1" s="1"/>
  <c r="AQ46" i="1" s="1"/>
  <c r="GO27" i="1"/>
  <c r="CC46" i="1" s="1"/>
  <c r="AT46" i="1" s="1"/>
  <c r="GP27" i="1"/>
  <c r="GV27" i="1"/>
  <c r="HC27" i="1" s="1"/>
  <c r="GX27" i="1" s="1"/>
  <c r="I28" i="1"/>
  <c r="AC28" i="1"/>
  <c r="AD28" i="1"/>
  <c r="AE28" i="1"/>
  <c r="AF28" i="1"/>
  <c r="AG28" i="1"/>
  <c r="CU28" i="1" s="1"/>
  <c r="T28" i="1" s="1"/>
  <c r="AH28" i="1"/>
  <c r="CV28" i="1" s="1"/>
  <c r="AI28" i="1"/>
  <c r="CW28" i="1" s="1"/>
  <c r="V28" i="1" s="1"/>
  <c r="AJ28" i="1"/>
  <c r="CX28" i="1" s="1"/>
  <c r="W28" i="1" s="1"/>
  <c r="CQ28" i="1"/>
  <c r="CR28" i="1"/>
  <c r="CS28" i="1"/>
  <c r="CT28" i="1"/>
  <c r="FR28" i="1"/>
  <c r="GL28" i="1"/>
  <c r="GO28" i="1"/>
  <c r="GP28" i="1"/>
  <c r="GV28" i="1"/>
  <c r="HC28" i="1"/>
  <c r="GX28" i="1" s="1"/>
  <c r="I29" i="1"/>
  <c r="AC29" i="1"/>
  <c r="AE29" i="1"/>
  <c r="AF29" i="1"/>
  <c r="AG29" i="1"/>
  <c r="AH29" i="1"/>
  <c r="CV29" i="1" s="1"/>
  <c r="U29" i="1" s="1"/>
  <c r="AI29" i="1"/>
  <c r="AJ29" i="1"/>
  <c r="CU29" i="1"/>
  <c r="CW29" i="1"/>
  <c r="CX29" i="1"/>
  <c r="FR29" i="1"/>
  <c r="GL29" i="1"/>
  <c r="GO29" i="1"/>
  <c r="GP29" i="1"/>
  <c r="GV29" i="1"/>
  <c r="HC29" i="1" s="1"/>
  <c r="C30" i="1"/>
  <c r="D30" i="1"/>
  <c r="AC30" i="1"/>
  <c r="CQ30" i="1" s="1"/>
  <c r="AE30" i="1"/>
  <c r="AF30" i="1"/>
  <c r="S30" i="1" s="1"/>
  <c r="AG30" i="1"/>
  <c r="CU30" i="1" s="1"/>
  <c r="T30" i="1" s="1"/>
  <c r="AH30" i="1"/>
  <c r="CV30" i="1" s="1"/>
  <c r="U30" i="1" s="1"/>
  <c r="K77" i="6" s="1"/>
  <c r="AI30" i="1"/>
  <c r="CW30" i="1" s="1"/>
  <c r="V30" i="1" s="1"/>
  <c r="AJ30" i="1"/>
  <c r="CX30" i="1" s="1"/>
  <c r="W30" i="1" s="1"/>
  <c r="FR30" i="1"/>
  <c r="GL30" i="1"/>
  <c r="GO30" i="1"/>
  <c r="GP30" i="1"/>
  <c r="GV30" i="1"/>
  <c r="HC30" i="1"/>
  <c r="GX30" i="1" s="1"/>
  <c r="I31" i="1"/>
  <c r="E72" i="6" s="1"/>
  <c r="AC31" i="1"/>
  <c r="AE31" i="1"/>
  <c r="AF31" i="1"/>
  <c r="AG31" i="1"/>
  <c r="CU31" i="1" s="1"/>
  <c r="AH31" i="1"/>
  <c r="CV31" i="1" s="1"/>
  <c r="AI31" i="1"/>
  <c r="CW31" i="1" s="1"/>
  <c r="AJ31" i="1"/>
  <c r="CX31" i="1" s="1"/>
  <c r="CQ31" i="1"/>
  <c r="CS31" i="1"/>
  <c r="CT31" i="1"/>
  <c r="FR31" i="1"/>
  <c r="GL31" i="1"/>
  <c r="GO31" i="1"/>
  <c r="GP31" i="1"/>
  <c r="GV31" i="1"/>
  <c r="HC31" i="1"/>
  <c r="GX31" i="1" s="1"/>
  <c r="I32" i="1"/>
  <c r="AC32" i="1"/>
  <c r="AE32" i="1"/>
  <c r="CS32" i="1" s="1"/>
  <c r="AF32" i="1"/>
  <c r="AG32" i="1"/>
  <c r="CU32" i="1" s="1"/>
  <c r="AH32" i="1"/>
  <c r="AI32" i="1"/>
  <c r="AJ32" i="1"/>
  <c r="CR32" i="1"/>
  <c r="CV32" i="1"/>
  <c r="CW32" i="1"/>
  <c r="CX32" i="1"/>
  <c r="FR32" i="1"/>
  <c r="GL32" i="1"/>
  <c r="GO32" i="1"/>
  <c r="GP32" i="1"/>
  <c r="GV32" i="1"/>
  <c r="HC32" i="1" s="1"/>
  <c r="C33" i="1"/>
  <c r="D33" i="1"/>
  <c r="I33" i="1"/>
  <c r="K33" i="1"/>
  <c r="P33" i="1"/>
  <c r="Q33" i="1"/>
  <c r="J83" i="6" s="1"/>
  <c r="R33" i="1"/>
  <c r="J84" i="6" s="1"/>
  <c r="AC33" i="1"/>
  <c r="CQ33" i="1" s="1"/>
  <c r="AE33" i="1"/>
  <c r="AF33" i="1"/>
  <c r="AG33" i="1"/>
  <c r="AH33" i="1"/>
  <c r="AI33" i="1"/>
  <c r="CW33" i="1" s="1"/>
  <c r="AJ33" i="1"/>
  <c r="CU33" i="1"/>
  <c r="CV33" i="1"/>
  <c r="U33" i="1" s="1"/>
  <c r="K90" i="6" s="1"/>
  <c r="CX33" i="1"/>
  <c r="W33" i="1" s="1"/>
  <c r="FR33" i="1"/>
  <c r="GL33" i="1"/>
  <c r="GO33" i="1"/>
  <c r="GP33" i="1"/>
  <c r="GV33" i="1"/>
  <c r="HC33" i="1" s="1"/>
  <c r="AC34" i="1"/>
  <c r="CQ34" i="1" s="1"/>
  <c r="AE34" i="1"/>
  <c r="AF34" i="1"/>
  <c r="AG34" i="1"/>
  <c r="AH34" i="1"/>
  <c r="CV34" i="1" s="1"/>
  <c r="AI34" i="1"/>
  <c r="CW34" i="1" s="1"/>
  <c r="AJ34" i="1"/>
  <c r="CX34" i="1" s="1"/>
  <c r="CR34" i="1"/>
  <c r="CS34" i="1"/>
  <c r="CT34" i="1"/>
  <c r="CU34" i="1"/>
  <c r="FR34" i="1"/>
  <c r="GL34" i="1"/>
  <c r="GO34" i="1"/>
  <c r="GP34" i="1"/>
  <c r="GV34" i="1"/>
  <c r="HC34" i="1"/>
  <c r="C35" i="1"/>
  <c r="D35" i="1"/>
  <c r="I35" i="1"/>
  <c r="CX48" i="3" s="1"/>
  <c r="K35" i="1"/>
  <c r="AC35" i="1"/>
  <c r="AD35" i="1"/>
  <c r="AE35" i="1"/>
  <c r="AF35" i="1"/>
  <c r="AG35" i="1"/>
  <c r="AH35" i="1"/>
  <c r="CV35" i="1" s="1"/>
  <c r="U35" i="1" s="1"/>
  <c r="K106" i="6" s="1"/>
  <c r="AI35" i="1"/>
  <c r="CW35" i="1" s="1"/>
  <c r="V35" i="1" s="1"/>
  <c r="AJ35" i="1"/>
  <c r="CX35" i="1" s="1"/>
  <c r="W35" i="1" s="1"/>
  <c r="CQ35" i="1"/>
  <c r="CR35" i="1"/>
  <c r="CS35" i="1"/>
  <c r="CU35" i="1"/>
  <c r="FR35" i="1"/>
  <c r="GL35" i="1"/>
  <c r="GO35" i="1"/>
  <c r="GP35" i="1"/>
  <c r="GV35" i="1"/>
  <c r="HC35" i="1" s="1"/>
  <c r="GX35" i="1" s="1"/>
  <c r="AC36" i="1"/>
  <c r="CQ36" i="1" s="1"/>
  <c r="AE36" i="1"/>
  <c r="AF36" i="1"/>
  <c r="CT36" i="1" s="1"/>
  <c r="AG36" i="1"/>
  <c r="AH36" i="1"/>
  <c r="CV36" i="1" s="1"/>
  <c r="AI36" i="1"/>
  <c r="AJ36" i="1"/>
  <c r="CU36" i="1"/>
  <c r="CW36" i="1"/>
  <c r="CX36" i="1"/>
  <c r="FR36" i="1"/>
  <c r="GL36" i="1"/>
  <c r="GO36" i="1"/>
  <c r="GP36" i="1"/>
  <c r="GV36" i="1"/>
  <c r="HC36" i="1"/>
  <c r="AC37" i="1"/>
  <c r="AE37" i="1"/>
  <c r="AF37" i="1"/>
  <c r="AG37" i="1"/>
  <c r="CU37" i="1" s="1"/>
  <c r="AH37" i="1"/>
  <c r="CV37" i="1" s="1"/>
  <c r="AI37" i="1"/>
  <c r="CW37" i="1" s="1"/>
  <c r="AJ37" i="1"/>
  <c r="CX37" i="1" s="1"/>
  <c r="CQ37" i="1"/>
  <c r="FR37" i="1"/>
  <c r="GL37" i="1"/>
  <c r="GO37" i="1"/>
  <c r="GP37" i="1"/>
  <c r="GV37" i="1"/>
  <c r="HC37" i="1"/>
  <c r="I38" i="1"/>
  <c r="AC38" i="1"/>
  <c r="AE38" i="1"/>
  <c r="AF38" i="1"/>
  <c r="AG38" i="1"/>
  <c r="CU38" i="1" s="1"/>
  <c r="T38" i="1" s="1"/>
  <c r="AH38" i="1"/>
  <c r="AI38" i="1"/>
  <c r="CW38" i="1" s="1"/>
  <c r="V38" i="1" s="1"/>
  <c r="AJ38" i="1"/>
  <c r="CQ38" i="1"/>
  <c r="CS38" i="1"/>
  <c r="CT38" i="1"/>
  <c r="CV38" i="1"/>
  <c r="CX38" i="1"/>
  <c r="FR38" i="1"/>
  <c r="GL38" i="1"/>
  <c r="GO38" i="1"/>
  <c r="GP38" i="1"/>
  <c r="GV38" i="1"/>
  <c r="HC38" i="1"/>
  <c r="I39" i="1"/>
  <c r="P39" i="1"/>
  <c r="AC39" i="1"/>
  <c r="CQ39" i="1" s="1"/>
  <c r="AE39" i="1"/>
  <c r="AF39" i="1"/>
  <c r="AG39" i="1"/>
  <c r="CU39" i="1" s="1"/>
  <c r="AH39" i="1"/>
  <c r="CV39" i="1" s="1"/>
  <c r="AI39" i="1"/>
  <c r="AJ39" i="1"/>
  <c r="CX39" i="1" s="1"/>
  <c r="CW39" i="1"/>
  <c r="FR39" i="1"/>
  <c r="GL39" i="1"/>
  <c r="GO39" i="1"/>
  <c r="GP39" i="1"/>
  <c r="GV39" i="1"/>
  <c r="HC39" i="1" s="1"/>
  <c r="C40" i="1"/>
  <c r="D40" i="1"/>
  <c r="I40" i="1"/>
  <c r="K40" i="1"/>
  <c r="AC40" i="1"/>
  <c r="CQ40" i="1" s="1"/>
  <c r="AE40" i="1"/>
  <c r="CR40" i="1" s="1"/>
  <c r="AF40" i="1"/>
  <c r="AG40" i="1"/>
  <c r="CU40" i="1" s="1"/>
  <c r="AH40" i="1"/>
  <c r="CV40" i="1" s="1"/>
  <c r="AI40" i="1"/>
  <c r="CW40" i="1" s="1"/>
  <c r="AJ40" i="1"/>
  <c r="CX40" i="1" s="1"/>
  <c r="CS40" i="1"/>
  <c r="FR40" i="1"/>
  <c r="GL40" i="1"/>
  <c r="GO40" i="1"/>
  <c r="GP40" i="1"/>
  <c r="GV40" i="1"/>
  <c r="HC40" i="1" s="1"/>
  <c r="AC41" i="1"/>
  <c r="AE41" i="1"/>
  <c r="AF41" i="1"/>
  <c r="AG41" i="1"/>
  <c r="CU41" i="1" s="1"/>
  <c r="AH41" i="1"/>
  <c r="AI41" i="1"/>
  <c r="CW41" i="1" s="1"/>
  <c r="AJ41" i="1"/>
  <c r="CX41" i="1" s="1"/>
  <c r="CR41" i="1"/>
  <c r="CT41" i="1"/>
  <c r="CV41" i="1"/>
  <c r="FR41" i="1"/>
  <c r="GL41" i="1"/>
  <c r="GO41" i="1"/>
  <c r="GP41" i="1"/>
  <c r="GV41" i="1"/>
  <c r="HC41" i="1" s="1"/>
  <c r="C42" i="1"/>
  <c r="D42" i="1"/>
  <c r="Q42" i="1"/>
  <c r="J122" i="6" s="1"/>
  <c r="AC42" i="1"/>
  <c r="CQ42" i="1" s="1"/>
  <c r="AE42" i="1"/>
  <c r="AF42" i="1"/>
  <c r="AG42" i="1"/>
  <c r="AH42" i="1"/>
  <c r="CV42" i="1" s="1"/>
  <c r="U42" i="1" s="1"/>
  <c r="AI42" i="1"/>
  <c r="AJ42" i="1"/>
  <c r="CX42" i="1" s="1"/>
  <c r="W42" i="1" s="1"/>
  <c r="CT42" i="1"/>
  <c r="CU42" i="1"/>
  <c r="T42" i="1" s="1"/>
  <c r="CW42" i="1"/>
  <c r="V42" i="1" s="1"/>
  <c r="FR42" i="1"/>
  <c r="GL42" i="1"/>
  <c r="GO42" i="1"/>
  <c r="GP42" i="1"/>
  <c r="GV42" i="1"/>
  <c r="HC42" i="1"/>
  <c r="GX42" i="1" s="1"/>
  <c r="C43" i="1"/>
  <c r="D43" i="1"/>
  <c r="Q43" i="1"/>
  <c r="J128" i="6" s="1"/>
  <c r="P129" i="6" s="1"/>
  <c r="R43" i="1"/>
  <c r="GK43" i="1" s="1"/>
  <c r="AC43" i="1"/>
  <c r="P43" i="1" s="1"/>
  <c r="AE43" i="1"/>
  <c r="AF43" i="1"/>
  <c r="AG43" i="1"/>
  <c r="CU43" i="1" s="1"/>
  <c r="T43" i="1" s="1"/>
  <c r="AH43" i="1"/>
  <c r="CV43" i="1" s="1"/>
  <c r="U43" i="1" s="1"/>
  <c r="AI43" i="1"/>
  <c r="CW43" i="1" s="1"/>
  <c r="V43" i="1" s="1"/>
  <c r="AJ43" i="1"/>
  <c r="CX43" i="1" s="1"/>
  <c r="W43" i="1" s="1"/>
  <c r="CQ43" i="1"/>
  <c r="CR43" i="1"/>
  <c r="CS43" i="1"/>
  <c r="FR43" i="1"/>
  <c r="GL43" i="1"/>
  <c r="GN43" i="1"/>
  <c r="GO43" i="1"/>
  <c r="GV43" i="1"/>
  <c r="HC43" i="1" s="1"/>
  <c r="GX43" i="1" s="1"/>
  <c r="C44" i="1"/>
  <c r="D44" i="1"/>
  <c r="Q44" i="1"/>
  <c r="J132" i="6" s="1"/>
  <c r="P133" i="6" s="1"/>
  <c r="R44" i="1"/>
  <c r="GK44" i="1" s="1"/>
  <c r="AC44" i="1"/>
  <c r="P44" i="1" s="1"/>
  <c r="AD44" i="1"/>
  <c r="AE44" i="1"/>
  <c r="AF44" i="1"/>
  <c r="AG44" i="1"/>
  <c r="CU44" i="1" s="1"/>
  <c r="T44" i="1" s="1"/>
  <c r="AH44" i="1"/>
  <c r="CV44" i="1" s="1"/>
  <c r="U44" i="1" s="1"/>
  <c r="AI44" i="1"/>
  <c r="CW44" i="1" s="1"/>
  <c r="V44" i="1" s="1"/>
  <c r="AJ44" i="1"/>
  <c r="CX44" i="1" s="1"/>
  <c r="W44" i="1" s="1"/>
  <c r="CQ44" i="1"/>
  <c r="CR44" i="1"/>
  <c r="CS44" i="1"/>
  <c r="FR44" i="1"/>
  <c r="GL44" i="1"/>
  <c r="GN44" i="1"/>
  <c r="GO44" i="1"/>
  <c r="GV44" i="1"/>
  <c r="HC44" i="1"/>
  <c r="GX44" i="1" s="1"/>
  <c r="B46" i="1"/>
  <c r="B22" i="1" s="1"/>
  <c r="C46" i="1"/>
  <c r="C22" i="1" s="1"/>
  <c r="D46" i="1"/>
  <c r="D22" i="1" s="1"/>
  <c r="F46" i="1"/>
  <c r="F22" i="1" s="1"/>
  <c r="G46" i="1"/>
  <c r="G22" i="1" s="1"/>
  <c r="BX46" i="1"/>
  <c r="AO46" i="1" s="1"/>
  <c r="AO76" i="1" s="1"/>
  <c r="F80" i="1" s="1"/>
  <c r="BY46" i="1"/>
  <c r="AP46" i="1" s="1"/>
  <c r="AP76" i="1" s="1"/>
  <c r="CK46" i="1"/>
  <c r="BB46" i="1" s="1"/>
  <c r="BB76" i="1" s="1"/>
  <c r="BB18" i="1" s="1"/>
  <c r="CL46" i="1"/>
  <c r="CL22" i="1" s="1"/>
  <c r="CM46" i="1"/>
  <c r="CM22" i="1" s="1"/>
  <c r="B76" i="1"/>
  <c r="B18" i="1" s="1"/>
  <c r="C76" i="1"/>
  <c r="C18" i="1" s="1"/>
  <c r="D76" i="1"/>
  <c r="D18" i="1" s="1"/>
  <c r="F76" i="1"/>
  <c r="F18" i="1" s="1"/>
  <c r="G76" i="1"/>
  <c r="DH5" i="3" l="1"/>
  <c r="DF5" i="3"/>
  <c r="DJ5" i="3" s="1"/>
  <c r="DG5" i="3"/>
  <c r="DG7" i="3"/>
  <c r="DH7" i="3"/>
  <c r="DI7" i="3"/>
  <c r="DF7" i="3"/>
  <c r="DJ7" i="3" s="1"/>
  <c r="DH56" i="3"/>
  <c r="DF56" i="3"/>
  <c r="DJ56" i="3" s="1"/>
  <c r="DG56" i="3"/>
  <c r="R34" i="1"/>
  <c r="GK34" i="1" s="1"/>
  <c r="DF58" i="3"/>
  <c r="DJ58" i="3" s="1"/>
  <c r="DI58" i="3"/>
  <c r="DG58" i="3"/>
  <c r="DH58" i="3"/>
  <c r="DF26" i="3"/>
  <c r="DG26" i="3"/>
  <c r="DJ26" i="3" s="1"/>
  <c r="DH26" i="3"/>
  <c r="DI26" i="3"/>
  <c r="AP18" i="1"/>
  <c r="F85" i="1"/>
  <c r="I28" i="6" s="1"/>
  <c r="CZ26" i="1"/>
  <c r="Y26" i="1" s="1"/>
  <c r="T57" i="6" s="1"/>
  <c r="CY26" i="1"/>
  <c r="X26" i="1" s="1"/>
  <c r="R57" i="6" s="1"/>
  <c r="DI50" i="3"/>
  <c r="DF50" i="3"/>
  <c r="DJ50" i="3" s="1"/>
  <c r="DG50" i="3"/>
  <c r="CY30" i="1"/>
  <c r="X30" i="1" s="1"/>
  <c r="R67" i="6" s="1"/>
  <c r="J68" i="6"/>
  <c r="CZ30" i="1"/>
  <c r="Y30" i="1" s="1"/>
  <c r="T67" i="6" s="1"/>
  <c r="DF18" i="3"/>
  <c r="DJ18" i="3" s="1"/>
  <c r="DG18" i="3"/>
  <c r="DH18" i="3"/>
  <c r="DI18" i="3"/>
  <c r="DF13" i="3"/>
  <c r="DJ13" i="3" s="1"/>
  <c r="DG13" i="3"/>
  <c r="DH13" i="3"/>
  <c r="DI13" i="3"/>
  <c r="DH12" i="3"/>
  <c r="DF12" i="3"/>
  <c r="DJ12" i="3" s="1"/>
  <c r="DG12" i="3"/>
  <c r="DF6" i="3"/>
  <c r="DJ6" i="3" s="1"/>
  <c r="DG6" i="3"/>
  <c r="DH6" i="3"/>
  <c r="DI6" i="3"/>
  <c r="DF14" i="3"/>
  <c r="DJ14" i="3" s="1"/>
  <c r="DG14" i="3"/>
  <c r="DH14" i="3"/>
  <c r="DI14" i="3"/>
  <c r="V39" i="1"/>
  <c r="CT43" i="1"/>
  <c r="Q127" i="6"/>
  <c r="S127" i="6"/>
  <c r="GX38" i="1"/>
  <c r="CX45" i="3"/>
  <c r="DH45" i="3" s="1"/>
  <c r="CW35" i="3"/>
  <c r="BC46" i="1"/>
  <c r="F62" i="1" s="1"/>
  <c r="U131" i="6"/>
  <c r="V131" i="6"/>
  <c r="AD43" i="1"/>
  <c r="AB43" i="1" s="1"/>
  <c r="U127" i="6"/>
  <c r="V127" i="6"/>
  <c r="T33" i="1"/>
  <c r="U31" i="1"/>
  <c r="U28" i="1"/>
  <c r="CT26" i="1"/>
  <c r="CQ25" i="1"/>
  <c r="CX30" i="3"/>
  <c r="DF30" i="3" s="1"/>
  <c r="DJ30" i="3" s="1"/>
  <c r="GX39" i="1"/>
  <c r="E102" i="6"/>
  <c r="CX35" i="3"/>
  <c r="P40" i="1"/>
  <c r="E109" i="6"/>
  <c r="C110" i="6"/>
  <c r="V29" i="1"/>
  <c r="T31" i="1"/>
  <c r="CX39" i="3"/>
  <c r="CX36" i="3"/>
  <c r="DI36" i="3" s="1"/>
  <c r="Q100" i="6"/>
  <c r="U32" i="1"/>
  <c r="CW27" i="3"/>
  <c r="C81" i="6"/>
  <c r="E80" i="6"/>
  <c r="W40" i="1"/>
  <c r="T39" i="1"/>
  <c r="I37" i="1"/>
  <c r="V37" i="1" s="1"/>
  <c r="U93" i="6"/>
  <c r="V93" i="6"/>
  <c r="I34" i="1"/>
  <c r="GX34" i="1" s="1"/>
  <c r="V33" i="1"/>
  <c r="S72" i="6"/>
  <c r="Q72" i="6"/>
  <c r="P30" i="1"/>
  <c r="J71" i="6" s="1"/>
  <c r="S59" i="6"/>
  <c r="Q59" i="6"/>
  <c r="DG44" i="3"/>
  <c r="CX28" i="3"/>
  <c r="DF28" i="3" s="1"/>
  <c r="DJ28" i="3" s="1"/>
  <c r="I133" i="6"/>
  <c r="K133" i="6" s="1"/>
  <c r="Q32" i="1"/>
  <c r="E73" i="6"/>
  <c r="CW38" i="3"/>
  <c r="BD46" i="1"/>
  <c r="S131" i="6"/>
  <c r="Q131" i="6"/>
  <c r="W39" i="1"/>
  <c r="J85" i="6"/>
  <c r="V31" i="1"/>
  <c r="CW53" i="3"/>
  <c r="U39" i="1"/>
  <c r="S93" i="6"/>
  <c r="Q93" i="6"/>
  <c r="F50" i="1"/>
  <c r="CT44" i="1"/>
  <c r="S42" i="1"/>
  <c r="Q121" i="6"/>
  <c r="S121" i="6"/>
  <c r="U114" i="6"/>
  <c r="V40" i="1"/>
  <c r="CT39" i="1"/>
  <c r="S102" i="6"/>
  <c r="Q102" i="6"/>
  <c r="GX33" i="1"/>
  <c r="AD31" i="1"/>
  <c r="AB31" i="1" s="1"/>
  <c r="V72" i="6"/>
  <c r="U72" i="6"/>
  <c r="V59" i="6"/>
  <c r="U59" i="6"/>
  <c r="DF44" i="3"/>
  <c r="DJ44" i="3" s="1"/>
  <c r="CX40" i="3"/>
  <c r="DF40" i="3" s="1"/>
  <c r="DJ40" i="3" s="1"/>
  <c r="DI32" i="3"/>
  <c r="W31" i="1"/>
  <c r="S44" i="1"/>
  <c r="CY44" i="1" s="1"/>
  <c r="X44" i="1" s="1"/>
  <c r="R131" i="6" s="1"/>
  <c r="U121" i="6"/>
  <c r="V121" i="6"/>
  <c r="J124" i="6" s="1"/>
  <c r="P125" i="6" s="1"/>
  <c r="AD41" i="1"/>
  <c r="U40" i="1"/>
  <c r="K118" i="6" s="1"/>
  <c r="V102" i="6"/>
  <c r="U102" i="6"/>
  <c r="Q101" i="6"/>
  <c r="S101" i="6"/>
  <c r="T35" i="1"/>
  <c r="P35" i="1"/>
  <c r="J98" i="6" s="1"/>
  <c r="GX32" i="1"/>
  <c r="S24" i="1"/>
  <c r="J43" i="6" s="1"/>
  <c r="Q42" i="6"/>
  <c r="S42" i="6"/>
  <c r="I129" i="6"/>
  <c r="K129" i="6" s="1"/>
  <c r="CT30" i="1"/>
  <c r="Q67" i="6"/>
  <c r="S67" i="6"/>
  <c r="T29" i="1"/>
  <c r="E60" i="6"/>
  <c r="S43" i="1"/>
  <c r="T40" i="1"/>
  <c r="W38" i="1"/>
  <c r="V101" i="6"/>
  <c r="U101" i="6"/>
  <c r="CT35" i="1"/>
  <c r="Q86" i="6"/>
  <c r="S86" i="6"/>
  <c r="S33" i="1"/>
  <c r="Q80" i="6"/>
  <c r="S80" i="6"/>
  <c r="S31" i="1"/>
  <c r="CY31" i="1" s="1"/>
  <c r="X31" i="1" s="1"/>
  <c r="S27" i="1"/>
  <c r="CZ27" i="1" s="1"/>
  <c r="Y27" i="1" s="1"/>
  <c r="T58" i="6" s="1"/>
  <c r="Q58" i="6"/>
  <c r="S58" i="6"/>
  <c r="CT25" i="1"/>
  <c r="Q52" i="6"/>
  <c r="S52" i="6"/>
  <c r="R24" i="1"/>
  <c r="V42" i="6"/>
  <c r="J48" i="6" s="1"/>
  <c r="U42" i="6"/>
  <c r="CW54" i="3"/>
  <c r="CX31" i="3"/>
  <c r="CW25" i="3"/>
  <c r="GX40" i="1"/>
  <c r="CT40" i="1"/>
  <c r="S109" i="6"/>
  <c r="Q109" i="6"/>
  <c r="S39" i="1"/>
  <c r="P38" i="1"/>
  <c r="U99" i="6"/>
  <c r="S35" i="1"/>
  <c r="U86" i="6"/>
  <c r="V86" i="6"/>
  <c r="CR33" i="1"/>
  <c r="U80" i="6"/>
  <c r="V80" i="6"/>
  <c r="Q73" i="6"/>
  <c r="S73" i="6"/>
  <c r="R31" i="1"/>
  <c r="GK31" i="1" s="1"/>
  <c r="S60" i="6"/>
  <c r="Q60" i="6"/>
  <c r="R28" i="1"/>
  <c r="GK28" i="1" s="1"/>
  <c r="E59" i="6"/>
  <c r="CR27" i="1"/>
  <c r="V58" i="6"/>
  <c r="U58" i="6"/>
  <c r="V52" i="6"/>
  <c r="U52" i="6"/>
  <c r="CK22" i="1"/>
  <c r="CX25" i="3"/>
  <c r="CX9" i="3"/>
  <c r="G18" i="1"/>
  <c r="A136" i="6"/>
  <c r="Q38" i="1"/>
  <c r="CP38" i="1" s="1"/>
  <c r="O38" i="1" s="1"/>
  <c r="J101" i="6" s="1"/>
  <c r="E101" i="6"/>
  <c r="CU33" i="3"/>
  <c r="E93" i="6"/>
  <c r="C94" i="6"/>
  <c r="U67" i="6"/>
  <c r="V67" i="6"/>
  <c r="U109" i="6"/>
  <c r="V109" i="6"/>
  <c r="R39" i="1"/>
  <c r="GK39" i="1" s="1"/>
  <c r="U38" i="1"/>
  <c r="R35" i="1"/>
  <c r="AD34" i="1"/>
  <c r="AB34" i="1" s="1"/>
  <c r="GK33" i="1"/>
  <c r="AD33" i="1"/>
  <c r="U73" i="6"/>
  <c r="V73" i="6"/>
  <c r="Q31" i="1"/>
  <c r="U60" i="6"/>
  <c r="V60" i="6"/>
  <c r="AD27" i="1"/>
  <c r="S57" i="6"/>
  <c r="Q57" i="6"/>
  <c r="BX22" i="1"/>
  <c r="CX47" i="3"/>
  <c r="DH47" i="3" s="1"/>
  <c r="CX20" i="3"/>
  <c r="P42" i="1"/>
  <c r="CS41" i="1"/>
  <c r="AD40" i="1"/>
  <c r="AB40" i="1" s="1"/>
  <c r="Q39" i="1"/>
  <c r="CP39" i="1" s="1"/>
  <c r="O39" i="1" s="1"/>
  <c r="S38" i="1"/>
  <c r="CY38" i="1" s="1"/>
  <c r="X38" i="1" s="1"/>
  <c r="R101" i="6" s="1"/>
  <c r="I36" i="1"/>
  <c r="V99" i="6" s="1"/>
  <c r="Q35" i="1"/>
  <c r="J96" i="6" s="1"/>
  <c r="T34" i="1"/>
  <c r="CR31" i="1"/>
  <c r="P31" i="1"/>
  <c r="CP31" i="1" s="1"/>
  <c r="O31" i="1" s="1"/>
  <c r="J72" i="6" s="1"/>
  <c r="Q26" i="1"/>
  <c r="V57" i="6"/>
  <c r="U57" i="6"/>
  <c r="CZ25" i="1"/>
  <c r="Y25" i="1" s="1"/>
  <c r="T52" i="6" s="1"/>
  <c r="Q24" i="1"/>
  <c r="J44" i="6" s="1"/>
  <c r="CW26" i="3"/>
  <c r="CX19" i="3"/>
  <c r="DF22" i="3"/>
  <c r="DJ22" i="3" s="1"/>
  <c r="DG22" i="3"/>
  <c r="DH22" i="3"/>
  <c r="DI22" i="3"/>
  <c r="DF15" i="3"/>
  <c r="DJ15" i="3" s="1"/>
  <c r="DH15" i="3"/>
  <c r="DI15" i="3"/>
  <c r="DG15" i="3"/>
  <c r="F64" i="1"/>
  <c r="F16" i="2" s="1"/>
  <c r="F18" i="2" s="1"/>
  <c r="AT76" i="1"/>
  <c r="AT22" i="1"/>
  <c r="AQ76" i="1"/>
  <c r="AQ22" i="1"/>
  <c r="F56" i="1"/>
  <c r="R40" i="1"/>
  <c r="R29" i="1"/>
  <c r="GK29" i="1" s="1"/>
  <c r="CS29" i="1"/>
  <c r="CX54" i="3"/>
  <c r="DH50" i="3"/>
  <c r="DG49" i="3"/>
  <c r="DH49" i="3"/>
  <c r="DI49" i="3"/>
  <c r="W32" i="1"/>
  <c r="AD29" i="1"/>
  <c r="DF35" i="3"/>
  <c r="DH35" i="3"/>
  <c r="DI35" i="3"/>
  <c r="CV1" i="3"/>
  <c r="CX1" i="3"/>
  <c r="P29" i="1"/>
  <c r="AB29" i="1"/>
  <c r="DF47" i="3"/>
  <c r="DJ47" i="3" s="1"/>
  <c r="DG42" i="3"/>
  <c r="DF42" i="3"/>
  <c r="DJ42" i="3" s="1"/>
  <c r="DI42" i="3"/>
  <c r="CV24" i="3"/>
  <c r="CX24" i="3"/>
  <c r="DF9" i="3"/>
  <c r="DH9" i="3"/>
  <c r="DI9" i="3"/>
  <c r="CP42" i="1"/>
  <c r="O42" i="1" s="1"/>
  <c r="P28" i="1"/>
  <c r="Q28" i="1"/>
  <c r="AP22" i="1"/>
  <c r="CU52" i="3"/>
  <c r="I41" i="1"/>
  <c r="E114" i="6" s="1"/>
  <c r="Q40" i="1"/>
  <c r="CX55" i="3"/>
  <c r="CR30" i="1"/>
  <c r="CS30" i="1"/>
  <c r="AD30" i="1"/>
  <c r="AB30" i="1" s="1"/>
  <c r="AO22" i="1"/>
  <c r="AO18" i="1"/>
  <c r="CV52" i="3"/>
  <c r="CX52" i="3"/>
  <c r="DF29" i="3"/>
  <c r="DJ29" i="3" s="1"/>
  <c r="DH29" i="3"/>
  <c r="DG29" i="3"/>
  <c r="AD37" i="1"/>
  <c r="AB37" i="1" s="1"/>
  <c r="P36" i="1"/>
  <c r="W29" i="1"/>
  <c r="P26" i="1"/>
  <c r="CP26" i="1" s="1"/>
  <c r="O26" i="1" s="1"/>
  <c r="CQ26" i="1"/>
  <c r="CG46" i="1"/>
  <c r="BZ22" i="1"/>
  <c r="Q29" i="1"/>
  <c r="CY24" i="1"/>
  <c r="X24" i="1" s="1"/>
  <c r="R42" i="6" s="1"/>
  <c r="J46" i="6" s="1"/>
  <c r="CZ24" i="1"/>
  <c r="Y24" i="1" s="1"/>
  <c r="T42" i="6" s="1"/>
  <c r="J47" i="6" s="1"/>
  <c r="DG38" i="3"/>
  <c r="DJ38" i="3" s="1"/>
  <c r="DH38" i="3"/>
  <c r="DI38" i="3"/>
  <c r="DH36" i="3"/>
  <c r="DF36" i="3"/>
  <c r="DG36" i="3"/>
  <c r="DJ36" i="3" s="1"/>
  <c r="CC22" i="1"/>
  <c r="DF2" i="3"/>
  <c r="DH2" i="3"/>
  <c r="DI2" i="3"/>
  <c r="T36" i="1"/>
  <c r="CQ24" i="1"/>
  <c r="DI48" i="3"/>
  <c r="DF48" i="3"/>
  <c r="DJ48" i="3" s="1"/>
  <c r="DG48" i="3"/>
  <c r="DH48" i="3"/>
  <c r="DG21" i="3"/>
  <c r="DH21" i="3"/>
  <c r="DI21" i="3"/>
  <c r="DF10" i="3"/>
  <c r="DG10" i="3"/>
  <c r="DJ10" i="3" s="1"/>
  <c r="DH10" i="3"/>
  <c r="CI46" i="1"/>
  <c r="BD76" i="1"/>
  <c r="BD22" i="1"/>
  <c r="T32" i="1"/>
  <c r="R30" i="1"/>
  <c r="CR29" i="1"/>
  <c r="S28" i="1"/>
  <c r="BY22" i="1"/>
  <c r="DF23" i="3"/>
  <c r="DJ23" i="3" s="1"/>
  <c r="DG23" i="3"/>
  <c r="DH23" i="3"/>
  <c r="DI23" i="3"/>
  <c r="F55" i="1"/>
  <c r="G16" i="2" s="1"/>
  <c r="G18" i="2" s="1"/>
  <c r="CR39" i="1"/>
  <c r="CS39" i="1"/>
  <c r="R38" i="1"/>
  <c r="GK38" i="1" s="1"/>
  <c r="CR38" i="1"/>
  <c r="S32" i="1"/>
  <c r="CT32" i="1"/>
  <c r="Q30" i="1"/>
  <c r="CQ29" i="1"/>
  <c r="DF49" i="3"/>
  <c r="DJ49" i="3" s="1"/>
  <c r="AD39" i="1"/>
  <c r="AB39" i="1" s="1"/>
  <c r="CZ38" i="1"/>
  <c r="Y38" i="1" s="1"/>
  <c r="AD38" i="1"/>
  <c r="AB38" i="1" s="1"/>
  <c r="R32" i="1"/>
  <c r="GK32" i="1" s="1"/>
  <c r="CP27" i="1"/>
  <c r="O27" i="1" s="1"/>
  <c r="J58" i="6" s="1"/>
  <c r="CX53" i="3"/>
  <c r="DF41" i="3"/>
  <c r="DJ41" i="3" s="1"/>
  <c r="DG41" i="3"/>
  <c r="DI41" i="3"/>
  <c r="DG35" i="3"/>
  <c r="DJ35" i="3" s="1"/>
  <c r="CW34" i="3"/>
  <c r="CX34" i="3"/>
  <c r="F89" i="1"/>
  <c r="F71" i="1"/>
  <c r="CP44" i="1"/>
  <c r="O44" i="1" s="1"/>
  <c r="CT37" i="1"/>
  <c r="U36" i="1"/>
  <c r="AD32" i="1"/>
  <c r="AB32" i="1" s="1"/>
  <c r="AB28" i="1"/>
  <c r="CY27" i="1"/>
  <c r="X27" i="1" s="1"/>
  <c r="R58" i="6" s="1"/>
  <c r="P24" i="1"/>
  <c r="DI57" i="3"/>
  <c r="DH42" i="3"/>
  <c r="DG9" i="3"/>
  <c r="DJ9" i="3" s="1"/>
  <c r="CV8" i="3"/>
  <c r="CX8" i="3"/>
  <c r="AB44" i="1"/>
  <c r="R42" i="1"/>
  <c r="CR42" i="1"/>
  <c r="CS42" i="1"/>
  <c r="AD42" i="1"/>
  <c r="AB42" i="1" s="1"/>
  <c r="CS37" i="1"/>
  <c r="P32" i="1"/>
  <c r="CP32" i="1" s="1"/>
  <c r="O32" i="1" s="1"/>
  <c r="J73" i="6" s="1"/>
  <c r="Q25" i="1"/>
  <c r="J54" i="6" s="1"/>
  <c r="R25" i="1"/>
  <c r="J55" i="6" s="1"/>
  <c r="DH57" i="3"/>
  <c r="DF32" i="3"/>
  <c r="DJ32" i="3" s="1"/>
  <c r="DG32" i="3"/>
  <c r="DI16" i="3"/>
  <c r="DF16" i="3"/>
  <c r="DJ16" i="3" s="1"/>
  <c r="DG16" i="3"/>
  <c r="DH16" i="3"/>
  <c r="DH3" i="3"/>
  <c r="DF3" i="3"/>
  <c r="DG3" i="3"/>
  <c r="DJ3" i="3" s="1"/>
  <c r="CQ41" i="1"/>
  <c r="CR37" i="1"/>
  <c r="GX36" i="1"/>
  <c r="S36" i="1"/>
  <c r="S34" i="1"/>
  <c r="GX29" i="1"/>
  <c r="AD25" i="1"/>
  <c r="AB25" i="1" s="1"/>
  <c r="DG57" i="3"/>
  <c r="DI40" i="3"/>
  <c r="BB22" i="1"/>
  <c r="F59" i="1"/>
  <c r="AB41" i="1"/>
  <c r="S40" i="1"/>
  <c r="J111" i="6" s="1"/>
  <c r="R36" i="1"/>
  <c r="GK36" i="1" s="1"/>
  <c r="AB35" i="1"/>
  <c r="V32" i="1"/>
  <c r="S29" i="1"/>
  <c r="CT29" i="1"/>
  <c r="DH40" i="3"/>
  <c r="CW37" i="3"/>
  <c r="CX37" i="3"/>
  <c r="DI29" i="3"/>
  <c r="CX11" i="3"/>
  <c r="CX4" i="3"/>
  <c r="AD36" i="1"/>
  <c r="AB36" i="1" s="1"/>
  <c r="AD24" i="1"/>
  <c r="AB24" i="1" s="1"/>
  <c r="AB33" i="1"/>
  <c r="AB27" i="1"/>
  <c r="CU24" i="3"/>
  <c r="CS36" i="1"/>
  <c r="CT33" i="1"/>
  <c r="CQ32" i="1"/>
  <c r="CT27" i="1"/>
  <c r="CS24" i="1"/>
  <c r="DI43" i="3"/>
  <c r="CR36" i="1"/>
  <c r="CS33" i="1"/>
  <c r="CS27" i="1"/>
  <c r="CR24" i="1"/>
  <c r="CX51" i="3"/>
  <c r="DH43" i="3"/>
  <c r="CX33" i="3"/>
  <c r="CX27" i="3"/>
  <c r="CX46" i="3"/>
  <c r="DG43" i="3"/>
  <c r="CV33" i="3"/>
  <c r="DI17" i="3"/>
  <c r="CZ44" i="1"/>
  <c r="Y44" i="1" s="1"/>
  <c r="T131" i="6" s="1"/>
  <c r="DI56" i="3"/>
  <c r="DI44" i="3"/>
  <c r="DH17" i="3"/>
  <c r="DI12" i="3"/>
  <c r="DI5" i="3"/>
  <c r="I125" i="6" l="1"/>
  <c r="K125" i="6" s="1"/>
  <c r="J89" i="6"/>
  <c r="J102" i="6"/>
  <c r="R72" i="6"/>
  <c r="CY43" i="1"/>
  <c r="X43" i="1" s="1"/>
  <c r="R127" i="6" s="1"/>
  <c r="CZ43" i="1"/>
  <c r="Y43" i="1" s="1"/>
  <c r="T127" i="6" s="1"/>
  <c r="DI45" i="3"/>
  <c r="CZ33" i="1"/>
  <c r="Y33" i="1" s="1"/>
  <c r="T80" i="6" s="1"/>
  <c r="J88" i="6" s="1"/>
  <c r="J82" i="6"/>
  <c r="CY33" i="1"/>
  <c r="X33" i="1" s="1"/>
  <c r="R80" i="6" s="1"/>
  <c r="V114" i="6"/>
  <c r="J117" i="6" s="1"/>
  <c r="CP33" i="1"/>
  <c r="O33" i="1" s="1"/>
  <c r="Q114" i="6"/>
  <c r="P37" i="1"/>
  <c r="E100" i="6"/>
  <c r="W37" i="1"/>
  <c r="CP30" i="1"/>
  <c r="O30" i="1" s="1"/>
  <c r="GM30" i="1" s="1"/>
  <c r="GN30" i="1" s="1"/>
  <c r="J69" i="6"/>
  <c r="CY35" i="1"/>
  <c r="X35" i="1" s="1"/>
  <c r="R93" i="6" s="1"/>
  <c r="J95" i="6"/>
  <c r="CZ31" i="1"/>
  <c r="Y31" i="1" s="1"/>
  <c r="T72" i="6" s="1"/>
  <c r="DI28" i="3"/>
  <c r="Q37" i="1"/>
  <c r="GK30" i="1"/>
  <c r="J70" i="6"/>
  <c r="R37" i="1"/>
  <c r="GK37" i="1" s="1"/>
  <c r="S114" i="6"/>
  <c r="DI39" i="3"/>
  <c r="DF39" i="3"/>
  <c r="DG39" i="3"/>
  <c r="DJ39" i="3" s="1"/>
  <c r="DH39" i="3"/>
  <c r="GM26" i="1"/>
  <c r="GN26" i="1" s="1"/>
  <c r="J57" i="6"/>
  <c r="DH28" i="3"/>
  <c r="DF19" i="3"/>
  <c r="DG19" i="3"/>
  <c r="DH19" i="3"/>
  <c r="DI19" i="3"/>
  <c r="DJ19" i="3" s="1"/>
  <c r="Q36" i="1"/>
  <c r="E99" i="6"/>
  <c r="CZ39" i="1"/>
  <c r="Y39" i="1" s="1"/>
  <c r="T102" i="6" s="1"/>
  <c r="CY39" i="1"/>
  <c r="X39" i="1" s="1"/>
  <c r="R102" i="6" s="1"/>
  <c r="GK24" i="1"/>
  <c r="J45" i="6"/>
  <c r="GK35" i="1"/>
  <c r="GM35" i="1" s="1"/>
  <c r="GN35" i="1" s="1"/>
  <c r="J97" i="6"/>
  <c r="CZ35" i="1"/>
  <c r="Y35" i="1" s="1"/>
  <c r="T93" i="6" s="1"/>
  <c r="DG28" i="3"/>
  <c r="GK40" i="1"/>
  <c r="J113" i="6"/>
  <c r="U37" i="1"/>
  <c r="DI25" i="3"/>
  <c r="DG25" i="3"/>
  <c r="DJ25" i="3" s="1"/>
  <c r="DF25" i="3"/>
  <c r="DH25" i="3"/>
  <c r="CY42" i="1"/>
  <c r="X42" i="1" s="1"/>
  <c r="R121" i="6" s="1"/>
  <c r="CZ42" i="1"/>
  <c r="Y42" i="1" s="1"/>
  <c r="T121" i="6" s="1"/>
  <c r="CP40" i="1"/>
  <c r="O40" i="1" s="1"/>
  <c r="J112" i="6"/>
  <c r="Q99" i="6"/>
  <c r="V36" i="1"/>
  <c r="DF20" i="3"/>
  <c r="DG20" i="3"/>
  <c r="DJ20" i="3" s="1"/>
  <c r="DI20" i="3"/>
  <c r="DH20" i="3"/>
  <c r="GX37" i="1"/>
  <c r="J76" i="6"/>
  <c r="S99" i="6"/>
  <c r="S100" i="6"/>
  <c r="CP35" i="1"/>
  <c r="O35" i="1" s="1"/>
  <c r="GM38" i="1"/>
  <c r="GN38" i="1" s="1"/>
  <c r="T101" i="6"/>
  <c r="DH30" i="3"/>
  <c r="DG47" i="3"/>
  <c r="DG30" i="3"/>
  <c r="BC22" i="1"/>
  <c r="DG40" i="3"/>
  <c r="J63" i="6"/>
  <c r="P34" i="1"/>
  <c r="E86" i="6"/>
  <c r="W34" i="1"/>
  <c r="U34" i="1"/>
  <c r="Q34" i="1"/>
  <c r="V34" i="1"/>
  <c r="DI31" i="3"/>
  <c r="DF31" i="3"/>
  <c r="DJ31" i="3" s="1"/>
  <c r="DG31" i="3"/>
  <c r="S37" i="1"/>
  <c r="AF46" i="1" s="1"/>
  <c r="DI30" i="3"/>
  <c r="DI47" i="3"/>
  <c r="W36" i="1"/>
  <c r="I50" i="6"/>
  <c r="K50" i="6" s="1"/>
  <c r="P50" i="6"/>
  <c r="U100" i="6"/>
  <c r="DF45" i="3"/>
  <c r="DJ45" i="3" s="1"/>
  <c r="DG45" i="3"/>
  <c r="BC76" i="1"/>
  <c r="DH31" i="3"/>
  <c r="GK42" i="1"/>
  <c r="J123" i="6"/>
  <c r="T37" i="1"/>
  <c r="V100" i="6"/>
  <c r="J105" i="6" s="1"/>
  <c r="CP43" i="1"/>
  <c r="O43" i="1" s="1"/>
  <c r="GM43" i="1" s="1"/>
  <c r="GP43" i="1" s="1"/>
  <c r="Q41" i="1"/>
  <c r="GX41" i="1"/>
  <c r="R41" i="1"/>
  <c r="GK41" i="1" s="1"/>
  <c r="S41" i="1"/>
  <c r="V41" i="1"/>
  <c r="AI46" i="1" s="1"/>
  <c r="DF37" i="3"/>
  <c r="DG37" i="3"/>
  <c r="DJ37" i="3" s="1"/>
  <c r="DH37" i="3"/>
  <c r="DI37" i="3"/>
  <c r="GM44" i="1"/>
  <c r="GP44" i="1" s="1"/>
  <c r="DF54" i="3"/>
  <c r="DI54" i="3"/>
  <c r="DG54" i="3"/>
  <c r="DJ54" i="3" s="1"/>
  <c r="DH54" i="3"/>
  <c r="CP29" i="1"/>
  <c r="O29" i="1" s="1"/>
  <c r="J60" i="6" s="1"/>
  <c r="CY34" i="1"/>
  <c r="X34" i="1" s="1"/>
  <c r="R86" i="6" s="1"/>
  <c r="CZ34" i="1"/>
  <c r="Y34" i="1" s="1"/>
  <c r="T86" i="6" s="1"/>
  <c r="F92" i="1"/>
  <c r="BC18" i="1"/>
  <c r="T41" i="1"/>
  <c r="AG46" i="1" s="1"/>
  <c r="DF34" i="3"/>
  <c r="DG34" i="3"/>
  <c r="DJ34" i="3" s="1"/>
  <c r="DI34" i="3"/>
  <c r="DH34" i="3"/>
  <c r="CY28" i="1"/>
  <c r="X28" i="1" s="1"/>
  <c r="R59" i="6" s="1"/>
  <c r="CZ28" i="1"/>
  <c r="Y28" i="1" s="1"/>
  <c r="T59" i="6" s="1"/>
  <c r="CP28" i="1"/>
  <c r="O28" i="1" s="1"/>
  <c r="J59" i="6" s="1"/>
  <c r="DF1" i="3"/>
  <c r="DG1" i="3"/>
  <c r="DH1" i="3"/>
  <c r="DI1" i="3"/>
  <c r="DJ1" i="3" s="1"/>
  <c r="DF52" i="3"/>
  <c r="DH52" i="3"/>
  <c r="DI52" i="3"/>
  <c r="DJ52" i="3" s="1"/>
  <c r="DG52" i="3"/>
  <c r="W41" i="1"/>
  <c r="AJ46" i="1" s="1"/>
  <c r="GK25" i="1"/>
  <c r="AE46" i="1"/>
  <c r="CY29" i="1"/>
  <c r="X29" i="1" s="1"/>
  <c r="R60" i="6" s="1"/>
  <c r="CZ29" i="1"/>
  <c r="Y29" i="1" s="1"/>
  <c r="T60" i="6" s="1"/>
  <c r="DF27" i="3"/>
  <c r="DG27" i="3"/>
  <c r="DJ27" i="3" s="1"/>
  <c r="DH27" i="3"/>
  <c r="DI27" i="3"/>
  <c r="P41" i="1"/>
  <c r="CP41" i="1" s="1"/>
  <c r="O41" i="1" s="1"/>
  <c r="J114" i="6" s="1"/>
  <c r="AD46" i="1"/>
  <c r="CP34" i="1"/>
  <c r="O34" i="1" s="1"/>
  <c r="AQ18" i="1"/>
  <c r="F86" i="1"/>
  <c r="DF46" i="3"/>
  <c r="DJ46" i="3" s="1"/>
  <c r="DH46" i="3"/>
  <c r="DI46" i="3"/>
  <c r="DG46" i="3"/>
  <c r="CZ32" i="1"/>
  <c r="Y32" i="1" s="1"/>
  <c r="T73" i="6" s="1"/>
  <c r="CY32" i="1"/>
  <c r="X32" i="1" s="1"/>
  <c r="AX46" i="1"/>
  <c r="CG22" i="1"/>
  <c r="DG24" i="3"/>
  <c r="DH24" i="3"/>
  <c r="DI24" i="3"/>
  <c r="DJ24" i="3" s="1"/>
  <c r="DF24" i="3"/>
  <c r="DG33" i="3"/>
  <c r="DH33" i="3"/>
  <c r="DF33" i="3"/>
  <c r="DI33" i="3"/>
  <c r="DJ33" i="3" s="1"/>
  <c r="DG53" i="3"/>
  <c r="DJ53" i="3" s="1"/>
  <c r="DH53" i="3"/>
  <c r="DF53" i="3"/>
  <c r="DI53" i="3"/>
  <c r="F101" i="1"/>
  <c r="BD18" i="1"/>
  <c r="CP24" i="1"/>
  <c r="O24" i="1" s="1"/>
  <c r="GM27" i="1"/>
  <c r="GN27" i="1" s="1"/>
  <c r="AZ46" i="1"/>
  <c r="CI22" i="1"/>
  <c r="F94" i="1"/>
  <c r="I27" i="6" s="1"/>
  <c r="AT18" i="1"/>
  <c r="CP25" i="1"/>
  <c r="O25" i="1" s="1"/>
  <c r="DF8" i="3"/>
  <c r="DG8" i="3"/>
  <c r="DH8" i="3"/>
  <c r="DI8" i="3"/>
  <c r="DJ8" i="3" s="1"/>
  <c r="CD46" i="1"/>
  <c r="DG51" i="3"/>
  <c r="DH51" i="3"/>
  <c r="DF51" i="3"/>
  <c r="DJ51" i="3" s="1"/>
  <c r="DI51" i="3"/>
  <c r="DF11" i="3"/>
  <c r="DG11" i="3"/>
  <c r="DJ11" i="3" s="1"/>
  <c r="DH11" i="3"/>
  <c r="DI11" i="3"/>
  <c r="CP36" i="1"/>
  <c r="O36" i="1" s="1"/>
  <c r="J99" i="6" s="1"/>
  <c r="DF55" i="3"/>
  <c r="DJ55" i="3" s="1"/>
  <c r="DG55" i="3"/>
  <c r="DH55" i="3"/>
  <c r="DI55" i="3"/>
  <c r="U41" i="1"/>
  <c r="AH46" i="1" s="1"/>
  <c r="CY36" i="1"/>
  <c r="X36" i="1" s="1"/>
  <c r="R99" i="6" s="1"/>
  <c r="CZ36" i="1"/>
  <c r="Y36" i="1" s="1"/>
  <c r="T99" i="6" s="1"/>
  <c r="CY40" i="1"/>
  <c r="X40" i="1" s="1"/>
  <c r="CZ40" i="1"/>
  <c r="Y40" i="1" s="1"/>
  <c r="T109" i="6" s="1"/>
  <c r="DF4" i="3"/>
  <c r="DG4" i="3"/>
  <c r="DJ4" i="3" s="1"/>
  <c r="DH4" i="3"/>
  <c r="DI4" i="3"/>
  <c r="J62" i="6" l="1"/>
  <c r="J75" i="6"/>
  <c r="J87" i="6"/>
  <c r="J61" i="6"/>
  <c r="I65" i="6" s="1"/>
  <c r="K65" i="6" s="1"/>
  <c r="P65" i="6"/>
  <c r="CY37" i="1"/>
  <c r="X37" i="1" s="1"/>
  <c r="R100" i="6" s="1"/>
  <c r="J103" i="6" s="1"/>
  <c r="CZ37" i="1"/>
  <c r="Y37" i="1" s="1"/>
  <c r="T100" i="6" s="1"/>
  <c r="J104" i="6" s="1"/>
  <c r="CJ46" i="1"/>
  <c r="BA46" i="1" s="1"/>
  <c r="GM34" i="1"/>
  <c r="GN34" i="1" s="1"/>
  <c r="J86" i="6"/>
  <c r="P91" i="6" s="1"/>
  <c r="GM42" i="1"/>
  <c r="GN42" i="1" s="1"/>
  <c r="GM31" i="1"/>
  <c r="GN31" i="1" s="1"/>
  <c r="GM33" i="1"/>
  <c r="GN33" i="1" s="1"/>
  <c r="GM39" i="1"/>
  <c r="GN39" i="1" s="1"/>
  <c r="GM40" i="1"/>
  <c r="GN40" i="1" s="1"/>
  <c r="R109" i="6"/>
  <c r="GM32" i="1"/>
  <c r="GN32" i="1" s="1"/>
  <c r="R73" i="6"/>
  <c r="J74" i="6" s="1"/>
  <c r="I78" i="6" s="1"/>
  <c r="K78" i="6" s="1"/>
  <c r="CP37" i="1"/>
  <c r="O37" i="1" s="1"/>
  <c r="V46" i="1"/>
  <c r="AI22" i="1"/>
  <c r="U46" i="1"/>
  <c r="AH22" i="1"/>
  <c r="R46" i="1"/>
  <c r="AE22" i="1"/>
  <c r="S46" i="1"/>
  <c r="AF22" i="1"/>
  <c r="AJ22" i="1"/>
  <c r="W46" i="1"/>
  <c r="GM25" i="1"/>
  <c r="GN25" i="1" s="1"/>
  <c r="T46" i="1"/>
  <c r="AG22" i="1"/>
  <c r="CZ41" i="1"/>
  <c r="Y41" i="1" s="1"/>
  <c r="CY41" i="1"/>
  <c r="X41" i="1" s="1"/>
  <c r="Q46" i="1"/>
  <c r="AD22" i="1"/>
  <c r="GM41" i="1"/>
  <c r="GN41" i="1" s="1"/>
  <c r="AZ22" i="1"/>
  <c r="F57" i="1"/>
  <c r="AZ76" i="1"/>
  <c r="GM36" i="1"/>
  <c r="GN36" i="1" s="1"/>
  <c r="AC46" i="1"/>
  <c r="GM29" i="1"/>
  <c r="GN29" i="1" s="1"/>
  <c r="AU46" i="1"/>
  <c r="CD22" i="1"/>
  <c r="GM24" i="1"/>
  <c r="AX22" i="1"/>
  <c r="F53" i="1"/>
  <c r="AX76" i="1"/>
  <c r="GM28" i="1"/>
  <c r="GN28" i="1" s="1"/>
  <c r="I91" i="6" l="1"/>
  <c r="K91" i="6" s="1"/>
  <c r="P78" i="6"/>
  <c r="AK46" i="1"/>
  <c r="AK22" i="1" s="1"/>
  <c r="R114" i="6"/>
  <c r="J115" i="6" s="1"/>
  <c r="AL46" i="1"/>
  <c r="AL22" i="1" s="1"/>
  <c r="T114" i="6"/>
  <c r="J116" i="6" s="1"/>
  <c r="CJ22" i="1"/>
  <c r="GM37" i="1"/>
  <c r="GN37" i="1" s="1"/>
  <c r="J100" i="6"/>
  <c r="I107" i="6" s="1"/>
  <c r="K107" i="6" s="1"/>
  <c r="AB46" i="1"/>
  <c r="O46" i="1" s="1"/>
  <c r="CH46" i="1"/>
  <c r="P46" i="1"/>
  <c r="AC22" i="1"/>
  <c r="CE46" i="1"/>
  <c r="CF46" i="1"/>
  <c r="GN24" i="1"/>
  <c r="CB46" i="1" s="1"/>
  <c r="W22" i="1"/>
  <c r="F70" i="1"/>
  <c r="W76" i="1"/>
  <c r="F61" i="1"/>
  <c r="S22" i="1"/>
  <c r="S76" i="1"/>
  <c r="F60" i="1"/>
  <c r="R76" i="1"/>
  <c r="R22" i="1"/>
  <c r="BA22" i="1"/>
  <c r="BA76" i="1"/>
  <c r="F66" i="1"/>
  <c r="F87" i="1"/>
  <c r="AZ18" i="1"/>
  <c r="F58" i="1"/>
  <c r="Q76" i="1"/>
  <c r="Q22" i="1"/>
  <c r="AU22" i="1"/>
  <c r="AU76" i="1"/>
  <c r="F65" i="1"/>
  <c r="U22" i="1"/>
  <c r="F68" i="1"/>
  <c r="U76" i="1"/>
  <c r="AX18" i="1"/>
  <c r="F83" i="1"/>
  <c r="V22" i="1"/>
  <c r="V76" i="1"/>
  <c r="F69" i="1"/>
  <c r="T22" i="1"/>
  <c r="T76" i="1"/>
  <c r="F67" i="1"/>
  <c r="P119" i="6" l="1"/>
  <c r="I119" i="6"/>
  <c r="K119" i="6" s="1"/>
  <c r="AB22" i="1"/>
  <c r="X46" i="1"/>
  <c r="Y46" i="1"/>
  <c r="P107" i="6"/>
  <c r="I136" i="6" s="1"/>
  <c r="CA46" i="1"/>
  <c r="CA22" i="1" s="1"/>
  <c r="F88" i="1"/>
  <c r="Q18" i="1"/>
  <c r="F95" i="1"/>
  <c r="I29" i="6" s="1"/>
  <c r="AU18" i="1"/>
  <c r="F48" i="1"/>
  <c r="O76" i="1"/>
  <c r="O22" i="1"/>
  <c r="F97" i="1"/>
  <c r="T18" i="1"/>
  <c r="F96" i="1"/>
  <c r="BA18" i="1"/>
  <c r="X76" i="1"/>
  <c r="X22" i="1"/>
  <c r="F72" i="1"/>
  <c r="CF22" i="1"/>
  <c r="AW46" i="1"/>
  <c r="P76" i="1"/>
  <c r="F49" i="1"/>
  <c r="P22" i="1"/>
  <c r="S18" i="1"/>
  <c r="F91" i="1"/>
  <c r="I30" i="6" s="1"/>
  <c r="AS46" i="1"/>
  <c r="CB22" i="1"/>
  <c r="AY46" i="1"/>
  <c r="CH22" i="1"/>
  <c r="R18" i="1"/>
  <c r="F90" i="1"/>
  <c r="U18" i="1"/>
  <c r="F98" i="1"/>
  <c r="I31" i="6" s="1"/>
  <c r="F73" i="1"/>
  <c r="Y76" i="1"/>
  <c r="Y22" i="1"/>
  <c r="F100" i="1"/>
  <c r="W18" i="1"/>
  <c r="AV46" i="1"/>
  <c r="CE22" i="1"/>
  <c r="F99" i="1"/>
  <c r="V18" i="1"/>
  <c r="H16" i="2"/>
  <c r="H18" i="2" s="1"/>
  <c r="J16" i="2"/>
  <c r="J18" i="2" s="1"/>
  <c r="AR46" i="1" l="1"/>
  <c r="F102" i="1"/>
  <c r="X18" i="1"/>
  <c r="AY22" i="1"/>
  <c r="AY76" i="1"/>
  <c r="F54" i="1"/>
  <c r="F51" i="1"/>
  <c r="AV76" i="1"/>
  <c r="AV22" i="1"/>
  <c r="AS76" i="1"/>
  <c r="F63" i="1"/>
  <c r="E16" i="2" s="1"/>
  <c r="AS22" i="1"/>
  <c r="F78" i="1"/>
  <c r="O18" i="1"/>
  <c r="F79" i="1"/>
  <c r="P18" i="1"/>
  <c r="F74" i="1"/>
  <c r="AR22" i="1"/>
  <c r="AR76" i="1"/>
  <c r="F52" i="1"/>
  <c r="AW76" i="1"/>
  <c r="AW22" i="1"/>
  <c r="Y18" i="1"/>
  <c r="F103" i="1"/>
  <c r="I16" i="2" l="1"/>
  <c r="I18" i="2" s="1"/>
  <c r="E18" i="2"/>
  <c r="F93" i="1"/>
  <c r="I26" i="6" s="1"/>
  <c r="I25" i="6" s="1"/>
  <c r="AS18" i="1"/>
  <c r="AY18" i="1"/>
  <c r="F84" i="1"/>
  <c r="AR18" i="1"/>
  <c r="F104" i="1"/>
  <c r="F105" i="1" s="1"/>
  <c r="F81" i="1"/>
  <c r="AV18" i="1"/>
  <c r="F82" i="1"/>
  <c r="AW18" i="1"/>
  <c r="F106" i="1" l="1"/>
  <c r="I140" i="6" s="1"/>
  <c r="I139" i="6"/>
</calcChain>
</file>

<file path=xl/sharedStrings.xml><?xml version="1.0" encoding="utf-8"?>
<sst xmlns="http://schemas.openxmlformats.org/spreadsheetml/2006/main" count="2589" uniqueCount="335">
  <si>
    <t>Smeta.RU Flash  (495) 974-1589</t>
  </si>
  <si>
    <t>_PS_</t>
  </si>
  <si>
    <t>Smeta.RU Flash</t>
  </si>
  <si>
    <t>4/4</t>
  </si>
  <si>
    <t>Окна и балконы</t>
  </si>
  <si>
    <t/>
  </si>
  <si>
    <t>Сметные нормы списания</t>
  </si>
  <si>
    <t>Коды ОКП для ТСН-2001 МГЭ Дополнение 73</t>
  </si>
  <si>
    <t>ТСН-2001 (МГЭ) Доп 73 - Ремонт</t>
  </si>
  <si>
    <t>Типовой расчет для ТСН-2001 МГЭ, Новая методика с выпуска доп. 43 (Ремонт), Доп 73</t>
  </si>
  <si>
    <t>Территориальные сметные нормативы для Москвы ТСН-2001 (МГЭ), дополнение 73</t>
  </si>
  <si>
    <t>Поправки для ТСН-2001 от 08.08.2024 г. доп.73</t>
  </si>
  <si>
    <t>Территориальные сметные нормативы для Москвы (ТСН-2001)</t>
  </si>
  <si>
    <t>ТЕР</t>
  </si>
  <si>
    <t>Новая локальная смета</t>
  </si>
  <si>
    <t>1</t>
  </si>
  <si>
    <t>3.10-84-5</t>
  </si>
  <si>
    <t>Установка в жилых и общественных зданиях оконных блоков из ПВХ-профилей, поворотные (откидные, поворотно-откидные) двух- и трехстворчатые площадью проема до 2 м2</t>
  </si>
  <si>
    <t>100 м2</t>
  </si>
  <si>
    <t>ТСН-2001.3 Доп. 68, Сб. 10, т. 84, поз. 5</t>
  </si>
  <si>
    <t>Поправка: Гл.6.Прил.2.2.п.2.2.12_06.00.01.35.002  Наименование: При демонтаже сборных деревянных и пластмассовых конструкций</t>
  </si>
  <si>
    <t>)*0</t>
  </si>
  <si>
    <t>)*0,8</t>
  </si>
  <si>
    <t>Строительные работы</t>
  </si>
  <si>
    <t>ТСН-2001.3-10. 10-83…10-85 (доп. 4)</t>
  </si>
  <si>
    <t>ТСН-2001.3-10-8</t>
  </si>
  <si>
    <t>Поправка: Гл.6.Прил.2.2.п.2.2.12_06.00.01.35.002</t>
  </si>
  <si>
    <t>2</t>
  </si>
  <si>
    <t>Поправка: О.П. п.3.4. 6  Наименование: Выполняемые при ремонте и реконструкции работы аналогичные технологическим процессам, характерным для нового строительства и отсутствующим в сборниках на ремонтно-строительные работы</t>
  </si>
  <si>
    <t>)*1,25</t>
  </si>
  <si>
    <t>)*1,15</t>
  </si>
  <si>
    <t>Поправка: О.П. п.3.4. 6</t>
  </si>
  <si>
    <t>2,1</t>
  </si>
  <si>
    <t>1.1-1-2981</t>
  </si>
  <si>
    <t>м</t>
  </si>
  <si>
    <t>ТСН-2001.1 Доп. 55, Р. 1, о. 1, поз. 2981</t>
  </si>
  <si>
    <t>2,2</t>
  </si>
  <si>
    <t>1.1-1-2980</t>
  </si>
  <si>
    <t>ТСН-2001.1 Доп. 55, Р. 1, о. 1, поз. 2980</t>
  </si>
  <si>
    <t>2,3</t>
  </si>
  <si>
    <t>Цена поставщика</t>
  </si>
  <si>
    <t>Блоки оконные из ПВХ профилей с ламинацией и газовым наполнителем, сопротивление теплопередаче R=0,85 м2*С/Вт, Ширина непрозрачной части комбинации рама + створка 104 мм.</t>
  </si>
  <si>
    <t>м2</t>
  </si>
  <si>
    <t>[28 800 / 1,2] +  2% Заг.скл</t>
  </si>
  <si>
    <t>0</t>
  </si>
  <si>
    <t>2,4</t>
  </si>
  <si>
    <t>1.1-1-2984</t>
  </si>
  <si>
    <t>Лента предварительносжатая, саморасширяющаяся, уплотнительная, типа ПСУЛ 10/4</t>
  </si>
  <si>
    <t>ТСН-2001.1 Доп. 67, Р. 1, о. 1, поз. 2984</t>
  </si>
  <si>
    <t>3</t>
  </si>
  <si>
    <t>3.10-85-1</t>
  </si>
  <si>
    <t>Установка подоконных досок из ПВХ в каменных стенах толщиной до 0,51 м</t>
  </si>
  <si>
    <t>100 м</t>
  </si>
  <si>
    <t>ТСН-2001.3 Доп. 68, Сб. 10, т. 85, поз. 1</t>
  </si>
  <si>
    <t>)*1</t>
  </si>
  <si>
    <t>Поправка: Гл.6.Прил.2.2.п.2.2.6_06.00.01.07.001</t>
  </si>
  <si>
    <t>3,1</t>
  </si>
  <si>
    <t>Доски подоконные из ПВХ с ламинацией в цвет окна</t>
  </si>
  <si>
    <t>[350 / 1,2] +  2% Заг.скл</t>
  </si>
  <si>
    <t>3,2</t>
  </si>
  <si>
    <t>1.9-12-112</t>
  </si>
  <si>
    <t>Заглушка торцевая двусторонняя к подоконной доске из ПВХ, цвет: белый, мрамор, размеры 40х480 мм</t>
  </si>
  <si>
    <t>шт.</t>
  </si>
  <si>
    <t>ТСН-2001.1 Доп. 67, Р. 9, о. 12, поз. 112</t>
  </si>
  <si>
    <t>4</t>
  </si>
  <si>
    <t>3.9-85-1</t>
  </si>
  <si>
    <t>Установка опорных кронштейнов для крепления витражных блоков ограждения лоджий из алюминиевых профилей</t>
  </si>
  <si>
    <t>100 шт. кронштейнов</t>
  </si>
  <si>
    <t>ТСН-2001.3 Доп. 68, Сб. 9, т. 85, поз. 1</t>
  </si>
  <si>
    <t>ТСН-2001.3-9. 9-85-1...9-85-3 (доп. 58)</t>
  </si>
  <si>
    <t>ТСН-2001.3-9-11</t>
  </si>
  <si>
    <t>4,1</t>
  </si>
  <si>
    <t>1.7-3-24</t>
  </si>
  <si>
    <t>Сверло победитовое, диаметр 10 мм, длина 400 мм</t>
  </si>
  <si>
    <t>ТСН-2001.1. Доп. 1-42. Р. 7, о. 3, поз. 24</t>
  </si>
  <si>
    <t>5</t>
  </si>
  <si>
    <t>3.9-85-2</t>
  </si>
  <si>
    <t>Монтаж каркаса витражных блоков ограждения лоджий из алюминиевых профилей</t>
  </si>
  <si>
    <t>ТСН-2001.3 Доп. 68, Сб. 9, т. 85, поз. 2</t>
  </si>
  <si>
    <t>5,1</t>
  </si>
  <si>
    <t>5,2</t>
  </si>
  <si>
    <t>1.7-3-116</t>
  </si>
  <si>
    <t>Сверло спиральное HSS, для сверления алюминия, нержавеющей стали, углеродистой стали и чугуна, диаметр 8 мм, длина 117 мм</t>
  </si>
  <si>
    <t>ТСН-2001.1 Доп. 67, Р. 7, о. 3, поз. 116</t>
  </si>
  <si>
    <t>5,3</t>
  </si>
  <si>
    <t>1.7-3-51</t>
  </si>
  <si>
    <t>Круг (диск) отрезной, для резки металла, диаметр 125 мм</t>
  </si>
  <si>
    <t>ТСН-2001.1 Доп. 67, Р. 7, о. 3, поз. 51</t>
  </si>
  <si>
    <t>5,4</t>
  </si>
  <si>
    <t>1.7-1-21</t>
  </si>
  <si>
    <t>Слив подоконный из оцинкованной стали с полимерно-порошковым покрытием, толщина листа 0,5 мм</t>
  </si>
  <si>
    <t>ТСН-2001.1 Доп. 67, Р. 7, о. 1, поз. 21</t>
  </si>
  <si>
    <t>6</t>
  </si>
  <si>
    <t>3.9-85-3</t>
  </si>
  <si>
    <t>Заполнение каркаса витражных блоков из алюминиевых профилей стеклом толщиной от 3 до 5 мм</t>
  </si>
  <si>
    <t>ТСН-2001.3 Доп. 68, Сб. 9, т. 85, поз. 3</t>
  </si>
  <si>
    <t>6,1</t>
  </si>
  <si>
    <t>Витражи балконные раздвижные с одинарным остеклением из алюминиевых сплавов с нащельниками и сливами</t>
  </si>
  <si>
    <t>[15 000 / 1,2] +  2% Заг.скл</t>
  </si>
  <si>
    <t>7</t>
  </si>
  <si>
    <t>6.68-13-1</t>
  </si>
  <si>
    <t>Механизированная погрузка строительного мусора в автомобили-самосвалы</t>
  </si>
  <si>
    <t>1 Т</t>
  </si>
  <si>
    <t>ТСН-2001.6. Доп. 1-42. Сб. 68, т. 13, поз. 1</t>
  </si>
  <si>
    <t>Ремонтно-строительные работы</t>
  </si>
  <si>
    <t>ТСН-2001.6-68. 68-13</t>
  </si>
  <si>
    <t>ТСН-2001.6-68-5</t>
  </si>
  <si>
    <t>8</t>
  </si>
  <si>
    <t>15.2-42-10</t>
  </si>
  <si>
    <t>Перевозка строительного мусора на расстояние до 42 км автосамосвалами грузоподъемностью до 10 т</t>
  </si>
  <si>
    <t>т</t>
  </si>
  <si>
    <t>ТСН-2001.15 Доп. 68, Сб. 2, т. 42, поз. 10</t>
  </si>
  <si>
    <t>Транспортные затраты</t>
  </si>
  <si>
    <t>ТСН-2001.15-1. Перевозка строительного мусора</t>
  </si>
  <si>
    <t>ТСН-2001.15-1-5</t>
  </si>
  <si>
    <t>9</t>
  </si>
  <si>
    <t>15.1-1500-01</t>
  </si>
  <si>
    <t>Отходы (мусор) от строительных и ремонтных работ малоопасные</t>
  </si>
  <si>
    <t>ТСН-2001.15 Доп. 56, Сб. 1, т. 1500, поз. 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</si>
  <si>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</si>
  <si>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</si>
  <si>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</si>
  <si>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</si>
  <si>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</si>
  <si>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</si>
  <si>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</si>
  <si>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</si>
  <si>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</si>
  <si>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</si>
  <si>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</si>
  <si>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</si>
  <si>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</si>
  <si>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</si>
  <si>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</si>
  <si>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</si>
  <si>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</si>
  <si>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</si>
  <si>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</si>
  <si>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</si>
  <si>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</si>
  <si>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</si>
  <si>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</si>
  <si>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</si>
  <si>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</si>
  <si>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</si>
  <si>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</si>
  <si>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</si>
  <si>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</si>
  <si>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</si>
  <si>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</si>
  <si>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</si>
  <si>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</si>
  <si>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</si>
  <si>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</si>
  <si>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</si>
  <si>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</si>
  <si>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</si>
  <si>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</si>
  <si>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</si>
  <si>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</si>
  <si>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</si>
  <si>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</si>
  <si>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</si>
  <si>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</si>
  <si>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</si>
  <si>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</si>
  <si>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</si>
  <si>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</si>
  <si>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</si>
  <si>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</si>
  <si>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</si>
  <si>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</si>
  <si>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</si>
  <si>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НДС</t>
  </si>
  <si>
    <t>НДС 20%</t>
  </si>
  <si>
    <t>Итого</t>
  </si>
  <si>
    <t>Итого по локальной смете с НДС:</t>
  </si>
  <si>
    <t>Переменная</t>
  </si>
  <si>
    <t>Новая переменная</t>
  </si>
  <si>
    <t>Переменная1</t>
  </si>
  <si>
    <t>Инд_исп.Сводный</t>
  </si>
  <si>
    <t>Используется Индекс "по сводному"</t>
  </si>
  <si>
    <t>Уровень цен</t>
  </si>
  <si>
    <t>Сборник индексов</t>
  </si>
  <si>
    <t>Коэффициенты к ТСН-2001 МГЭ, ремонт [73]</t>
  </si>
  <si>
    <t>212</t>
  </si>
  <si>
    <t>Коэффициенты к ТСН-2001.13-2 [73]</t>
  </si>
  <si>
    <t>_OBSM_</t>
  </si>
  <si>
    <t>9999990008</t>
  </si>
  <si>
    <t>Трудозатраты рабочих</t>
  </si>
  <si>
    <t>чел.-ч.</t>
  </si>
  <si>
    <t>2.1-18-7</t>
  </si>
  <si>
    <t>ТСН-2001.2. Доп. 68. п.1-18-7 (183001)</t>
  </si>
  <si>
    <t>Автомобили грузовые бортовые, грузоподъемность до 5 т</t>
  </si>
  <si>
    <t>маш.-ч</t>
  </si>
  <si>
    <t>2.1-30-10</t>
  </si>
  <si>
    <t>ТСН-2001.2. Доп. 68. п.1-30-10 (304101)</t>
  </si>
  <si>
    <t>Перфораторы, мощность до 800 Вт</t>
  </si>
  <si>
    <t>2.1-30-56</t>
  </si>
  <si>
    <t>ТСН-2001.2. Доп. 68. п.1-30-56 (309101)</t>
  </si>
  <si>
    <t>Шуруповерты</t>
  </si>
  <si>
    <t>1.1-1-2471</t>
  </si>
  <si>
    <t>ТСН-2001.1 Доп. 73, Р. 1, о. 1, поз. 2471</t>
  </si>
  <si>
    <t>Дюбель рамный, металлический, диаметр 10 мм, длина 182 мм</t>
  </si>
  <si>
    <t>1.1-1-760</t>
  </si>
  <si>
    <t>ТСН-2001.1. Доп. 1-42. Р. 1, о. 1, поз. 760</t>
  </si>
  <si>
    <t>Пена монтажная</t>
  </si>
  <si>
    <t>л</t>
  </si>
  <si>
    <t>9999990007</t>
  </si>
  <si>
    <t>Стоимость прочих машин (ЭСН)</t>
  </si>
  <si>
    <t>руб.</t>
  </si>
  <si>
    <t>2.1-30-103</t>
  </si>
  <si>
    <t>ТСН-2001.2. Доп. 68. п.1-30-103 (304104)</t>
  </si>
  <si>
    <t>Перфораторы, мощность до 1,2 кВт</t>
  </si>
  <si>
    <t>1.1-1-1679</t>
  </si>
  <si>
    <t>ТСН-2001.1 Доп. 67, Р. 1, о. 1, поз. 1679</t>
  </si>
  <si>
    <t>Паронит общего назначения типа ПОН-Б, толщина от 0,4 до 5,0 мм</t>
  </si>
  <si>
    <t>1.1-1-3549</t>
  </si>
  <si>
    <t>ТСН-2001.1 Доп. 67, Р. 1, о. 1, поз. 3549</t>
  </si>
  <si>
    <t>Шайба оцинкованная, М10</t>
  </si>
  <si>
    <t>1.1-1-59</t>
  </si>
  <si>
    <t>ТСН-2001.1 Доп. 73, Р. 1, о. 1, поз. 59</t>
  </si>
  <si>
    <t>Болты строительные анкерные с гайками</t>
  </si>
  <si>
    <t>9999990006</t>
  </si>
  <si>
    <t>Стоимость прочих материалов (ЭСН)</t>
  </si>
  <si>
    <t>2.1-14-13</t>
  </si>
  <si>
    <t>ТСН-2001.2. Доп. 68. п.1-14-13 (148501)</t>
  </si>
  <si>
    <t>Пылесосы строительные (промышленные)</t>
  </si>
  <si>
    <t>2.1-30-19</t>
  </si>
  <si>
    <t>ТСН-2001.2. Доп. 68. п.1-30-19 (305001)</t>
  </si>
  <si>
    <t>Машины шлифовальные электрические, мощность до 1700 Вт</t>
  </si>
  <si>
    <t>2.1-4-30</t>
  </si>
  <si>
    <t>ТСН-2001.2. Доп. 68. п.1-4-30 (042901)</t>
  </si>
  <si>
    <t>Лебедки электрические, тяговое усилие до 4,9 кН (0,5 тс)</t>
  </si>
  <si>
    <t>1.1-1-2622</t>
  </si>
  <si>
    <t>ТСН-2001.1 Доп. 67, Р. 1, о. 1, поз. 2622</t>
  </si>
  <si>
    <t>Болты строительные с шестигранной головкой, М8</t>
  </si>
  <si>
    <t>1.1-1-2629</t>
  </si>
  <si>
    <t>ТСН-2001.1 Доп. 70, Р. 1, о. 1, поз. 2629</t>
  </si>
  <si>
    <t>Гайки шестигранные стальные оцинкованные, М8</t>
  </si>
  <si>
    <t>1.1-1-2630</t>
  </si>
  <si>
    <t>ТСН-2001.1 Доп. 70, Р. 1, о. 1, поз. 2630</t>
  </si>
  <si>
    <t>Шайбы оцинкованные, М8</t>
  </si>
  <si>
    <t>1.1-1-2681</t>
  </si>
  <si>
    <t>ТСН-2001.1 Доп. 73, Р. 1, о. 1, поз. 2681</t>
  </si>
  <si>
    <t>Шуруп-саморез с полусферической головкой, с прессшайбой, наконечник острый, оцинкованный, диаметр 4,2 мм, длина 16 мм, для крепления листового металла</t>
  </si>
  <si>
    <t>100 шт.</t>
  </si>
  <si>
    <t>1.1-1-3856</t>
  </si>
  <si>
    <t>ТСН-2001.1 Доп. 53, Р. 1, о. 1, поз. 3856</t>
  </si>
  <si>
    <t>Дюбель-гвоздь пластиковый с цилиндрическим бортиком, с оцинкованным шурупом, шлиц PZ2, диаметр 6 мм, длина 60 мм</t>
  </si>
  <si>
    <t>1.1-1-4258</t>
  </si>
  <si>
    <t>ТСН-2001.1 Доп. 67, Р. 1, о. 1, поз. 4258</t>
  </si>
  <si>
    <t>Герметик силиконовый противопожарный, УФ-стойкий, усадка не более 5%, деформация шва до 25%, диапазон температур применения от +5 до +40°С, термостойкость от -30 до +150°С, для заделки швов, фланцевых соединений воздуховодов, отверстий при прокладке сталь</t>
  </si>
  <si>
    <t>2.1-3-38</t>
  </si>
  <si>
    <t>ТСН-2001.2. Доп. 68. п.1-3-38 (032009)</t>
  </si>
  <si>
    <t>Краны на автомобильном ходу, грузоподъемность до 16 т</t>
  </si>
  <si>
    <t>2.1-4-80</t>
  </si>
  <si>
    <t>ТСН-2001.2. Доп. 68. п.1-4-80 (043801)</t>
  </si>
  <si>
    <t>Автомобили бортовые с краном-манипулятором грузоподъемностью до 3 т</t>
  </si>
  <si>
    <t>2245291000</t>
  </si>
  <si>
    <t>Лента бутиловая для внутренней пароизоляции</t>
  </si>
  <si>
    <t>Лента бутиловая диффузионная</t>
  </si>
  <si>
    <t>2291380000</t>
  </si>
  <si>
    <t>Блоки оконные из ПВХ профилей</t>
  </si>
  <si>
    <t>5775520000</t>
  </si>
  <si>
    <t>Лента бутиловая ПСУЛ</t>
  </si>
  <si>
    <t>5772131000</t>
  </si>
  <si>
    <t>Доски подоконные из ПВХ</t>
  </si>
  <si>
    <t>5772132000</t>
  </si>
  <si>
    <t>Заглушки торцевые</t>
  </si>
  <si>
    <t>3972280000</t>
  </si>
  <si>
    <t>Буры с победитовым наконечником</t>
  </si>
  <si>
    <t>3972282000</t>
  </si>
  <si>
    <t>Сверла для сверления алюминия, нержавеющей стали, углеродистой стали и чугуна</t>
  </si>
  <si>
    <t>3972590000</t>
  </si>
  <si>
    <t>Диск отрезной</t>
  </si>
  <si>
    <t>5262010000</t>
  </si>
  <si>
    <t>Сливы подоконные из оцинкованной стали с полимерно-порошковым покрытием</t>
  </si>
  <si>
    <t>Лента гидроизоляционная, паропроницаемая, герметизирующая, бутилкаучуковая, на основе пародиффузионной мембраны, с клеящими неотверждаемыми слоями герметика с двух краев, прочность сцепления не менее 0,1 МПа, диапазон температур эксплуатации от -60 до +80°С, теплостойкость до +180°С, пенетрация при 0,1 мм от 3 до 90, ширина 100 мм, толщина 1,5 мм, для вентиляции и защиты от проникновения влаги в стык различных конструкций, отделки под отлив, наружная герметизация примыканий оконных и дверных блоков к стеновому проему и защиты теплоизоляционного слоя</t>
  </si>
  <si>
    <t>Лента пароизоляционная, самоклеящаяся, уплотнительная, бутилкаучуковая, дублированная нетканым полотном с двух сторон, прочность сцепления не менее 0,03 МПа, диапазон температур эксплуатации от -60 до +90°, ширина 100 мм, для защиты монтажной пены от увлажнения внутри помещения, препятствует выпадению конденсата на поверхности внутренних откосов при монтаже оконных и дверных блоков, светопрозрачных конструкций</t>
  </si>
  <si>
    <t>Поправка: Гл.6.Прил.2.2.п.2.2.6_06.00.01.07.001  Наименование: При выполнении при капитальном ремонте и реконструкции работ, аналогичных технологическим процессам, характерным для нового строительства, и отсутствующих в сборниках на ремонтно-строительные работы ТСН-2001.6</t>
  </si>
  <si>
    <t>Герметик силиконовый противопожарный, УФ-стойкий, усадка не более 5%, деформация шва до 25%, диапазон температур применения от +5 до +40°С, термостойкость от -30 до +150°С, для заделки швов, фланцевых соединений воздуховодов, отверстий при прокладке стальных трубопроводов, туба 600 мл</t>
  </si>
  <si>
    <t>"СОГЛАСОВАНО"</t>
  </si>
  <si>
    <t>"УТВЕРЖДАЮ"</t>
  </si>
  <si>
    <t>"_____"________________ 2024 г.</t>
  </si>
  <si>
    <t>(наименование работ и затрат)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</si>
  <si>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</si>
  <si>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</si>
  <si>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</si>
  <si>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</si>
  <si>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</si>
  <si>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</si>
  <si>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</si>
  <si>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</si>
  <si>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</si>
  <si>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</si>
  <si>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</si>
  <si>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</si>
  <si>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</si>
  <si>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</si>
  <si>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</si>
  <si>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Коэффи-
циенты
(индек-
сы) пере-
счета</t>
  </si>
  <si>
    <t>ВСЕГО
затрат, руб.</t>
  </si>
  <si>
    <t>Справочно</t>
  </si>
  <si>
    <t>ЗТР, всего
чел.-ч.</t>
  </si>
  <si>
    <t>Ст-ть ед. с
начислен.</t>
  </si>
  <si>
    <t>Составлен(а) по ТСН-2001 с учетом Дополнения №: 73</t>
  </si>
  <si>
    <t>№ и период сборника коэффициентов (индексов) пересчета: Коэффициенты к ТСН-2001 МГЭ, ремонт [73] №212 июль 2024 года и Коэффициенты к ТСН-2001.13-2 [73] июль 2024 года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</si>
  <si>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</si>
  <si>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</si>
  <si>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</si>
  <si>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</si>
  <si>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</si>
  <si>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</si>
  <si>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</si>
  <si>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</si>
  <si>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</si>
  <si>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t>Всего по позиции:</t>
  </si>
  <si>
    <t>МР</t>
  </si>
  <si>
    <r>
      <t>Блоки оконные из ПВХ профилей с ламинацией и газовым наполнителем, сопротивление теплопередаче R=0,85 м2*С/Вт, Ширина непрозрачной части комбинации рама + створка 104 мм.</t>
    </r>
    <r>
      <rPr>
        <i/>
        <sz val="10"/>
        <rFont val="Arial"/>
        <family val="2"/>
        <charset val="204"/>
      </rPr>
      <t xml:space="preserve">
24 480,00 = [28 800 / 1,2] +  2% Заг.скл</t>
    </r>
  </si>
  <si>
    <r>
      <t>Доски подоконные из ПВХ с ламинацией в цвет окна</t>
    </r>
    <r>
      <rPr>
        <i/>
        <sz val="10"/>
        <rFont val="Arial"/>
        <family val="2"/>
        <charset val="204"/>
      </rPr>
      <t xml:space="preserve">
297,50 = [350 / 1,2] +  2% Заг.скл</t>
    </r>
  </si>
  <si>
    <t>к нр )*1</t>
  </si>
  <si>
    <r>
      <t>Витражи балконные раздвижные с одинарным остеклением из алюминиевых сплавов с нащельниками и сливами</t>
    </r>
    <r>
      <rPr>
        <i/>
        <sz val="10"/>
        <rFont val="Arial"/>
        <family val="2"/>
        <charset val="204"/>
      </rPr>
      <t xml:space="preserve">
12 750,00 = [15 000 / 1,2] +  2% Заг.скл</t>
    </r>
  </si>
  <si>
    <t xml:space="preserve">   Итого по ТСН-2001.16</t>
  </si>
  <si>
    <t xml:space="preserve">   Итого возвратных сумм</t>
  </si>
  <si>
    <t xml:space="preserve"> тыс.руб.</t>
  </si>
  <si>
    <t>Выполнение работ по капитальному ремонту в учреждении по адресу: г. Москва, ул. 3-я Радиальная, д.6</t>
  </si>
  <si>
    <t>Приложение №2</t>
  </si>
  <si>
    <t>от ______________________</t>
  </si>
  <si>
    <t>к Техническому заданию</t>
  </si>
  <si>
    <t>ИТОГО по решению заказчика с НДС20%:</t>
  </si>
  <si>
    <t>к Контракту № 0373200057824000060</t>
  </si>
  <si>
    <t>Сметная документация</t>
  </si>
  <si>
    <t xml:space="preserve">Итого с учётом ценового предложения по итогам электронного конкурса с НДС 20%: </t>
  </si>
  <si>
    <t>19 024 344,22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</si>
</sst>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\ #,##0.00"/>
    <numFmt numFmtId="165" formatCode="General;\-General;"/>
  </numFmts>
  <fonts count="19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/>
    <xf numFmtId="0" fontId="1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7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165" fontId="11" fillId="0" borderId="1" xfId="0" applyNumberFormat="1" applyFont="1" applyBorder="1" applyAlignment="1">
      <alignment horizontal="right" wrapText="1"/>
    </xf>
    <xf numFmtId="164" fontId="0" fillId="0" borderId="0" xfId="0" applyNumberFormat="1"/>
    <xf numFmtId="164" fontId="16" fillId="0" borderId="0" xfId="0" applyNumberFormat="1" applyFont="1" applyAlignment="1">
      <alignment horizontal="right"/>
    </xf>
    <xf numFmtId="165" fontId="11" fillId="0" borderId="0" xfId="0" quotePrefix="1" applyNumberFormat="1" applyFont="1" applyAlignment="1">
      <alignment horizontal="right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horizontal="right"/>
    </xf>
    <xf numFmtId="0" fontId="16" fillId="0" borderId="0" xfId="0" applyFont="1" applyAlignment="1"/>
    <xf numFmtId="4" fontId="16" fillId="0" borderId="0" xfId="0" applyNumberFormat="1" applyFont="1" applyAlignme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left" wrapText="1"/>
    </xf>
    <xf numFmtId="0" fontId="15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1" fillId="0" borderId="0" xfId="1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right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145"/>
  <sheetViews>
    <sheetView tabSelected="1" topLeftCell="A119" zoomScaleNormal="100" workbookViewId="0">
      <selection activeCell="I152" sqref="I152"/>
    </sheetView>
  </sheetViews>
  <sheetFormatPr defaultRowHeight="12.75" x14ac:dyDescent="0.2"/>
  <cols>
    <col min="1" max="1" width="5.7109375" customWidth="1"/>
    <col min="2" max="2" width="13.28515625" customWidth="1"/>
    <col min="3" max="3" width="42.42578125" customWidth="1"/>
    <col min="4" max="4" width="11.7109375" customWidth="1"/>
    <col min="5" max="5" width="9" bestFit="1" customWidth="1"/>
    <col min="6" max="6" width="10.140625" bestFit="1" customWidth="1"/>
    <col min="7" max="7" width="8.5703125" bestFit="1" customWidth="1"/>
    <col min="9" max="9" width="10.28515625" bestFit="1" customWidth="1"/>
    <col min="10" max="10" width="14.28515625" bestFit="1" customWidth="1"/>
    <col min="11" max="11" width="13.140625" bestFit="1" customWidth="1"/>
    <col min="14" max="41" width="0" hidden="1" customWidth="1"/>
    <col min="42" max="42" width="129.7109375" hidden="1" customWidth="1"/>
    <col min="43" max="47" width="0" hidden="1" customWidth="1"/>
  </cols>
  <sheetData>
    <row r="1" spans="1:11" ht="14.25" x14ac:dyDescent="0.2">
      <c r="A1" s="9"/>
      <c r="B1" s="9"/>
      <c r="C1" s="9"/>
      <c r="D1" s="9"/>
      <c r="E1" s="9"/>
      <c r="F1" s="9"/>
      <c r="G1" s="9"/>
      <c r="H1" s="9"/>
      <c r="I1" s="9"/>
      <c r="J1" s="42"/>
      <c r="K1" s="42"/>
    </row>
    <row r="2" spans="1:11" ht="14.25" x14ac:dyDescent="0.2">
      <c r="A2" s="16"/>
      <c r="B2" s="16"/>
      <c r="C2" s="16"/>
      <c r="D2" s="16"/>
      <c r="E2" s="16"/>
      <c r="F2" s="16"/>
      <c r="G2" s="42" t="s">
        <v>327</v>
      </c>
      <c r="H2" s="42"/>
      <c r="I2" s="42"/>
      <c r="J2" s="42"/>
      <c r="K2" s="42"/>
    </row>
    <row r="3" spans="1:11" ht="14.25" x14ac:dyDescent="0.2">
      <c r="A3" s="36"/>
      <c r="B3" s="36"/>
      <c r="C3" s="36"/>
      <c r="D3" s="36"/>
      <c r="E3" s="36"/>
      <c r="F3" s="36"/>
      <c r="G3" s="36"/>
      <c r="H3" s="42" t="s">
        <v>329</v>
      </c>
      <c r="I3" s="42"/>
      <c r="J3" s="42"/>
      <c r="K3" s="42"/>
    </row>
    <row r="4" spans="1:11" ht="14.25" x14ac:dyDescent="0.2">
      <c r="A4" s="16"/>
      <c r="B4" s="16"/>
      <c r="C4" s="16"/>
      <c r="D4" s="16"/>
      <c r="E4" s="16"/>
      <c r="F4" s="16"/>
      <c r="G4" s="42" t="s">
        <v>331</v>
      </c>
      <c r="H4" s="42"/>
      <c r="I4" s="42"/>
      <c r="J4" s="42"/>
      <c r="K4" s="42"/>
    </row>
    <row r="5" spans="1:11" ht="14.25" x14ac:dyDescent="0.2">
      <c r="A5" s="16"/>
      <c r="B5" s="16"/>
      <c r="C5" s="16"/>
      <c r="D5" s="16"/>
      <c r="E5" s="16"/>
      <c r="F5" s="16"/>
      <c r="G5" s="42" t="s">
        <v>328</v>
      </c>
      <c r="H5" s="42"/>
      <c r="I5" s="42"/>
      <c r="J5" s="42"/>
      <c r="K5" s="42"/>
    </row>
    <row r="6" spans="1:11" ht="14.25" x14ac:dyDescent="0.2">
      <c r="A6" s="16"/>
      <c r="B6" s="16"/>
      <c r="C6" s="16"/>
      <c r="D6" s="16"/>
      <c r="E6" s="16"/>
      <c r="F6" s="16"/>
      <c r="G6" s="42"/>
      <c r="H6" s="42"/>
      <c r="I6" s="42"/>
      <c r="J6" s="42"/>
      <c r="K6" s="42"/>
    </row>
    <row r="7" spans="1:11" ht="15" x14ac:dyDescent="0.25">
      <c r="A7" s="39"/>
      <c r="B7" s="39"/>
      <c r="C7" s="60" t="s">
        <v>332</v>
      </c>
      <c r="D7" s="60"/>
      <c r="E7" s="60"/>
      <c r="F7" s="60"/>
      <c r="G7" s="60"/>
      <c r="H7" s="60"/>
      <c r="I7" s="39"/>
      <c r="J7" s="39"/>
      <c r="K7" s="39"/>
    </row>
    <row r="8" spans="1:11" ht="14.25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1" ht="16.5" x14ac:dyDescent="0.25">
      <c r="A9" s="11"/>
      <c r="B9" s="53" t="s">
        <v>282</v>
      </c>
      <c r="C9" s="53"/>
      <c r="D9" s="53"/>
      <c r="E9" s="53"/>
      <c r="F9" s="10"/>
      <c r="G9" s="53" t="s">
        <v>283</v>
      </c>
      <c r="H9" s="53"/>
      <c r="I9" s="53"/>
      <c r="J9" s="53"/>
      <c r="K9" s="53"/>
    </row>
    <row r="10" spans="1:11" ht="14.25" x14ac:dyDescent="0.2">
      <c r="A10" s="10"/>
      <c r="B10" s="40"/>
      <c r="C10" s="40"/>
      <c r="D10" s="40"/>
      <c r="E10" s="40"/>
      <c r="F10" s="10"/>
      <c r="G10" s="40"/>
      <c r="H10" s="40"/>
      <c r="I10" s="40"/>
      <c r="J10" s="40"/>
      <c r="K10" s="40"/>
    </row>
    <row r="11" spans="1:11" ht="14.25" x14ac:dyDescent="0.2">
      <c r="A11" s="12"/>
      <c r="B11" s="12"/>
      <c r="C11" s="13"/>
      <c r="D11" s="13"/>
      <c r="E11" s="13"/>
      <c r="F11" s="10"/>
      <c r="G11" s="14"/>
      <c r="H11" s="13"/>
      <c r="I11" s="13"/>
      <c r="J11" s="13"/>
      <c r="K11" s="14"/>
    </row>
    <row r="12" spans="1:11" ht="14.25" x14ac:dyDescent="0.2">
      <c r="A12" s="14"/>
      <c r="B12" s="40" t="str">
        <f>CONCATENATE("_____________Д.В. Бридня ", IF(Source!AL12&lt;&gt;"", Source!AL12, ""))</f>
        <v xml:space="preserve">_____________Д.В. Бридня </v>
      </c>
      <c r="C12" s="40"/>
      <c r="D12" s="40"/>
      <c r="E12" s="40"/>
      <c r="F12" s="10"/>
      <c r="G12" s="40" t="str">
        <f>CONCATENATE("______________Д.А. Камышанов ", IF(Source!AH12&lt;&gt;"", Source!AH12, ""))</f>
        <v xml:space="preserve">______________Д.А. Камышанов </v>
      </c>
      <c r="H12" s="40"/>
      <c r="I12" s="40"/>
      <c r="J12" s="40"/>
      <c r="K12" s="40"/>
    </row>
    <row r="13" spans="1:11" ht="14.25" x14ac:dyDescent="0.2">
      <c r="A13" s="15"/>
      <c r="B13" s="43" t="s">
        <v>284</v>
      </c>
      <c r="C13" s="43"/>
      <c r="D13" s="43"/>
      <c r="E13" s="43"/>
      <c r="F13" s="10"/>
      <c r="G13" s="43" t="s">
        <v>284</v>
      </c>
      <c r="H13" s="43"/>
      <c r="I13" s="43"/>
      <c r="J13" s="43"/>
      <c r="K13" s="43"/>
    </row>
    <row r="15" spans="1:11" ht="14.2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1" ht="14.25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1" ht="15.75" x14ac:dyDescent="0.25">
      <c r="A17" s="51" t="s">
        <v>326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</row>
    <row r="18" spans="1:11" ht="14.25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3.75" customHeight="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2">
      <c r="A20" s="45" t="s">
        <v>285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</row>
    <row r="21" spans="1:11" ht="14.2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ht="14.25" x14ac:dyDescent="0.2">
      <c r="A22" s="47" t="str">
        <f>CONCATENATE( "Основание: чертежи № ", Source!J12)</f>
        <v xml:space="preserve">Основание: чертежи № 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</row>
    <row r="23" spans="1:11" ht="14.2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ht="14.25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1" ht="15" x14ac:dyDescent="0.25">
      <c r="A25" s="10"/>
      <c r="B25" s="10"/>
      <c r="C25" s="10"/>
      <c r="D25" s="10"/>
      <c r="E25" s="48" t="s">
        <v>286</v>
      </c>
      <c r="F25" s="48"/>
      <c r="G25" s="48"/>
      <c r="H25" s="48"/>
      <c r="I25" s="49">
        <f>I26+I27+I28+I29</f>
        <v>21724.74</v>
      </c>
      <c r="J25" s="50"/>
      <c r="K25" s="17" t="s">
        <v>325</v>
      </c>
    </row>
    <row r="26" spans="1:11" ht="14.25" x14ac:dyDescent="0.2">
      <c r="A26" s="10"/>
      <c r="B26" s="10"/>
      <c r="C26" s="10"/>
      <c r="D26" s="10"/>
      <c r="E26" s="40" t="s">
        <v>23</v>
      </c>
      <c r="F26" s="40"/>
      <c r="G26" s="40"/>
      <c r="H26" s="40"/>
      <c r="I26" s="41">
        <f>ROUND((Source!F93)/1000, 2)</f>
        <v>21685.040000000001</v>
      </c>
      <c r="J26" s="42"/>
      <c r="K26" s="10" t="s">
        <v>325</v>
      </c>
    </row>
    <row r="27" spans="1:11" ht="14.25" x14ac:dyDescent="0.2">
      <c r="A27" s="10"/>
      <c r="B27" s="10"/>
      <c r="C27" s="10"/>
      <c r="D27" s="10"/>
      <c r="E27" s="40" t="s">
        <v>287</v>
      </c>
      <c r="F27" s="40"/>
      <c r="G27" s="40"/>
      <c r="H27" s="40"/>
      <c r="I27" s="41">
        <f>ROUND((Source!F94)/1000, 2)</f>
        <v>0</v>
      </c>
      <c r="J27" s="42"/>
      <c r="K27" s="10" t="s">
        <v>325</v>
      </c>
    </row>
    <row r="28" spans="1:11" ht="14.25" x14ac:dyDescent="0.2">
      <c r="A28" s="10"/>
      <c r="B28" s="10"/>
      <c r="C28" s="10"/>
      <c r="D28" s="10"/>
      <c r="E28" s="40" t="s">
        <v>288</v>
      </c>
      <c r="F28" s="40"/>
      <c r="G28" s="40"/>
      <c r="H28" s="40"/>
      <c r="I28" s="41">
        <f>ROUND((Source!F85)/1000, 2)</f>
        <v>0</v>
      </c>
      <c r="J28" s="42"/>
      <c r="K28" s="10" t="s">
        <v>325</v>
      </c>
    </row>
    <row r="29" spans="1:11" ht="14.25" x14ac:dyDescent="0.2">
      <c r="A29" s="10"/>
      <c r="B29" s="10"/>
      <c r="C29" s="10"/>
      <c r="D29" s="10"/>
      <c r="E29" s="40" t="s">
        <v>289</v>
      </c>
      <c r="F29" s="40"/>
      <c r="G29" s="40"/>
      <c r="H29" s="40"/>
      <c r="I29" s="41">
        <f>ROUND((Source!F95+Source!F96)/1000, 2)</f>
        <v>39.700000000000003</v>
      </c>
      <c r="J29" s="42"/>
      <c r="K29" s="10" t="s">
        <v>325</v>
      </c>
    </row>
    <row r="30" spans="1:11" ht="14.25" x14ac:dyDescent="0.2">
      <c r="A30" s="10"/>
      <c r="B30" s="10"/>
      <c r="C30" s="10"/>
      <c r="D30" s="10"/>
      <c r="E30" s="40" t="s">
        <v>290</v>
      </c>
      <c r="F30" s="40"/>
      <c r="G30" s="40"/>
      <c r="H30" s="40"/>
      <c r="I30" s="41">
        <f>(Source!F91+ Source!F90)/1000</f>
        <v>1399.87399</v>
      </c>
      <c r="J30" s="42"/>
      <c r="K30" s="10" t="s">
        <v>325</v>
      </c>
    </row>
    <row r="31" spans="1:11" ht="14.25" x14ac:dyDescent="0.2">
      <c r="A31" s="10"/>
      <c r="B31" s="10"/>
      <c r="C31" s="10"/>
      <c r="D31" s="10"/>
      <c r="E31" s="40" t="s">
        <v>291</v>
      </c>
      <c r="F31" s="40"/>
      <c r="G31" s="40"/>
      <c r="H31" s="40"/>
      <c r="I31" s="41">
        <f>Source!F98</f>
        <v>3384.9217799999997</v>
      </c>
      <c r="J31" s="42"/>
      <c r="K31" s="10" t="s">
        <v>190</v>
      </c>
    </row>
    <row r="32" spans="1:11" ht="14.25" hidden="1" x14ac:dyDescent="0.2">
      <c r="A32" s="10"/>
      <c r="B32" s="10"/>
      <c r="C32" s="10"/>
      <c r="D32" s="10"/>
      <c r="E32" s="55" t="s">
        <v>292</v>
      </c>
      <c r="F32" s="55"/>
      <c r="G32" s="55"/>
      <c r="H32" s="55"/>
      <c r="I32" s="18"/>
      <c r="J32" s="18"/>
      <c r="K32" s="10"/>
    </row>
    <row r="33" spans="1:42" ht="14.25" hidden="1" x14ac:dyDescent="0.2">
      <c r="A33" s="10"/>
      <c r="B33" s="10"/>
      <c r="C33" s="10"/>
      <c r="D33" s="10"/>
      <c r="E33" s="54" t="s">
        <v>158</v>
      </c>
      <c r="F33" s="54"/>
      <c r="G33" s="54"/>
      <c r="H33" s="54"/>
      <c r="I33" s="41">
        <f>SUM(AF1:AF138)</f>
        <v>0</v>
      </c>
      <c r="J33" s="42"/>
      <c r="K33" s="10" t="s">
        <v>325</v>
      </c>
    </row>
    <row r="34" spans="1:42" ht="14.25" x14ac:dyDescent="0.2">
      <c r="A34" s="10"/>
      <c r="B34" s="10"/>
      <c r="C34" s="10"/>
      <c r="D34" s="10"/>
      <c r="E34" s="10"/>
      <c r="F34" s="14"/>
      <c r="G34" s="14"/>
      <c r="H34" s="14"/>
      <c r="I34" s="9"/>
      <c r="J34" s="9"/>
      <c r="K34" s="10"/>
    </row>
    <row r="35" spans="1:42" ht="14.25" x14ac:dyDescent="0.2">
      <c r="A35" s="10" t="s">
        <v>306</v>
      </c>
      <c r="B35" s="10"/>
      <c r="C35" s="10"/>
      <c r="D35" s="10"/>
      <c r="E35" s="10"/>
      <c r="F35" s="14"/>
      <c r="G35" s="14"/>
      <c r="H35" s="14"/>
      <c r="I35" s="9"/>
      <c r="J35" s="9"/>
      <c r="K35" s="10"/>
    </row>
    <row r="36" spans="1:42" ht="28.5" x14ac:dyDescent="0.2">
      <c r="A36" s="47" t="s">
        <v>307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AP36" s="21" t="s">
        <v>307</v>
      </c>
    </row>
    <row r="37" spans="1:42" ht="14.25" x14ac:dyDescent="0.2">
      <c r="A37" s="56" t="s">
        <v>293</v>
      </c>
      <c r="B37" s="56" t="s">
        <v>294</v>
      </c>
      <c r="C37" s="56" t="s">
        <v>295</v>
      </c>
      <c r="D37" s="56" t="s">
        <v>296</v>
      </c>
      <c r="E37" s="56" t="s">
        <v>297</v>
      </c>
      <c r="F37" s="56" t="s">
        <v>298</v>
      </c>
      <c r="G37" s="56" t="s">
        <v>299</v>
      </c>
      <c r="H37" s="56" t="s">
        <v>300</v>
      </c>
      <c r="I37" s="56" t="s">
        <v>301</v>
      </c>
      <c r="J37" s="56" t="s">
        <v>302</v>
      </c>
      <c r="K37" s="19" t="s">
        <v>303</v>
      </c>
    </row>
    <row r="38" spans="1:42" ht="28.5" x14ac:dyDescent="0.2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20" t="s">
        <v>304</v>
      </c>
    </row>
    <row r="39" spans="1:42" ht="28.5" x14ac:dyDescent="0.2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20" t="s">
        <v>305</v>
      </c>
    </row>
    <row r="40" spans="1:42" ht="14.25" x14ac:dyDescent="0.2">
      <c r="A40" s="20">
        <v>1</v>
      </c>
      <c r="B40" s="20">
        <v>2</v>
      </c>
      <c r="C40" s="20">
        <v>3</v>
      </c>
      <c r="D40" s="20">
        <v>4</v>
      </c>
      <c r="E40" s="20">
        <v>5</v>
      </c>
      <c r="F40" s="20">
        <v>6</v>
      </c>
      <c r="G40" s="20">
        <v>7</v>
      </c>
      <c r="H40" s="20">
        <v>8</v>
      </c>
      <c r="I40" s="20">
        <v>9</v>
      </c>
      <c r="J40" s="20">
        <v>10</v>
      </c>
      <c r="K40" s="20">
        <v>11</v>
      </c>
    </row>
    <row r="42" spans="1:42" ht="85.5" x14ac:dyDescent="0.2">
      <c r="A42" s="22">
        <v>1</v>
      </c>
      <c r="B42" s="22" t="str">
        <f>Source!F24</f>
        <v>3.10-84-5</v>
      </c>
      <c r="C42" s="22" t="s">
        <v>17</v>
      </c>
      <c r="D42" s="23" t="str">
        <f>Source!H24</f>
        <v>100 м2</v>
      </c>
      <c r="E42" s="9">
        <f>Source!I24</f>
        <v>4.54</v>
      </c>
      <c r="F42" s="25"/>
      <c r="G42" s="24"/>
      <c r="H42" s="9"/>
      <c r="I42" s="9"/>
      <c r="J42" s="25"/>
      <c r="K42" s="25"/>
      <c r="Q42">
        <f>ROUND((Source!DN24/100)*ROUND((ROUND((Source!AF24*Source!AV24*Source!I24),2)),2), 2)</f>
        <v>8422.83</v>
      </c>
      <c r="R42">
        <f>Source!X24</f>
        <v>240842.32</v>
      </c>
      <c r="S42">
        <f>ROUND((Source!DO24/100)*ROUND((ROUND((Source!AF24*Source!AV24*Source!I24),2)),2), 2)</f>
        <v>5615.22</v>
      </c>
      <c r="T42">
        <f>Source!Y24</f>
        <v>113500.4</v>
      </c>
      <c r="U42">
        <f>ROUND((175/100)*ROUND((ROUND((Source!AE24*Source!AV24*Source!I24),2)),2), 2)</f>
        <v>263.08</v>
      </c>
      <c r="V42">
        <f>ROUND((160/100)*ROUND(ROUND((ROUND((Source!AE24*Source!AV24*Source!I24),2)*Source!BS24),2), 2), 2)</f>
        <v>8300.6200000000008</v>
      </c>
      <c r="AI42">
        <v>0</v>
      </c>
    </row>
    <row r="43" spans="1:42" ht="14.25" x14ac:dyDescent="0.2">
      <c r="A43" s="22"/>
      <c r="B43" s="22"/>
      <c r="C43" s="22" t="s">
        <v>308</v>
      </c>
      <c r="D43" s="23"/>
      <c r="E43" s="9"/>
      <c r="F43" s="25">
        <f>Source!AO24</f>
        <v>2208.63</v>
      </c>
      <c r="G43" s="24" t="str">
        <f>Source!DG24</f>
        <v>)*0,8</v>
      </c>
      <c r="H43" s="9">
        <f>Source!AV24</f>
        <v>1</v>
      </c>
      <c r="I43" s="9">
        <f>IF(Source!BA24&lt;&gt; 0, Source!BA24, 1)</f>
        <v>34.51</v>
      </c>
      <c r="J43" s="25">
        <f>Source!S24</f>
        <v>276830.25</v>
      </c>
      <c r="K43" s="25"/>
    </row>
    <row r="44" spans="1:42" ht="14.25" x14ac:dyDescent="0.2">
      <c r="A44" s="22"/>
      <c r="B44" s="22"/>
      <c r="C44" s="22" t="s">
        <v>309</v>
      </c>
      <c r="D44" s="23"/>
      <c r="E44" s="9"/>
      <c r="F44" s="25">
        <f>Source!AM24</f>
        <v>304.99</v>
      </c>
      <c r="G44" s="24" t="str">
        <f>Source!DE24</f>
        <v>)*0,8</v>
      </c>
      <c r="H44" s="9">
        <f>Source!AV24</f>
        <v>1</v>
      </c>
      <c r="I44" s="9">
        <f>IF(Source!BB24&lt;&gt; 0, Source!BB24, 1)</f>
        <v>12.4</v>
      </c>
      <c r="J44" s="25">
        <f>Source!Q24</f>
        <v>13735.73</v>
      </c>
      <c r="K44" s="25"/>
    </row>
    <row r="45" spans="1:42" ht="14.25" x14ac:dyDescent="0.2">
      <c r="A45" s="22"/>
      <c r="B45" s="22"/>
      <c r="C45" s="22" t="s">
        <v>310</v>
      </c>
      <c r="D45" s="23"/>
      <c r="E45" s="9"/>
      <c r="F45" s="25">
        <f>Source!AN24</f>
        <v>41.39</v>
      </c>
      <c r="G45" s="24" t="str">
        <f>Source!DF24</f>
        <v>)*0,8</v>
      </c>
      <c r="H45" s="9">
        <f>Source!AV24</f>
        <v>1</v>
      </c>
      <c r="I45" s="9">
        <f>IF(Source!BS24&lt;&gt; 0, Source!BS24, 1)</f>
        <v>34.51</v>
      </c>
      <c r="J45" s="26">
        <f>Source!R24</f>
        <v>5187.8900000000003</v>
      </c>
      <c r="K45" s="25"/>
    </row>
    <row r="46" spans="1:42" ht="14.25" x14ac:dyDescent="0.2">
      <c r="A46" s="22"/>
      <c r="B46" s="22"/>
      <c r="C46" s="22" t="s">
        <v>311</v>
      </c>
      <c r="D46" s="23" t="s">
        <v>312</v>
      </c>
      <c r="E46" s="9">
        <f>Source!BZ24</f>
        <v>87</v>
      </c>
      <c r="F46" s="25"/>
      <c r="G46" s="24"/>
      <c r="H46" s="9"/>
      <c r="I46" s="9"/>
      <c r="J46" s="25">
        <f>SUM(R42:R45)</f>
        <v>240842.32</v>
      </c>
      <c r="K46" s="25"/>
    </row>
    <row r="47" spans="1:42" ht="14.25" x14ac:dyDescent="0.2">
      <c r="A47" s="22"/>
      <c r="B47" s="22"/>
      <c r="C47" s="22" t="s">
        <v>313</v>
      </c>
      <c r="D47" s="23" t="s">
        <v>312</v>
      </c>
      <c r="E47" s="9">
        <f>Source!CA24</f>
        <v>41</v>
      </c>
      <c r="F47" s="25"/>
      <c r="G47" s="24"/>
      <c r="H47" s="9"/>
      <c r="I47" s="9"/>
      <c r="J47" s="25">
        <f>SUM(T42:T46)</f>
        <v>113500.4</v>
      </c>
      <c r="K47" s="25"/>
    </row>
    <row r="48" spans="1:42" ht="14.25" x14ac:dyDescent="0.2">
      <c r="A48" s="22"/>
      <c r="B48" s="22"/>
      <c r="C48" s="22" t="s">
        <v>314</v>
      </c>
      <c r="D48" s="23" t="s">
        <v>312</v>
      </c>
      <c r="E48" s="9">
        <f>160</f>
        <v>160</v>
      </c>
      <c r="F48" s="25"/>
      <c r="G48" s="24"/>
      <c r="H48" s="9"/>
      <c r="I48" s="9"/>
      <c r="J48" s="25">
        <f>SUM(V42:V47)</f>
        <v>8300.6200000000008</v>
      </c>
      <c r="K48" s="25"/>
    </row>
    <row r="49" spans="1:35" ht="14.25" x14ac:dyDescent="0.2">
      <c r="A49" s="27"/>
      <c r="B49" s="27"/>
      <c r="C49" s="27" t="s">
        <v>315</v>
      </c>
      <c r="D49" s="28" t="s">
        <v>316</v>
      </c>
      <c r="E49" s="29">
        <f>Source!AQ24</f>
        <v>188.92</v>
      </c>
      <c r="F49" s="30"/>
      <c r="G49" s="31" t="str">
        <f>Source!DI24</f>
        <v>)*0,8</v>
      </c>
      <c r="H49" s="29">
        <f>Source!AV24</f>
        <v>1</v>
      </c>
      <c r="I49" s="29"/>
      <c r="J49" s="30"/>
      <c r="K49" s="30">
        <f>Source!U24</f>
        <v>686.15743999999995</v>
      </c>
    </row>
    <row r="50" spans="1:35" ht="15" x14ac:dyDescent="0.25">
      <c r="C50" s="17" t="s">
        <v>317</v>
      </c>
      <c r="I50" s="58">
        <f>J43+J44+J46+J47+J48+0</f>
        <v>653209.32000000007</v>
      </c>
      <c r="J50" s="58"/>
      <c r="K50" s="33">
        <f>IF(Source!I24&lt;&gt;0, ROUND(I50/Source!I24, 2), 0)</f>
        <v>143878.70000000001</v>
      </c>
      <c r="P50" s="32">
        <f>J43+J44+J46+J47+J48+0</f>
        <v>653209.32000000007</v>
      </c>
    </row>
    <row r="52" spans="1:35" ht="85.5" x14ac:dyDescent="0.2">
      <c r="A52" s="22">
        <v>2</v>
      </c>
      <c r="B52" s="22" t="str">
        <f>Source!F25</f>
        <v>3.10-84-5</v>
      </c>
      <c r="C52" s="22" t="s">
        <v>17</v>
      </c>
      <c r="D52" s="23" t="str">
        <f>Source!H25</f>
        <v>100 м2</v>
      </c>
      <c r="E52" s="9">
        <f>Source!I25</f>
        <v>4.54</v>
      </c>
      <c r="F52" s="25"/>
      <c r="G52" s="24"/>
      <c r="H52" s="9"/>
      <c r="I52" s="9"/>
      <c r="J52" s="25"/>
      <c r="K52" s="25"/>
      <c r="Q52">
        <f>ROUND((Source!DN25/100)*ROUND((ROUND((Source!AF25*Source!AV25*Source!I25),2)),2), 2)</f>
        <v>12107.82</v>
      </c>
      <c r="R52">
        <f>Source!X25</f>
        <v>346211.09</v>
      </c>
      <c r="S52">
        <f>ROUND((Source!DO25/100)*ROUND((ROUND((Source!AF25*Source!AV25*Source!I25),2)),2), 2)</f>
        <v>8071.88</v>
      </c>
      <c r="T52">
        <f>Source!Y25</f>
        <v>163156.95000000001</v>
      </c>
      <c r="U52">
        <f>ROUND((175/100)*ROUND((ROUND((Source!AE25*Source!AV25*Source!I25),2)),2), 2)</f>
        <v>411.06</v>
      </c>
      <c r="V52">
        <f>ROUND((160/100)*ROUND(ROUND((ROUND((Source!AE25*Source!AV25*Source!I25),2)*Source!BS25),2), 2), 2)</f>
        <v>12969.68</v>
      </c>
      <c r="AI52">
        <v>0</v>
      </c>
    </row>
    <row r="53" spans="1:35" ht="14.25" x14ac:dyDescent="0.2">
      <c r="A53" s="22"/>
      <c r="B53" s="22"/>
      <c r="C53" s="22" t="s">
        <v>308</v>
      </c>
      <c r="D53" s="23"/>
      <c r="E53" s="9"/>
      <c r="F53" s="25">
        <f>Source!AO25</f>
        <v>2208.63</v>
      </c>
      <c r="G53" s="24" t="str">
        <f>Source!DG25</f>
        <v>)*1,15</v>
      </c>
      <c r="H53" s="9">
        <f>Source!AV25</f>
        <v>1</v>
      </c>
      <c r="I53" s="9">
        <f>IF(Source!BA25&lt;&gt; 0, Source!BA25, 1)</f>
        <v>34.51</v>
      </c>
      <c r="J53" s="25">
        <f>Source!S25</f>
        <v>397943.78</v>
      </c>
      <c r="K53" s="25"/>
    </row>
    <row r="54" spans="1:35" ht="14.25" x14ac:dyDescent="0.2">
      <c r="A54" s="22"/>
      <c r="B54" s="22"/>
      <c r="C54" s="22" t="s">
        <v>309</v>
      </c>
      <c r="D54" s="23"/>
      <c r="E54" s="9"/>
      <c r="F54" s="25">
        <f>Source!AM25</f>
        <v>304.99</v>
      </c>
      <c r="G54" s="24" t="str">
        <f>Source!DE25</f>
        <v>)*1,25</v>
      </c>
      <c r="H54" s="9">
        <f>Source!AV25</f>
        <v>1</v>
      </c>
      <c r="I54" s="9">
        <f>IF(Source!BB25&lt;&gt; 0, Source!BB25, 1)</f>
        <v>12.4</v>
      </c>
      <c r="J54" s="25">
        <f>Source!Q25</f>
        <v>21462.17</v>
      </c>
      <c r="K54" s="25"/>
    </row>
    <row r="55" spans="1:35" ht="14.25" x14ac:dyDescent="0.2">
      <c r="A55" s="22"/>
      <c r="B55" s="22"/>
      <c r="C55" s="22" t="s">
        <v>310</v>
      </c>
      <c r="D55" s="23"/>
      <c r="E55" s="9"/>
      <c r="F55" s="25">
        <f>Source!AN25</f>
        <v>41.39</v>
      </c>
      <c r="G55" s="24" t="str">
        <f>Source!DF25</f>
        <v>)*1,25</v>
      </c>
      <c r="H55" s="9">
        <f>Source!AV25</f>
        <v>1</v>
      </c>
      <c r="I55" s="9">
        <f>IF(Source!BS25&lt;&gt; 0, Source!BS25, 1)</f>
        <v>34.51</v>
      </c>
      <c r="J55" s="26">
        <f>Source!R25</f>
        <v>8106.05</v>
      </c>
      <c r="K55" s="25"/>
    </row>
    <row r="56" spans="1:35" ht="14.25" x14ac:dyDescent="0.2">
      <c r="A56" s="22"/>
      <c r="B56" s="22"/>
      <c r="C56" s="22" t="s">
        <v>318</v>
      </c>
      <c r="D56" s="23"/>
      <c r="E56" s="9"/>
      <c r="F56" s="25">
        <f>Source!AL25</f>
        <v>9756</v>
      </c>
      <c r="G56" s="24" t="str">
        <f>Source!DD25</f>
        <v/>
      </c>
      <c r="H56" s="9">
        <f>Source!AW25</f>
        <v>1</v>
      </c>
      <c r="I56" s="9">
        <f>IF(Source!BC25&lt;&gt; 0, Source!BC25, 1)</f>
        <v>2.74</v>
      </c>
      <c r="J56" s="25">
        <f>Source!P25</f>
        <v>121360.74</v>
      </c>
      <c r="K56" s="25"/>
    </row>
    <row r="57" spans="1:35" ht="185.25" x14ac:dyDescent="0.2">
      <c r="A57" s="22" t="s">
        <v>32</v>
      </c>
      <c r="B57" s="22" t="str">
        <f>Source!F26</f>
        <v>1.1-1-2981</v>
      </c>
      <c r="C57" s="22" t="s">
        <v>279</v>
      </c>
      <c r="D57" s="23" t="str">
        <f>Source!H26</f>
        <v>м</v>
      </c>
      <c r="E57" s="9">
        <f>Source!I26</f>
        <v>1604.89</v>
      </c>
      <c r="F57" s="25">
        <f>Source!AK26</f>
        <v>15.13</v>
      </c>
      <c r="G57" s="34" t="s">
        <v>5</v>
      </c>
      <c r="H57" s="9">
        <f>Source!AW26</f>
        <v>1</v>
      </c>
      <c r="I57" s="9">
        <f>IF(Source!BC26&lt;&gt; 0, Source!BC26, 1)</f>
        <v>0.95</v>
      </c>
      <c r="J57" s="25">
        <f>Source!O26</f>
        <v>23067.89</v>
      </c>
      <c r="K57" s="25"/>
      <c r="Q57">
        <f>ROUND((Source!DN26/100)*ROUND((ROUND((Source!AF26*Source!AV26*Source!I26),2)),2), 2)</f>
        <v>0</v>
      </c>
      <c r="R57">
        <f>Source!X26</f>
        <v>0</v>
      </c>
      <c r="S57">
        <f>ROUND((Source!DO26/100)*ROUND((ROUND((Source!AF26*Source!AV26*Source!I26),2)),2), 2)</f>
        <v>0</v>
      </c>
      <c r="T57">
        <f>Source!Y26</f>
        <v>0</v>
      </c>
      <c r="U57">
        <f>ROUND((175/100)*ROUND((ROUND((Source!AE26*Source!AV26*Source!I26),2)),2), 2)</f>
        <v>0</v>
      </c>
      <c r="V57">
        <f>ROUND((160/100)*ROUND(ROUND((ROUND((Source!AE26*Source!AV26*Source!I26),2)*Source!BS26),2), 2), 2)</f>
        <v>0</v>
      </c>
      <c r="AI57">
        <v>3</v>
      </c>
    </row>
    <row r="58" spans="1:35" ht="242.25" x14ac:dyDescent="0.2">
      <c r="A58" s="22" t="s">
        <v>36</v>
      </c>
      <c r="B58" s="22" t="str">
        <f>Source!F27</f>
        <v>1.1-1-2980</v>
      </c>
      <c r="C58" s="22" t="s">
        <v>278</v>
      </c>
      <c r="D58" s="23" t="str">
        <f>Source!H27</f>
        <v>м</v>
      </c>
      <c r="E58" s="9">
        <f>Source!I27</f>
        <v>388.17</v>
      </c>
      <c r="F58" s="25">
        <f>Source!AK27</f>
        <v>14.75</v>
      </c>
      <c r="G58" s="34" t="s">
        <v>5</v>
      </c>
      <c r="H58" s="9">
        <f>Source!AW27</f>
        <v>1</v>
      </c>
      <c r="I58" s="9">
        <f>IF(Source!BC27&lt;&gt; 0, Source!BC27, 1)</f>
        <v>1.79</v>
      </c>
      <c r="J58" s="25">
        <f>Source!O27</f>
        <v>10248.66</v>
      </c>
      <c r="K58" s="25"/>
      <c r="Q58">
        <f>ROUND((Source!DN27/100)*ROUND((ROUND((Source!AF27*Source!AV27*Source!I27),2)),2), 2)</f>
        <v>0</v>
      </c>
      <c r="R58">
        <f>Source!X27</f>
        <v>0</v>
      </c>
      <c r="S58">
        <f>ROUND((Source!DO27/100)*ROUND((ROUND((Source!AF27*Source!AV27*Source!I27),2)),2), 2)</f>
        <v>0</v>
      </c>
      <c r="T58">
        <f>Source!Y27</f>
        <v>0</v>
      </c>
      <c r="U58">
        <f>ROUND((175/100)*ROUND((ROUND((Source!AE27*Source!AV27*Source!I27),2)),2), 2)</f>
        <v>0</v>
      </c>
      <c r="V58">
        <f>ROUND((160/100)*ROUND(ROUND((ROUND((Source!AE27*Source!AV27*Source!I27),2)*Source!BS27),2), 2), 2)</f>
        <v>0</v>
      </c>
      <c r="AI58">
        <v>3</v>
      </c>
    </row>
    <row r="59" spans="1:35" ht="84" x14ac:dyDescent="0.2">
      <c r="A59" s="22" t="s">
        <v>39</v>
      </c>
      <c r="B59" s="22" t="str">
        <f>Source!F28</f>
        <v>Цена поставщика</v>
      </c>
      <c r="C59" s="22" t="s">
        <v>319</v>
      </c>
      <c r="D59" s="23" t="str">
        <f>Source!H28</f>
        <v>м2</v>
      </c>
      <c r="E59" s="9">
        <f>Source!I28</f>
        <v>454</v>
      </c>
      <c r="F59" s="25">
        <f>Source!AK28</f>
        <v>24480</v>
      </c>
      <c r="G59" s="34" t="s">
        <v>5</v>
      </c>
      <c r="H59" s="9">
        <f>Source!AW28</f>
        <v>1</v>
      </c>
      <c r="I59" s="9">
        <f>IF(Source!BC28&lt;&gt; 0, Source!BC28, 1)</f>
        <v>1</v>
      </c>
      <c r="J59" s="25">
        <f>Source!O28</f>
        <v>11113920</v>
      </c>
      <c r="K59" s="25"/>
      <c r="Q59">
        <f>ROUND((Source!DN28/100)*ROUND((ROUND((Source!AF28*Source!AV28*Source!I28),2)),2), 2)</f>
        <v>0</v>
      </c>
      <c r="R59">
        <f>Source!X28</f>
        <v>0</v>
      </c>
      <c r="S59">
        <f>ROUND((Source!DO28/100)*ROUND((ROUND((Source!AF28*Source!AV28*Source!I28),2)),2), 2)</f>
        <v>0</v>
      </c>
      <c r="T59">
        <f>Source!Y28</f>
        <v>0</v>
      </c>
      <c r="U59">
        <f>ROUND((175/100)*ROUND((ROUND((Source!AE28*Source!AV28*Source!I28),2)),2), 2)</f>
        <v>0</v>
      </c>
      <c r="V59">
        <f>ROUND((160/100)*ROUND(ROUND((ROUND((Source!AE28*Source!AV28*Source!I28),2)*Source!BS28),2), 2), 2)</f>
        <v>0</v>
      </c>
      <c r="AI59">
        <v>3</v>
      </c>
    </row>
    <row r="60" spans="1:35" ht="42.75" x14ac:dyDescent="0.2">
      <c r="A60" s="22" t="s">
        <v>45</v>
      </c>
      <c r="B60" s="22" t="str">
        <f>Source!F29</f>
        <v>1.1-1-2984</v>
      </c>
      <c r="C60" s="22" t="s">
        <v>47</v>
      </c>
      <c r="D60" s="23" t="str">
        <f>Source!H29</f>
        <v>м</v>
      </c>
      <c r="E60" s="9">
        <f>Source!I29</f>
        <v>939.78</v>
      </c>
      <c r="F60" s="25">
        <f>Source!AK29</f>
        <v>6.48</v>
      </c>
      <c r="G60" s="34" t="s">
        <v>5</v>
      </c>
      <c r="H60" s="9">
        <f>Source!AW29</f>
        <v>1</v>
      </c>
      <c r="I60" s="9">
        <f>IF(Source!BC29&lt;&gt; 0, Source!BC29, 1)</f>
        <v>0.84</v>
      </c>
      <c r="J60" s="25">
        <f>Source!O29</f>
        <v>5115.41</v>
      </c>
      <c r="K60" s="25"/>
      <c r="Q60">
        <f>ROUND((Source!DN29/100)*ROUND((ROUND((Source!AF29*Source!AV29*Source!I29),2)),2), 2)</f>
        <v>0</v>
      </c>
      <c r="R60">
        <f>Source!X29</f>
        <v>0</v>
      </c>
      <c r="S60">
        <f>ROUND((Source!DO29/100)*ROUND((ROUND((Source!AF29*Source!AV29*Source!I29),2)),2), 2)</f>
        <v>0</v>
      </c>
      <c r="T60">
        <f>Source!Y29</f>
        <v>0</v>
      </c>
      <c r="U60">
        <f>ROUND((175/100)*ROUND((ROUND((Source!AE29*Source!AV29*Source!I29),2)),2), 2)</f>
        <v>0</v>
      </c>
      <c r="V60">
        <f>ROUND((160/100)*ROUND(ROUND((ROUND((Source!AE29*Source!AV29*Source!I29),2)*Source!BS29),2), 2), 2)</f>
        <v>0</v>
      </c>
      <c r="AI60">
        <v>3</v>
      </c>
    </row>
    <row r="61" spans="1:35" ht="14.25" x14ac:dyDescent="0.2">
      <c r="A61" s="22"/>
      <c r="B61" s="22"/>
      <c r="C61" s="22" t="s">
        <v>311</v>
      </c>
      <c r="D61" s="23" t="s">
        <v>312</v>
      </c>
      <c r="E61" s="9">
        <f>Source!BZ25</f>
        <v>87</v>
      </c>
      <c r="F61" s="25"/>
      <c r="G61" s="24"/>
      <c r="H61" s="9"/>
      <c r="I61" s="9"/>
      <c r="J61" s="25">
        <f>SUM(R52:R60)</f>
        <v>346211.09</v>
      </c>
      <c r="K61" s="25"/>
    </row>
    <row r="62" spans="1:35" ht="14.25" x14ac:dyDescent="0.2">
      <c r="A62" s="22"/>
      <c r="B62" s="22"/>
      <c r="C62" s="22" t="s">
        <v>313</v>
      </c>
      <c r="D62" s="23" t="s">
        <v>312</v>
      </c>
      <c r="E62" s="9">
        <f>Source!CA25</f>
        <v>41</v>
      </c>
      <c r="F62" s="25"/>
      <c r="G62" s="24"/>
      <c r="H62" s="9"/>
      <c r="I62" s="9"/>
      <c r="J62" s="25">
        <f>SUM(T52:T61)</f>
        <v>163156.95000000001</v>
      </c>
      <c r="K62" s="25"/>
    </row>
    <row r="63" spans="1:35" ht="14.25" x14ac:dyDescent="0.2">
      <c r="A63" s="22"/>
      <c r="B63" s="22"/>
      <c r="C63" s="22" t="s">
        <v>314</v>
      </c>
      <c r="D63" s="23" t="s">
        <v>312</v>
      </c>
      <c r="E63" s="9">
        <f>160</f>
        <v>160</v>
      </c>
      <c r="F63" s="25"/>
      <c r="G63" s="24"/>
      <c r="H63" s="9"/>
      <c r="I63" s="9"/>
      <c r="J63" s="25">
        <f>SUM(V52:V62)</f>
        <v>12969.68</v>
      </c>
      <c r="K63" s="25"/>
    </row>
    <row r="64" spans="1:35" ht="14.25" x14ac:dyDescent="0.2">
      <c r="A64" s="27"/>
      <c r="B64" s="27"/>
      <c r="C64" s="27" t="s">
        <v>315</v>
      </c>
      <c r="D64" s="28" t="s">
        <v>316</v>
      </c>
      <c r="E64" s="29">
        <f>Source!AQ25</f>
        <v>188.92</v>
      </c>
      <c r="F64" s="30"/>
      <c r="G64" s="31" t="str">
        <f>Source!DI25</f>
        <v>)*1,15</v>
      </c>
      <c r="H64" s="29">
        <f>Source!AV25</f>
        <v>1</v>
      </c>
      <c r="I64" s="29"/>
      <c r="J64" s="30"/>
      <c r="K64" s="30">
        <f>Source!U25</f>
        <v>986.35131999999987</v>
      </c>
    </row>
    <row r="65" spans="1:35" ht="15" x14ac:dyDescent="0.25">
      <c r="C65" s="17" t="s">
        <v>317</v>
      </c>
      <c r="I65" s="58">
        <f>J53+J54+J56+J61+J62+J63+SUM(J57:J60)</f>
        <v>12215456.370000001</v>
      </c>
      <c r="J65" s="58"/>
      <c r="K65" s="33">
        <f>IF(Source!I25&lt;&gt;0, ROUND(I65/Source!I25, 2), 0)</f>
        <v>2690629.16</v>
      </c>
      <c r="P65" s="32">
        <f>J53+J54+J56+J61+J62+J63+SUM(J57:J60)</f>
        <v>12215456.370000001</v>
      </c>
    </row>
    <row r="67" spans="1:35" ht="28.5" x14ac:dyDescent="0.2">
      <c r="A67" s="22">
        <v>3</v>
      </c>
      <c r="B67" s="22" t="str">
        <f>Source!F30</f>
        <v>3.10-85-1</v>
      </c>
      <c r="C67" s="22" t="s">
        <v>51</v>
      </c>
      <c r="D67" s="23" t="str">
        <f>Source!H30</f>
        <v>100 м</v>
      </c>
      <c r="E67" s="9">
        <f>Source!I30</f>
        <v>2.27</v>
      </c>
      <c r="F67" s="25"/>
      <c r="G67" s="24"/>
      <c r="H67" s="9"/>
      <c r="I67" s="9"/>
      <c r="J67" s="25"/>
      <c r="K67" s="25"/>
      <c r="Q67">
        <f>ROUND((Source!DN30/100)*ROUND((ROUND((Source!AF30*Source!AV30*Source!I30),2)),2), 2)</f>
        <v>611.19000000000005</v>
      </c>
      <c r="R67">
        <f>Source!X30</f>
        <v>17476.5</v>
      </c>
      <c r="S67">
        <f>ROUND((Source!DO30/100)*ROUND((ROUND((Source!AF30*Source!AV30*Source!I30),2)),2), 2)</f>
        <v>407.46</v>
      </c>
      <c r="T67">
        <f>Source!Y30</f>
        <v>8236.0499999999993</v>
      </c>
      <c r="U67">
        <f>ROUND((175/100)*ROUND((ROUND((Source!AE30*Source!AV30*Source!I30),2)),2), 2)</f>
        <v>8.7899999999999991</v>
      </c>
      <c r="V67">
        <f>ROUND((160/100)*ROUND(ROUND((ROUND((Source!AE30*Source!AV30*Source!I30),2)*Source!BS30),2), 2), 2)</f>
        <v>277.18</v>
      </c>
      <c r="AI67">
        <v>0</v>
      </c>
    </row>
    <row r="68" spans="1:35" ht="14.25" x14ac:dyDescent="0.2">
      <c r="A68" s="22"/>
      <c r="B68" s="22"/>
      <c r="C68" s="22" t="s">
        <v>308</v>
      </c>
      <c r="D68" s="23"/>
      <c r="E68" s="9"/>
      <c r="F68" s="25">
        <f>Source!AO30</f>
        <v>222.98</v>
      </c>
      <c r="G68" s="24" t="str">
        <f>Source!DG30</f>
        <v>)*1,15</v>
      </c>
      <c r="H68" s="9">
        <f>Source!AV30</f>
        <v>1</v>
      </c>
      <c r="I68" s="9">
        <f>IF(Source!BA30&lt;&gt; 0, Source!BA30, 1)</f>
        <v>34.51</v>
      </c>
      <c r="J68" s="25">
        <f>Source!S30</f>
        <v>20087.93</v>
      </c>
      <c r="K68" s="25"/>
    </row>
    <row r="69" spans="1:35" ht="14.25" x14ac:dyDescent="0.2">
      <c r="A69" s="22"/>
      <c r="B69" s="22"/>
      <c r="C69" s="22" t="s">
        <v>309</v>
      </c>
      <c r="D69" s="23"/>
      <c r="E69" s="9"/>
      <c r="F69" s="25">
        <f>Source!AM30</f>
        <v>11.63</v>
      </c>
      <c r="G69" s="24" t="str">
        <f>Source!DE30</f>
        <v>)*1,25</v>
      </c>
      <c r="H69" s="9">
        <f>Source!AV30</f>
        <v>1</v>
      </c>
      <c r="I69" s="9">
        <f>IF(Source!BB30&lt;&gt; 0, Source!BB30, 1)</f>
        <v>12.86</v>
      </c>
      <c r="J69" s="25">
        <f>Source!Q30</f>
        <v>424.38</v>
      </c>
      <c r="K69" s="25"/>
    </row>
    <row r="70" spans="1:35" ht="14.25" x14ac:dyDescent="0.2">
      <c r="A70" s="22"/>
      <c r="B70" s="22"/>
      <c r="C70" s="22" t="s">
        <v>310</v>
      </c>
      <c r="D70" s="23"/>
      <c r="E70" s="9"/>
      <c r="F70" s="25">
        <f>Source!AN30</f>
        <v>1.77</v>
      </c>
      <c r="G70" s="24" t="str">
        <f>Source!DF30</f>
        <v>)*1,25</v>
      </c>
      <c r="H70" s="9">
        <f>Source!AV30</f>
        <v>1</v>
      </c>
      <c r="I70" s="9">
        <f>IF(Source!BS30&lt;&gt; 0, Source!BS30, 1)</f>
        <v>34.51</v>
      </c>
      <c r="J70" s="26">
        <f>Source!R30</f>
        <v>173.24</v>
      </c>
      <c r="K70" s="25"/>
    </row>
    <row r="71" spans="1:35" ht="14.25" x14ac:dyDescent="0.2">
      <c r="A71" s="22"/>
      <c r="B71" s="22"/>
      <c r="C71" s="22" t="s">
        <v>318</v>
      </c>
      <c r="D71" s="23"/>
      <c r="E71" s="9"/>
      <c r="F71" s="25">
        <f>Source!AL30</f>
        <v>2322.02</v>
      </c>
      <c r="G71" s="24" t="str">
        <f>Source!DD30</f>
        <v>)*1</v>
      </c>
      <c r="H71" s="9">
        <f>Source!AW30</f>
        <v>1</v>
      </c>
      <c r="I71" s="9">
        <f>IF(Source!BC30&lt;&gt; 0, Source!BC30, 1)</f>
        <v>4.9000000000000004</v>
      </c>
      <c r="J71" s="25">
        <f>Source!P30</f>
        <v>25827.85</v>
      </c>
      <c r="K71" s="25"/>
    </row>
    <row r="72" spans="1:35" ht="41.25" x14ac:dyDescent="0.2">
      <c r="A72" s="22" t="s">
        <v>56</v>
      </c>
      <c r="B72" s="22" t="str">
        <f>Source!F31</f>
        <v>Цена поставщика</v>
      </c>
      <c r="C72" s="22" t="s">
        <v>320</v>
      </c>
      <c r="D72" s="23" t="str">
        <f>Source!H31</f>
        <v>м</v>
      </c>
      <c r="E72" s="9">
        <f>Source!I31</f>
        <v>227</v>
      </c>
      <c r="F72" s="25">
        <f>Source!AK31</f>
        <v>297.5</v>
      </c>
      <c r="G72" s="34" t="s">
        <v>321</v>
      </c>
      <c r="H72" s="9">
        <f>Source!AW31</f>
        <v>1</v>
      </c>
      <c r="I72" s="9">
        <f>IF(Source!BC31&lt;&gt; 0, Source!BC31, 1)</f>
        <v>1</v>
      </c>
      <c r="J72" s="25">
        <f>Source!O31</f>
        <v>67532.5</v>
      </c>
      <c r="K72" s="25"/>
      <c r="Q72">
        <f>ROUND((Source!DN31/100)*ROUND((ROUND((Source!AF31*Source!AV31*Source!I31),2)),2), 2)</f>
        <v>0</v>
      </c>
      <c r="R72">
        <f>Source!X31</f>
        <v>0</v>
      </c>
      <c r="S72">
        <f>ROUND((Source!DO31/100)*ROUND((ROUND((Source!AF31*Source!AV31*Source!I31),2)),2), 2)</f>
        <v>0</v>
      </c>
      <c r="T72">
        <f>Source!Y31</f>
        <v>0</v>
      </c>
      <c r="U72">
        <f>ROUND((175/100)*ROUND((ROUND((Source!AE31*Source!AV31*Source!I31),2)),2), 2)</f>
        <v>0</v>
      </c>
      <c r="V72">
        <f>ROUND((160/100)*ROUND(ROUND((ROUND((Source!AE31*Source!AV31*Source!I31),2)*Source!BS31),2), 2), 2)</f>
        <v>0</v>
      </c>
      <c r="AI72">
        <v>3</v>
      </c>
    </row>
    <row r="73" spans="1:35" ht="42.75" x14ac:dyDescent="0.2">
      <c r="A73" s="22" t="s">
        <v>59</v>
      </c>
      <c r="B73" s="22" t="str">
        <f>Source!F32</f>
        <v>1.9-12-112</v>
      </c>
      <c r="C73" s="22" t="s">
        <v>61</v>
      </c>
      <c r="D73" s="23" t="str">
        <f>Source!H32</f>
        <v>шт.</v>
      </c>
      <c r="E73" s="9">
        <f>Source!I32</f>
        <v>114</v>
      </c>
      <c r="F73" s="25">
        <f>Source!AK32</f>
        <v>10.42</v>
      </c>
      <c r="G73" s="34" t="s">
        <v>321</v>
      </c>
      <c r="H73" s="9">
        <f>Source!AW32</f>
        <v>1</v>
      </c>
      <c r="I73" s="9">
        <f>IF(Source!BC32&lt;&gt; 0, Source!BC32, 1)</f>
        <v>4.3499999999999996</v>
      </c>
      <c r="J73" s="25">
        <f>Source!O32</f>
        <v>5167.28</v>
      </c>
      <c r="K73" s="25"/>
      <c r="Q73">
        <f>ROUND((Source!DN32/100)*ROUND((ROUND((Source!AF32*Source!AV32*Source!I32),2)),2), 2)</f>
        <v>0</v>
      </c>
      <c r="R73">
        <f>Source!X32</f>
        <v>0</v>
      </c>
      <c r="S73">
        <f>ROUND((Source!DO32/100)*ROUND((ROUND((Source!AF32*Source!AV32*Source!I32),2)),2), 2)</f>
        <v>0</v>
      </c>
      <c r="T73">
        <f>Source!Y32</f>
        <v>0</v>
      </c>
      <c r="U73">
        <f>ROUND((175/100)*ROUND((ROUND((Source!AE32*Source!AV32*Source!I32),2)),2), 2)</f>
        <v>0</v>
      </c>
      <c r="V73">
        <f>ROUND((160/100)*ROUND(ROUND((ROUND((Source!AE32*Source!AV32*Source!I32),2)*Source!BS32),2), 2), 2)</f>
        <v>0</v>
      </c>
      <c r="AI73">
        <v>3</v>
      </c>
    </row>
    <row r="74" spans="1:35" ht="14.25" x14ac:dyDescent="0.2">
      <c r="A74" s="22"/>
      <c r="B74" s="22"/>
      <c r="C74" s="22" t="s">
        <v>311</v>
      </c>
      <c r="D74" s="23" t="s">
        <v>312</v>
      </c>
      <c r="E74" s="9">
        <f>Source!BZ30</f>
        <v>87</v>
      </c>
      <c r="F74" s="25"/>
      <c r="G74" s="24"/>
      <c r="H74" s="9"/>
      <c r="I74" s="9"/>
      <c r="J74" s="25">
        <f>SUM(R67:R73)</f>
        <v>17476.5</v>
      </c>
      <c r="K74" s="25"/>
    </row>
    <row r="75" spans="1:35" ht="14.25" x14ac:dyDescent="0.2">
      <c r="A75" s="22"/>
      <c r="B75" s="22"/>
      <c r="C75" s="22" t="s">
        <v>313</v>
      </c>
      <c r="D75" s="23" t="s">
        <v>312</v>
      </c>
      <c r="E75" s="9">
        <f>Source!CA30</f>
        <v>41</v>
      </c>
      <c r="F75" s="25"/>
      <c r="G75" s="24"/>
      <c r="H75" s="9"/>
      <c r="I75" s="9"/>
      <c r="J75" s="25">
        <f>SUM(T67:T74)</f>
        <v>8236.0499999999993</v>
      </c>
      <c r="K75" s="25"/>
    </row>
    <row r="76" spans="1:35" ht="14.25" x14ac:dyDescent="0.2">
      <c r="A76" s="22"/>
      <c r="B76" s="22"/>
      <c r="C76" s="22" t="s">
        <v>314</v>
      </c>
      <c r="D76" s="23" t="s">
        <v>312</v>
      </c>
      <c r="E76" s="9">
        <f>160</f>
        <v>160</v>
      </c>
      <c r="F76" s="25"/>
      <c r="G76" s="24"/>
      <c r="H76" s="9"/>
      <c r="I76" s="9"/>
      <c r="J76" s="25">
        <f>SUM(V67:V75)</f>
        <v>277.18</v>
      </c>
      <c r="K76" s="25"/>
    </row>
    <row r="77" spans="1:35" ht="14.25" x14ac:dyDescent="0.2">
      <c r="A77" s="27"/>
      <c r="B77" s="27"/>
      <c r="C77" s="27" t="s">
        <v>315</v>
      </c>
      <c r="D77" s="28" t="s">
        <v>316</v>
      </c>
      <c r="E77" s="29">
        <f>Source!AQ30</f>
        <v>19.440000000000001</v>
      </c>
      <c r="F77" s="30"/>
      <c r="G77" s="31" t="str">
        <f>Source!DI30</f>
        <v>)*1,15</v>
      </c>
      <c r="H77" s="29">
        <f>Source!AV30</f>
        <v>1</v>
      </c>
      <c r="I77" s="29"/>
      <c r="J77" s="30"/>
      <c r="K77" s="30">
        <f>Source!U30</f>
        <v>50.748119999999993</v>
      </c>
    </row>
    <row r="78" spans="1:35" ht="15" x14ac:dyDescent="0.25">
      <c r="C78" s="17" t="s">
        <v>317</v>
      </c>
      <c r="I78" s="58">
        <f>J68+J69+J71+J74+J75+J76+SUM(J72:J73)</f>
        <v>145029.66999999998</v>
      </c>
      <c r="J78" s="58"/>
      <c r="K78" s="33">
        <f>IF(Source!I30&lt;&gt;0, ROUND(I78/Source!I30, 2), 0)</f>
        <v>63889.72</v>
      </c>
      <c r="P78" s="32">
        <f>J68+J69+J71+J74+J75+J76+SUM(J72:J73)</f>
        <v>145029.66999999998</v>
      </c>
    </row>
    <row r="80" spans="1:35" ht="57" x14ac:dyDescent="0.2">
      <c r="A80" s="22">
        <v>4</v>
      </c>
      <c r="B80" s="22" t="str">
        <f>Source!F33</f>
        <v>3.9-85-1</v>
      </c>
      <c r="C80" s="22" t="s">
        <v>66</v>
      </c>
      <c r="D80" s="23" t="str">
        <f>Source!H33</f>
        <v>100 шт. кронштейнов</v>
      </c>
      <c r="E80" s="9">
        <f>Source!I33</f>
        <v>2</v>
      </c>
      <c r="F80" s="25"/>
      <c r="G80" s="24"/>
      <c r="H80" s="9"/>
      <c r="I80" s="9"/>
      <c r="J80" s="25"/>
      <c r="K80" s="25"/>
      <c r="Q80">
        <f>ROUND((Source!DN33/100)*ROUND((ROUND((Source!AF33*Source!AV33*Source!I33),2)),2), 2)</f>
        <v>1342.54</v>
      </c>
      <c r="R80">
        <f>Source!X33</f>
        <v>38155.01</v>
      </c>
      <c r="S80">
        <f>ROUND((Source!DO33/100)*ROUND((ROUND((Source!AF33*Source!AV33*Source!I33),2)),2), 2)</f>
        <v>1105.6199999999999</v>
      </c>
      <c r="T80">
        <f>Source!Y33</f>
        <v>22347.94</v>
      </c>
      <c r="U80">
        <f>ROUND((175/100)*ROUND((ROUND((Source!AE33*Source!AV33*Source!I33),2)),2), 2)</f>
        <v>9.42</v>
      </c>
      <c r="V80">
        <f>ROUND((160/100)*ROUND(ROUND((ROUND((Source!AE33*Source!AV33*Source!I33),2)*Source!BS33),2), 2), 2)</f>
        <v>297.06</v>
      </c>
      <c r="AI80">
        <v>0</v>
      </c>
    </row>
    <row r="81" spans="1:35" x14ac:dyDescent="0.2">
      <c r="C81" s="35" t="str">
        <f>"Объем: "&amp;Source!I33&amp;"=200/"&amp;"100"</f>
        <v>Объем: 2=200/100</v>
      </c>
    </row>
    <row r="82" spans="1:35" ht="14.25" x14ac:dyDescent="0.2">
      <c r="A82" s="22"/>
      <c r="B82" s="22"/>
      <c r="C82" s="22" t="s">
        <v>308</v>
      </c>
      <c r="D82" s="23"/>
      <c r="E82" s="9"/>
      <c r="F82" s="25">
        <f>Source!AO33</f>
        <v>686.72</v>
      </c>
      <c r="G82" s="24" t="str">
        <f>Source!DG33</f>
        <v>)*1,15</v>
      </c>
      <c r="H82" s="9">
        <f>Source!AV33</f>
        <v>1</v>
      </c>
      <c r="I82" s="9">
        <f>IF(Source!BA33&lt;&gt; 0, Source!BA33, 1)</f>
        <v>34.51</v>
      </c>
      <c r="J82" s="25">
        <f>Source!S33</f>
        <v>54507.16</v>
      </c>
      <c r="K82" s="25"/>
    </row>
    <row r="83" spans="1:35" ht="14.25" x14ac:dyDescent="0.2">
      <c r="A83" s="22"/>
      <c r="B83" s="22"/>
      <c r="C83" s="22" t="s">
        <v>309</v>
      </c>
      <c r="D83" s="23"/>
      <c r="E83" s="9"/>
      <c r="F83" s="25">
        <f>Source!AM33</f>
        <v>21.01</v>
      </c>
      <c r="G83" s="24" t="str">
        <f>Source!DE33</f>
        <v>)*1,25</v>
      </c>
      <c r="H83" s="9">
        <f>Source!AV33</f>
        <v>1</v>
      </c>
      <c r="I83" s="9">
        <f>IF(Source!BB33&lt;&gt; 0, Source!BB33, 1)</f>
        <v>11.43</v>
      </c>
      <c r="J83" s="25">
        <f>Source!Q33</f>
        <v>600.41999999999996</v>
      </c>
      <c r="K83" s="25"/>
    </row>
    <row r="84" spans="1:35" ht="14.25" x14ac:dyDescent="0.2">
      <c r="A84" s="22"/>
      <c r="B84" s="22"/>
      <c r="C84" s="22" t="s">
        <v>310</v>
      </c>
      <c r="D84" s="23"/>
      <c r="E84" s="9"/>
      <c r="F84" s="25">
        <f>Source!AN33</f>
        <v>2.15</v>
      </c>
      <c r="G84" s="24" t="str">
        <f>Source!DF33</f>
        <v>)*1,25</v>
      </c>
      <c r="H84" s="9">
        <f>Source!AV33</f>
        <v>1</v>
      </c>
      <c r="I84" s="9">
        <f>IF(Source!BS33&lt;&gt; 0, Source!BS33, 1)</f>
        <v>34.51</v>
      </c>
      <c r="J84" s="26">
        <f>Source!R33</f>
        <v>185.66</v>
      </c>
      <c r="K84" s="25"/>
    </row>
    <row r="85" spans="1:35" ht="14.25" x14ac:dyDescent="0.2">
      <c r="A85" s="22"/>
      <c r="B85" s="22"/>
      <c r="C85" s="22" t="s">
        <v>318</v>
      </c>
      <c r="D85" s="23"/>
      <c r="E85" s="9"/>
      <c r="F85" s="25">
        <f>Source!AL33</f>
        <v>525.01</v>
      </c>
      <c r="G85" s="24" t="str">
        <f>Source!DD33</f>
        <v>)*1</v>
      </c>
      <c r="H85" s="9">
        <f>Source!AW33</f>
        <v>1</v>
      </c>
      <c r="I85" s="9">
        <f>IF(Source!BC33&lt;&gt; 0, Source!BC33, 1)</f>
        <v>6.14</v>
      </c>
      <c r="J85" s="25">
        <f>Source!P33</f>
        <v>6447.12</v>
      </c>
      <c r="K85" s="25"/>
    </row>
    <row r="86" spans="1:35" ht="28.5" x14ac:dyDescent="0.2">
      <c r="A86" s="22" t="s">
        <v>71</v>
      </c>
      <c r="B86" s="22" t="str">
        <f>Source!F34</f>
        <v>1.7-3-24</v>
      </c>
      <c r="C86" s="22" t="s">
        <v>73</v>
      </c>
      <c r="D86" s="23" t="str">
        <f>Source!H34</f>
        <v>шт.</v>
      </c>
      <c r="E86" s="9">
        <f>Source!I34</f>
        <v>20</v>
      </c>
      <c r="F86" s="25">
        <f>Source!AK34</f>
        <v>105.06</v>
      </c>
      <c r="G86" s="34" t="s">
        <v>321</v>
      </c>
      <c r="H86" s="9">
        <f>Source!AW34</f>
        <v>1</v>
      </c>
      <c r="I86" s="9">
        <f>IF(Source!BC34&lt;&gt; 0, Source!BC34, 1)</f>
        <v>2.09</v>
      </c>
      <c r="J86" s="25">
        <f>Source!O34</f>
        <v>4391.51</v>
      </c>
      <c r="K86" s="25"/>
      <c r="Q86">
        <f>ROUND((Source!DN34/100)*ROUND((ROUND((Source!AF34*Source!AV34*Source!I34),2)),2), 2)</f>
        <v>0</v>
      </c>
      <c r="R86">
        <f>Source!X34</f>
        <v>0</v>
      </c>
      <c r="S86">
        <f>ROUND((Source!DO34/100)*ROUND((ROUND((Source!AF34*Source!AV34*Source!I34),2)),2), 2)</f>
        <v>0</v>
      </c>
      <c r="T86">
        <f>Source!Y34</f>
        <v>0</v>
      </c>
      <c r="U86">
        <f>ROUND((175/100)*ROUND((ROUND((Source!AE34*Source!AV34*Source!I34),2)),2), 2)</f>
        <v>0</v>
      </c>
      <c r="V86">
        <f>ROUND((160/100)*ROUND(ROUND((ROUND((Source!AE34*Source!AV34*Source!I34),2)*Source!BS34),2), 2), 2)</f>
        <v>0</v>
      </c>
      <c r="AI86">
        <v>3</v>
      </c>
    </row>
    <row r="87" spans="1:35" ht="14.25" x14ac:dyDescent="0.2">
      <c r="A87" s="22"/>
      <c r="B87" s="22"/>
      <c r="C87" s="22" t="s">
        <v>311</v>
      </c>
      <c r="D87" s="23" t="s">
        <v>312</v>
      </c>
      <c r="E87" s="9">
        <f>Source!BZ33</f>
        <v>70</v>
      </c>
      <c r="F87" s="25"/>
      <c r="G87" s="24"/>
      <c r="H87" s="9"/>
      <c r="I87" s="9"/>
      <c r="J87" s="25">
        <f>SUM(R80:R86)</f>
        <v>38155.01</v>
      </c>
      <c r="K87" s="25"/>
    </row>
    <row r="88" spans="1:35" ht="14.25" x14ac:dyDescent="0.2">
      <c r="A88" s="22"/>
      <c r="B88" s="22"/>
      <c r="C88" s="22" t="s">
        <v>313</v>
      </c>
      <c r="D88" s="23" t="s">
        <v>312</v>
      </c>
      <c r="E88" s="9">
        <f>Source!CA33</f>
        <v>41</v>
      </c>
      <c r="F88" s="25"/>
      <c r="G88" s="24"/>
      <c r="H88" s="9"/>
      <c r="I88" s="9"/>
      <c r="J88" s="25">
        <f>SUM(T80:T87)</f>
        <v>22347.94</v>
      </c>
      <c r="K88" s="25"/>
    </row>
    <row r="89" spans="1:35" ht="14.25" x14ac:dyDescent="0.2">
      <c r="A89" s="22"/>
      <c r="B89" s="22"/>
      <c r="C89" s="22" t="s">
        <v>314</v>
      </c>
      <c r="D89" s="23" t="s">
        <v>312</v>
      </c>
      <c r="E89" s="9">
        <f>160</f>
        <v>160</v>
      </c>
      <c r="F89" s="25"/>
      <c r="G89" s="24"/>
      <c r="H89" s="9"/>
      <c r="I89" s="9"/>
      <c r="J89" s="25">
        <f>SUM(V80:V88)</f>
        <v>297.06</v>
      </c>
      <c r="K89" s="25"/>
    </row>
    <row r="90" spans="1:35" ht="14.25" x14ac:dyDescent="0.2">
      <c r="A90" s="27"/>
      <c r="B90" s="27"/>
      <c r="C90" s="27" t="s">
        <v>315</v>
      </c>
      <c r="D90" s="28" t="s">
        <v>316</v>
      </c>
      <c r="E90" s="29">
        <f>Source!AQ33</f>
        <v>58.29</v>
      </c>
      <c r="F90" s="30"/>
      <c r="G90" s="31" t="str">
        <f>Source!DI33</f>
        <v>)*1,15</v>
      </c>
      <c r="H90" s="29">
        <f>Source!AV33</f>
        <v>1</v>
      </c>
      <c r="I90" s="29"/>
      <c r="J90" s="30"/>
      <c r="K90" s="30">
        <f>Source!U33</f>
        <v>134.06699999999998</v>
      </c>
    </row>
    <row r="91" spans="1:35" ht="15" x14ac:dyDescent="0.25">
      <c r="C91" s="17" t="s">
        <v>317</v>
      </c>
      <c r="I91" s="58">
        <f>J82+J83+J85+J87+J88+J89+SUM(J86:J86)</f>
        <v>126746.22</v>
      </c>
      <c r="J91" s="58"/>
      <c r="K91" s="33">
        <f>IF(Source!I33&lt;&gt;0, ROUND(I91/Source!I33, 2), 0)</f>
        <v>63373.11</v>
      </c>
      <c r="P91" s="32">
        <f>J82+J83+J85+J87+J88+J89+SUM(J86:J86)</f>
        <v>126746.22</v>
      </c>
    </row>
    <row r="93" spans="1:35" ht="42.75" x14ac:dyDescent="0.2">
      <c r="A93" s="22">
        <v>5</v>
      </c>
      <c r="B93" s="22" t="str">
        <f>Source!F35</f>
        <v>3.9-85-2</v>
      </c>
      <c r="C93" s="22" t="s">
        <v>77</v>
      </c>
      <c r="D93" s="23" t="str">
        <f>Source!H35</f>
        <v>100 м2</v>
      </c>
      <c r="E93" s="9">
        <f>Source!I35</f>
        <v>5.4</v>
      </c>
      <c r="F93" s="25"/>
      <c r="G93" s="24"/>
      <c r="H93" s="9"/>
      <c r="I93" s="9"/>
      <c r="J93" s="25"/>
      <c r="K93" s="25"/>
      <c r="Q93">
        <f>ROUND((Source!DN35/100)*ROUND((ROUND((Source!AF35*Source!AV35*Source!I35),2)),2), 2)</f>
        <v>9120.35</v>
      </c>
      <c r="R93">
        <f>Source!X35</f>
        <v>259200.26</v>
      </c>
      <c r="S93">
        <f>ROUND((Source!DO35/100)*ROUND((ROUND((Source!AF35*Source!AV35*Source!I35),2)),2), 2)</f>
        <v>7510.87</v>
      </c>
      <c r="T93">
        <f>Source!Y35</f>
        <v>151817.29999999999</v>
      </c>
      <c r="U93">
        <f>ROUND((175/100)*ROUND((ROUND((Source!AE35*Source!AV35*Source!I35),2)),2), 2)</f>
        <v>152.15</v>
      </c>
      <c r="V93">
        <f>ROUND((160/100)*ROUND(ROUND((ROUND((Source!AE35*Source!AV35*Source!I35),2)*Source!BS35),2), 2), 2)</f>
        <v>4800.4799999999996</v>
      </c>
      <c r="AI93">
        <v>0</v>
      </c>
    </row>
    <row r="94" spans="1:35" x14ac:dyDescent="0.2">
      <c r="C94" s="35" t="str">
        <f>"Объем: "&amp;Source!I35&amp;"=540/"&amp;"100"</f>
        <v>Объем: 5,4=540/100</v>
      </c>
    </row>
    <row r="95" spans="1:35" ht="14.25" x14ac:dyDescent="0.2">
      <c r="A95" s="22"/>
      <c r="B95" s="22"/>
      <c r="C95" s="22" t="s">
        <v>308</v>
      </c>
      <c r="D95" s="23"/>
      <c r="E95" s="9"/>
      <c r="F95" s="25">
        <f>Source!AO35</f>
        <v>1727.83</v>
      </c>
      <c r="G95" s="24" t="str">
        <f>Source!DG35</f>
        <v>)*1,15</v>
      </c>
      <c r="H95" s="9">
        <f>Source!AV35</f>
        <v>1</v>
      </c>
      <c r="I95" s="9">
        <f>IF(Source!BA35&lt;&gt; 0, Source!BA35, 1)</f>
        <v>34.51</v>
      </c>
      <c r="J95" s="25">
        <f>Source!S35</f>
        <v>370286.09</v>
      </c>
      <c r="K95" s="25"/>
    </row>
    <row r="96" spans="1:35" ht="14.25" x14ac:dyDescent="0.2">
      <c r="A96" s="22"/>
      <c r="B96" s="22"/>
      <c r="C96" s="22" t="s">
        <v>309</v>
      </c>
      <c r="D96" s="23"/>
      <c r="E96" s="9"/>
      <c r="F96" s="25">
        <f>Source!AM35</f>
        <v>135.82</v>
      </c>
      <c r="G96" s="24" t="str">
        <f>Source!DE35</f>
        <v>)*1,25</v>
      </c>
      <c r="H96" s="9">
        <f>Source!AV35</f>
        <v>1</v>
      </c>
      <c r="I96" s="9">
        <f>IF(Source!BB35&lt;&gt; 0, Source!BB35, 1)</f>
        <v>11.34</v>
      </c>
      <c r="J96" s="25">
        <f>Source!Q35</f>
        <v>10396.4</v>
      </c>
      <c r="K96" s="25"/>
    </row>
    <row r="97" spans="1:35" ht="14.25" x14ac:dyDescent="0.2">
      <c r="A97" s="22"/>
      <c r="B97" s="22"/>
      <c r="C97" s="22" t="s">
        <v>310</v>
      </c>
      <c r="D97" s="23"/>
      <c r="E97" s="9"/>
      <c r="F97" s="25">
        <f>Source!AN35</f>
        <v>12.88</v>
      </c>
      <c r="G97" s="24" t="str">
        <f>Source!DF35</f>
        <v>)*1,25</v>
      </c>
      <c r="H97" s="9">
        <f>Source!AV35</f>
        <v>1</v>
      </c>
      <c r="I97" s="9">
        <f>IF(Source!BS35&lt;&gt; 0, Source!BS35, 1)</f>
        <v>34.51</v>
      </c>
      <c r="J97" s="26">
        <f>Source!R35</f>
        <v>3000.3</v>
      </c>
      <c r="K97" s="25"/>
    </row>
    <row r="98" spans="1:35" ht="14.25" x14ac:dyDescent="0.2">
      <c r="A98" s="22"/>
      <c r="B98" s="22"/>
      <c r="C98" s="22" t="s">
        <v>318</v>
      </c>
      <c r="D98" s="23"/>
      <c r="E98" s="9"/>
      <c r="F98" s="25">
        <f>Source!AL35</f>
        <v>5219.9799999999996</v>
      </c>
      <c r="G98" s="24" t="str">
        <f>Source!DD35</f>
        <v>)*1</v>
      </c>
      <c r="H98" s="9">
        <f>Source!AW35</f>
        <v>1</v>
      </c>
      <c r="I98" s="9">
        <f>IF(Source!BC35&lt;&gt; 0, Source!BC35, 1)</f>
        <v>8.5299999999999994</v>
      </c>
      <c r="J98" s="25">
        <f>Source!P35</f>
        <v>240442.7</v>
      </c>
      <c r="K98" s="25"/>
    </row>
    <row r="99" spans="1:35" ht="28.5" x14ac:dyDescent="0.2">
      <c r="A99" s="22" t="s">
        <v>79</v>
      </c>
      <c r="B99" s="22" t="str">
        <f>Source!F36</f>
        <v>1.7-3-24</v>
      </c>
      <c r="C99" s="22" t="s">
        <v>73</v>
      </c>
      <c r="D99" s="23" t="str">
        <f>Source!H36</f>
        <v>шт.</v>
      </c>
      <c r="E99" s="9">
        <f>Source!I36</f>
        <v>54</v>
      </c>
      <c r="F99" s="25">
        <f>Source!AK36</f>
        <v>105.06</v>
      </c>
      <c r="G99" s="34" t="s">
        <v>321</v>
      </c>
      <c r="H99" s="9">
        <f>Source!AW36</f>
        <v>1</v>
      </c>
      <c r="I99" s="9">
        <f>IF(Source!BC36&lt;&gt; 0, Source!BC36, 1)</f>
        <v>2.09</v>
      </c>
      <c r="J99" s="25">
        <f>Source!O36</f>
        <v>11857.07</v>
      </c>
      <c r="K99" s="25"/>
      <c r="Q99">
        <f>ROUND((Source!DN36/100)*ROUND((ROUND((Source!AF36*Source!AV36*Source!I36),2)),2), 2)</f>
        <v>0</v>
      </c>
      <c r="R99">
        <f>Source!X36</f>
        <v>0</v>
      </c>
      <c r="S99">
        <f>ROUND((Source!DO36/100)*ROUND((ROUND((Source!AF36*Source!AV36*Source!I36),2)),2), 2)</f>
        <v>0</v>
      </c>
      <c r="T99">
        <f>Source!Y36</f>
        <v>0</v>
      </c>
      <c r="U99">
        <f>ROUND((175/100)*ROUND((ROUND((Source!AE36*Source!AV36*Source!I36),2)),2), 2)</f>
        <v>0</v>
      </c>
      <c r="V99">
        <f>ROUND((160/100)*ROUND(ROUND((ROUND((Source!AE36*Source!AV36*Source!I36),2)*Source!BS36),2), 2), 2)</f>
        <v>0</v>
      </c>
      <c r="AI99">
        <v>3</v>
      </c>
    </row>
    <row r="100" spans="1:35" ht="57" x14ac:dyDescent="0.2">
      <c r="A100" s="22" t="s">
        <v>80</v>
      </c>
      <c r="B100" s="22" t="str">
        <f>Source!F37</f>
        <v>1.7-3-116</v>
      </c>
      <c r="C100" s="22" t="s">
        <v>82</v>
      </c>
      <c r="D100" s="23" t="str">
        <f>Source!H37</f>
        <v>шт.</v>
      </c>
      <c r="E100" s="9">
        <f>Source!I37</f>
        <v>54</v>
      </c>
      <c r="F100" s="25">
        <f>Source!AK37</f>
        <v>42.43</v>
      </c>
      <c r="G100" s="34" t="s">
        <v>321</v>
      </c>
      <c r="H100" s="9">
        <f>Source!AW37</f>
        <v>1</v>
      </c>
      <c r="I100" s="9">
        <f>IF(Source!BC37&lt;&gt; 0, Source!BC37, 1)</f>
        <v>4.6100000000000003</v>
      </c>
      <c r="J100" s="25">
        <f>Source!O37</f>
        <v>10562.52</v>
      </c>
      <c r="K100" s="25"/>
      <c r="Q100">
        <f>ROUND((Source!DN37/100)*ROUND((ROUND((Source!AF37*Source!AV37*Source!I37),2)),2), 2)</f>
        <v>0</v>
      </c>
      <c r="R100">
        <f>Source!X37</f>
        <v>0</v>
      </c>
      <c r="S100">
        <f>ROUND((Source!DO37/100)*ROUND((ROUND((Source!AF37*Source!AV37*Source!I37),2)),2), 2)</f>
        <v>0</v>
      </c>
      <c r="T100">
        <f>Source!Y37</f>
        <v>0</v>
      </c>
      <c r="U100">
        <f>ROUND((175/100)*ROUND((ROUND((Source!AE37*Source!AV37*Source!I37),2)),2), 2)</f>
        <v>0</v>
      </c>
      <c r="V100">
        <f>ROUND((160/100)*ROUND(ROUND((ROUND((Source!AE37*Source!AV37*Source!I37),2)*Source!BS37),2), 2), 2)</f>
        <v>0</v>
      </c>
      <c r="AI100">
        <v>3</v>
      </c>
    </row>
    <row r="101" spans="1:35" ht="28.5" x14ac:dyDescent="0.2">
      <c r="A101" s="22" t="s">
        <v>84</v>
      </c>
      <c r="B101" s="22" t="str">
        <f>Source!F38</f>
        <v>1.7-3-51</v>
      </c>
      <c r="C101" s="22" t="s">
        <v>86</v>
      </c>
      <c r="D101" s="23" t="str">
        <f>Source!H38</f>
        <v>шт.</v>
      </c>
      <c r="E101" s="9">
        <f>Source!I38</f>
        <v>27</v>
      </c>
      <c r="F101" s="25">
        <f>Source!AK38</f>
        <v>4.3600000000000003</v>
      </c>
      <c r="G101" s="34" t="s">
        <v>321</v>
      </c>
      <c r="H101" s="9">
        <f>Source!AW38</f>
        <v>1</v>
      </c>
      <c r="I101" s="9">
        <f>IF(Source!BC38&lt;&gt; 0, Source!BC38, 1)</f>
        <v>4.29</v>
      </c>
      <c r="J101" s="25">
        <f>Source!O38</f>
        <v>505.02</v>
      </c>
      <c r="K101" s="25"/>
      <c r="Q101">
        <f>ROUND((Source!DN38/100)*ROUND((ROUND((Source!AF38*Source!AV38*Source!I38),2)),2), 2)</f>
        <v>0</v>
      </c>
      <c r="R101">
        <f>Source!X38</f>
        <v>0</v>
      </c>
      <c r="S101">
        <f>ROUND((Source!DO38/100)*ROUND((ROUND((Source!AF38*Source!AV38*Source!I38),2)),2), 2)</f>
        <v>0</v>
      </c>
      <c r="T101">
        <f>Source!Y38</f>
        <v>0</v>
      </c>
      <c r="U101">
        <f>ROUND((175/100)*ROUND((ROUND((Source!AE38*Source!AV38*Source!I38),2)),2), 2)</f>
        <v>0</v>
      </c>
      <c r="V101">
        <f>ROUND((160/100)*ROUND(ROUND((ROUND((Source!AE38*Source!AV38*Source!I38),2)*Source!BS38),2), 2), 2)</f>
        <v>0</v>
      </c>
      <c r="AI101">
        <v>3</v>
      </c>
    </row>
    <row r="102" spans="1:35" ht="42.75" x14ac:dyDescent="0.2">
      <c r="A102" s="22" t="s">
        <v>88</v>
      </c>
      <c r="B102" s="22" t="str">
        <f>Source!F39</f>
        <v>1.7-1-21</v>
      </c>
      <c r="C102" s="22" t="s">
        <v>90</v>
      </c>
      <c r="D102" s="23" t="str">
        <f>Source!H39</f>
        <v>м2</v>
      </c>
      <c r="E102" s="9">
        <f>Source!I39</f>
        <v>81</v>
      </c>
      <c r="F102" s="25">
        <f>Source!AK39</f>
        <v>149.21</v>
      </c>
      <c r="G102" s="34" t="s">
        <v>321</v>
      </c>
      <c r="H102" s="9">
        <f>Source!AW39</f>
        <v>1</v>
      </c>
      <c r="I102" s="9">
        <f>IF(Source!BC39&lt;&gt; 0, Source!BC39, 1)</f>
        <v>3.07</v>
      </c>
      <c r="J102" s="25">
        <f>Source!O39</f>
        <v>37104.050000000003</v>
      </c>
      <c r="K102" s="25"/>
      <c r="Q102">
        <f>ROUND((Source!DN39/100)*ROUND((ROUND((Source!AF39*Source!AV39*Source!I39),2)),2), 2)</f>
        <v>0</v>
      </c>
      <c r="R102">
        <f>Source!X39</f>
        <v>0</v>
      </c>
      <c r="S102">
        <f>ROUND((Source!DO39/100)*ROUND((ROUND((Source!AF39*Source!AV39*Source!I39),2)),2), 2)</f>
        <v>0</v>
      </c>
      <c r="T102">
        <f>Source!Y39</f>
        <v>0</v>
      </c>
      <c r="U102">
        <f>ROUND((175/100)*ROUND((ROUND((Source!AE39*Source!AV39*Source!I39),2)),2), 2)</f>
        <v>0</v>
      </c>
      <c r="V102">
        <f>ROUND((160/100)*ROUND(ROUND((ROUND((Source!AE39*Source!AV39*Source!I39),2)*Source!BS39),2), 2), 2)</f>
        <v>0</v>
      </c>
      <c r="AI102">
        <v>3</v>
      </c>
    </row>
    <row r="103" spans="1:35" ht="14.25" x14ac:dyDescent="0.2">
      <c r="A103" s="22"/>
      <c r="B103" s="22"/>
      <c r="C103" s="22" t="s">
        <v>311</v>
      </c>
      <c r="D103" s="23" t="s">
        <v>312</v>
      </c>
      <c r="E103" s="9">
        <f>Source!BZ35</f>
        <v>70</v>
      </c>
      <c r="F103" s="25"/>
      <c r="G103" s="24"/>
      <c r="H103" s="9"/>
      <c r="I103" s="9"/>
      <c r="J103" s="25">
        <f>SUM(R93:R102)</f>
        <v>259200.26</v>
      </c>
      <c r="K103" s="25"/>
    </row>
    <row r="104" spans="1:35" ht="14.25" x14ac:dyDescent="0.2">
      <c r="A104" s="22"/>
      <c r="B104" s="22"/>
      <c r="C104" s="22" t="s">
        <v>313</v>
      </c>
      <c r="D104" s="23" t="s">
        <v>312</v>
      </c>
      <c r="E104" s="9">
        <f>Source!CA35</f>
        <v>41</v>
      </c>
      <c r="F104" s="25"/>
      <c r="G104" s="24"/>
      <c r="H104" s="9"/>
      <c r="I104" s="9"/>
      <c r="J104" s="25">
        <f>SUM(T93:T103)</f>
        <v>151817.29999999999</v>
      </c>
      <c r="K104" s="25"/>
    </row>
    <row r="105" spans="1:35" ht="14.25" x14ac:dyDescent="0.2">
      <c r="A105" s="22"/>
      <c r="B105" s="22"/>
      <c r="C105" s="22" t="s">
        <v>314</v>
      </c>
      <c r="D105" s="23" t="s">
        <v>312</v>
      </c>
      <c r="E105" s="9">
        <f>160</f>
        <v>160</v>
      </c>
      <c r="F105" s="25"/>
      <c r="G105" s="24"/>
      <c r="H105" s="9"/>
      <c r="I105" s="9"/>
      <c r="J105" s="25">
        <f>SUM(V93:V104)</f>
        <v>4800.4799999999996</v>
      </c>
      <c r="K105" s="25"/>
    </row>
    <row r="106" spans="1:35" ht="14.25" x14ac:dyDescent="0.2">
      <c r="A106" s="27"/>
      <c r="B106" s="27"/>
      <c r="C106" s="27" t="s">
        <v>315</v>
      </c>
      <c r="D106" s="28" t="s">
        <v>316</v>
      </c>
      <c r="E106" s="29">
        <f>Source!AQ35</f>
        <v>144.74</v>
      </c>
      <c r="F106" s="30"/>
      <c r="G106" s="31" t="str">
        <f>Source!DI35</f>
        <v>)*1,15</v>
      </c>
      <c r="H106" s="29">
        <f>Source!AV35</f>
        <v>1</v>
      </c>
      <c r="I106" s="29"/>
      <c r="J106" s="30"/>
      <c r="K106" s="30">
        <f>Source!U35</f>
        <v>898.83540000000005</v>
      </c>
    </row>
    <row r="107" spans="1:35" ht="15" x14ac:dyDescent="0.25">
      <c r="C107" s="17" t="s">
        <v>317</v>
      </c>
      <c r="I107" s="58">
        <f>J95+J96+J98+J103+J104+J105+SUM(J99:J102)</f>
        <v>1096971.8899999999</v>
      </c>
      <c r="J107" s="58"/>
      <c r="K107" s="33">
        <f>IF(Source!I35&lt;&gt;0, ROUND(I107/Source!I35, 2), 0)</f>
        <v>203142.94</v>
      </c>
      <c r="P107" s="32">
        <f>J95+J96+J98+J103+J104+J105+SUM(J99:J102)</f>
        <v>1096971.8899999999</v>
      </c>
    </row>
    <row r="109" spans="1:35" ht="42.75" x14ac:dyDescent="0.2">
      <c r="A109" s="22">
        <v>6</v>
      </c>
      <c r="B109" s="22" t="str">
        <f>Source!F40</f>
        <v>3.9-85-3</v>
      </c>
      <c r="C109" s="22" t="s">
        <v>94</v>
      </c>
      <c r="D109" s="23" t="str">
        <f>Source!H40</f>
        <v>100 м2</v>
      </c>
      <c r="E109" s="9">
        <f>Source!I40</f>
        <v>5.4</v>
      </c>
      <c r="F109" s="25"/>
      <c r="G109" s="24"/>
      <c r="H109" s="9"/>
      <c r="I109" s="9"/>
      <c r="J109" s="25"/>
      <c r="K109" s="25"/>
      <c r="Q109">
        <f>ROUND((Source!DN40/100)*ROUND((ROUND((Source!AF40*Source!AV40*Source!I40),2)),2), 2)</f>
        <v>6424.46</v>
      </c>
      <c r="R109">
        <f>Source!X40</f>
        <v>182583.2</v>
      </c>
      <c r="S109">
        <f>ROUND((Source!DO40/100)*ROUND((ROUND((Source!AF40*Source!AV40*Source!I40),2)),2), 2)</f>
        <v>5290.73</v>
      </c>
      <c r="T109">
        <f>Source!Y40</f>
        <v>106941.59</v>
      </c>
      <c r="U109">
        <f>ROUND((175/100)*ROUND((ROUND((Source!AE40*Source!AV40*Source!I40),2)),2), 2)</f>
        <v>85.65</v>
      </c>
      <c r="V109">
        <f>ROUND((160/100)*ROUND(ROUND((ROUND((Source!AE40*Source!AV40*Source!I40),2)*Source!BS40),2), 2), 2)</f>
        <v>2702.27</v>
      </c>
      <c r="AI109">
        <v>0</v>
      </c>
    </row>
    <row r="110" spans="1:35" x14ac:dyDescent="0.2">
      <c r="C110" s="35" t="str">
        <f>"Объем: "&amp;Source!I40&amp;"=540/"&amp;"100"</f>
        <v>Объем: 5,4=540/100</v>
      </c>
    </row>
    <row r="111" spans="1:35" ht="14.25" x14ac:dyDescent="0.2">
      <c r="A111" s="22"/>
      <c r="B111" s="22"/>
      <c r="C111" s="22" t="s">
        <v>308</v>
      </c>
      <c r="D111" s="23"/>
      <c r="E111" s="9"/>
      <c r="F111" s="25">
        <f>Source!AO40</f>
        <v>1217.0999999999999</v>
      </c>
      <c r="G111" s="24" t="str">
        <f>Source!DG40</f>
        <v>)*1,15</v>
      </c>
      <c r="H111" s="9">
        <f>Source!AV40</f>
        <v>1</v>
      </c>
      <c r="I111" s="9">
        <f>IF(Source!BA40&lt;&gt; 0, Source!BA40, 1)</f>
        <v>34.51</v>
      </c>
      <c r="J111" s="25">
        <f>Source!S40</f>
        <v>260833.14</v>
      </c>
      <c r="K111" s="25"/>
    </row>
    <row r="112" spans="1:35" ht="14.25" x14ac:dyDescent="0.2">
      <c r="A112" s="22"/>
      <c r="B112" s="22"/>
      <c r="C112" s="22" t="s">
        <v>309</v>
      </c>
      <c r="D112" s="23"/>
      <c r="E112" s="9"/>
      <c r="F112" s="25">
        <f>Source!AM40</f>
        <v>66.09</v>
      </c>
      <c r="G112" s="24" t="str">
        <f>Source!DE40</f>
        <v>)*1,25</v>
      </c>
      <c r="H112" s="9">
        <f>Source!AV40</f>
        <v>1</v>
      </c>
      <c r="I112" s="9">
        <f>IF(Source!BB40&lt;&gt; 0, Source!BB40, 1)</f>
        <v>12.2</v>
      </c>
      <c r="J112" s="25">
        <f>Source!Q40</f>
        <v>5442.54</v>
      </c>
      <c r="K112" s="25"/>
    </row>
    <row r="113" spans="1:35" ht="14.25" x14ac:dyDescent="0.2">
      <c r="A113" s="22"/>
      <c r="B113" s="22"/>
      <c r="C113" s="22" t="s">
        <v>310</v>
      </c>
      <c r="D113" s="23"/>
      <c r="E113" s="9"/>
      <c r="F113" s="25">
        <f>Source!AN40</f>
        <v>7.25</v>
      </c>
      <c r="G113" s="24" t="str">
        <f>Source!DF40</f>
        <v>)*1,25</v>
      </c>
      <c r="H113" s="9">
        <f>Source!AV40</f>
        <v>1</v>
      </c>
      <c r="I113" s="9">
        <f>IF(Source!BS40&lt;&gt; 0, Source!BS40, 1)</f>
        <v>34.51</v>
      </c>
      <c r="J113" s="26">
        <f>Source!R40</f>
        <v>1688.92</v>
      </c>
      <c r="K113" s="25"/>
    </row>
    <row r="114" spans="1:35" ht="69.75" x14ac:dyDescent="0.2">
      <c r="A114" s="22" t="s">
        <v>96</v>
      </c>
      <c r="B114" s="22" t="str">
        <f>Source!F41</f>
        <v>Цена поставщика</v>
      </c>
      <c r="C114" s="22" t="s">
        <v>322</v>
      </c>
      <c r="D114" s="23" t="str">
        <f>Source!H41</f>
        <v>м2</v>
      </c>
      <c r="E114" s="9">
        <f>Source!I41</f>
        <v>540</v>
      </c>
      <c r="F114" s="25">
        <f>Source!AK41</f>
        <v>12750</v>
      </c>
      <c r="G114" s="34" t="s">
        <v>321</v>
      </c>
      <c r="H114" s="9">
        <f>Source!AW41</f>
        <v>1</v>
      </c>
      <c r="I114" s="9">
        <f>IF(Source!BC41&lt;&gt; 0, Source!BC41, 1)</f>
        <v>1</v>
      </c>
      <c r="J114" s="25">
        <f>Source!O41</f>
        <v>6885000</v>
      </c>
      <c r="K114" s="25"/>
      <c r="Q114">
        <f>ROUND((Source!DN41/100)*ROUND((ROUND((Source!AF41*Source!AV41*Source!I41),2)),2), 2)</f>
        <v>0</v>
      </c>
      <c r="R114">
        <f>Source!X41</f>
        <v>0</v>
      </c>
      <c r="S114">
        <f>ROUND((Source!DO41/100)*ROUND((ROUND((Source!AF41*Source!AV41*Source!I41),2)),2), 2)</f>
        <v>0</v>
      </c>
      <c r="T114">
        <f>Source!Y41</f>
        <v>0</v>
      </c>
      <c r="U114">
        <f>ROUND((175/100)*ROUND((ROUND((Source!AE41*Source!AV41*Source!I41),2)),2), 2)</f>
        <v>0</v>
      </c>
      <c r="V114">
        <f>ROUND((160/100)*ROUND(ROUND((ROUND((Source!AE41*Source!AV41*Source!I41),2)*Source!BS41),2), 2), 2)</f>
        <v>0</v>
      </c>
      <c r="AI114">
        <v>3</v>
      </c>
    </row>
    <row r="115" spans="1:35" ht="14.25" x14ac:dyDescent="0.2">
      <c r="A115" s="22"/>
      <c r="B115" s="22"/>
      <c r="C115" s="22" t="s">
        <v>311</v>
      </c>
      <c r="D115" s="23" t="s">
        <v>312</v>
      </c>
      <c r="E115" s="9">
        <f>Source!BZ40</f>
        <v>70</v>
      </c>
      <c r="F115" s="25"/>
      <c r="G115" s="24"/>
      <c r="H115" s="9"/>
      <c r="I115" s="9"/>
      <c r="J115" s="25">
        <f>SUM(R109:R114)</f>
        <v>182583.2</v>
      </c>
      <c r="K115" s="25"/>
    </row>
    <row r="116" spans="1:35" ht="14.25" x14ac:dyDescent="0.2">
      <c r="A116" s="22"/>
      <c r="B116" s="22"/>
      <c r="C116" s="22" t="s">
        <v>313</v>
      </c>
      <c r="D116" s="23" t="s">
        <v>312</v>
      </c>
      <c r="E116" s="9">
        <f>Source!CA40</f>
        <v>41</v>
      </c>
      <c r="F116" s="25"/>
      <c r="G116" s="24"/>
      <c r="H116" s="9"/>
      <c r="I116" s="9"/>
      <c r="J116" s="25">
        <f>SUM(T109:T115)</f>
        <v>106941.59</v>
      </c>
      <c r="K116" s="25"/>
    </row>
    <row r="117" spans="1:35" ht="14.25" x14ac:dyDescent="0.2">
      <c r="A117" s="22"/>
      <c r="B117" s="22"/>
      <c r="C117" s="22" t="s">
        <v>314</v>
      </c>
      <c r="D117" s="23" t="s">
        <v>312</v>
      </c>
      <c r="E117" s="9">
        <f>160</f>
        <v>160</v>
      </c>
      <c r="F117" s="25"/>
      <c r="G117" s="24"/>
      <c r="H117" s="9"/>
      <c r="I117" s="9"/>
      <c r="J117" s="25">
        <f>SUM(V109:V116)</f>
        <v>2702.27</v>
      </c>
      <c r="K117" s="25"/>
    </row>
    <row r="118" spans="1:35" ht="14.25" x14ac:dyDescent="0.2">
      <c r="A118" s="27"/>
      <c r="B118" s="27"/>
      <c r="C118" s="27" t="s">
        <v>315</v>
      </c>
      <c r="D118" s="28" t="s">
        <v>316</v>
      </c>
      <c r="E118" s="29">
        <f>Source!AQ40</f>
        <v>101.25</v>
      </c>
      <c r="F118" s="30"/>
      <c r="G118" s="31" t="str">
        <f>Source!DI40</f>
        <v>)*1,15</v>
      </c>
      <c r="H118" s="29">
        <f>Source!AV40</f>
        <v>1</v>
      </c>
      <c r="I118" s="29"/>
      <c r="J118" s="30"/>
      <c r="K118" s="30">
        <f>Source!U40</f>
        <v>628.76249999999993</v>
      </c>
    </row>
    <row r="119" spans="1:35" ht="15" x14ac:dyDescent="0.25">
      <c r="C119" s="17" t="s">
        <v>317</v>
      </c>
      <c r="I119" s="58">
        <f>J111+J112+J115+J116+J117+SUM(J114:J114)</f>
        <v>7443502.7400000002</v>
      </c>
      <c r="J119" s="58"/>
      <c r="K119" s="33">
        <f>IF(Source!I40&lt;&gt;0, ROUND(I119/Source!I40, 2), 0)</f>
        <v>1378426.43</v>
      </c>
      <c r="P119" s="32">
        <f>J111+J112+J115+J116+J117+SUM(J114:J114)</f>
        <v>7443502.7400000002</v>
      </c>
    </row>
    <row r="121" spans="1:35" ht="42.75" x14ac:dyDescent="0.2">
      <c r="A121" s="22">
        <v>7</v>
      </c>
      <c r="B121" s="22" t="str">
        <f>Source!F42</f>
        <v>6.68-13-1</v>
      </c>
      <c r="C121" s="22" t="s">
        <v>101</v>
      </c>
      <c r="D121" s="23" t="str">
        <f>Source!H42</f>
        <v>1 Т</v>
      </c>
      <c r="E121" s="9">
        <f>Source!I42</f>
        <v>20.43</v>
      </c>
      <c r="F121" s="25"/>
      <c r="G121" s="24"/>
      <c r="H121" s="9"/>
      <c r="I121" s="9"/>
      <c r="J121" s="25"/>
      <c r="K121" s="25"/>
      <c r="Q121">
        <f>ROUND((Source!DN42/100)*ROUND((ROUND((Source!AF42*Source!AV42*Source!I42),2)),2), 2)</f>
        <v>0</v>
      </c>
      <c r="R121">
        <f>Source!X42</f>
        <v>0</v>
      </c>
      <c r="S121">
        <f>ROUND((Source!DO42/100)*ROUND((ROUND((Source!AF42*Source!AV42*Source!I42),2)),2), 2)</f>
        <v>0</v>
      </c>
      <c r="T121">
        <f>Source!Y42</f>
        <v>0</v>
      </c>
      <c r="U121">
        <f>ROUND((175/100)*ROUND((ROUND((Source!AE42*Source!AV42*Source!I42),2)),2), 2)</f>
        <v>52.92</v>
      </c>
      <c r="V121">
        <f>ROUND((160/100)*ROUND(ROUND((ROUND((Source!AE42*Source!AV42*Source!I42),2)*Source!BS42),2), 2), 2)</f>
        <v>1669.73</v>
      </c>
      <c r="AI121">
        <v>0</v>
      </c>
    </row>
    <row r="122" spans="1:35" ht="14.25" x14ac:dyDescent="0.2">
      <c r="A122" s="22"/>
      <c r="B122" s="22"/>
      <c r="C122" s="22" t="s">
        <v>309</v>
      </c>
      <c r="D122" s="23"/>
      <c r="E122" s="9"/>
      <c r="F122" s="25">
        <f>Source!AM42</f>
        <v>8.86</v>
      </c>
      <c r="G122" s="24" t="str">
        <f>Source!DE42</f>
        <v/>
      </c>
      <c r="H122" s="9">
        <f>Source!AV42</f>
        <v>1</v>
      </c>
      <c r="I122" s="9">
        <f>IF(Source!BB42&lt;&gt; 0, Source!BB42, 1)</f>
        <v>13.53</v>
      </c>
      <c r="J122" s="25">
        <f>Source!Q42</f>
        <v>2449.0700000000002</v>
      </c>
      <c r="K122" s="25"/>
    </row>
    <row r="123" spans="1:35" ht="14.25" x14ac:dyDescent="0.2">
      <c r="A123" s="22"/>
      <c r="B123" s="22"/>
      <c r="C123" s="22" t="s">
        <v>310</v>
      </c>
      <c r="D123" s="23"/>
      <c r="E123" s="9"/>
      <c r="F123" s="25">
        <f>Source!AN42</f>
        <v>1.48</v>
      </c>
      <c r="G123" s="24" t="str">
        <f>Source!DF42</f>
        <v/>
      </c>
      <c r="H123" s="9">
        <f>Source!AV42</f>
        <v>1</v>
      </c>
      <c r="I123" s="9">
        <f>IF(Source!BS42&lt;&gt; 0, Source!BS42, 1)</f>
        <v>34.51</v>
      </c>
      <c r="J123" s="26">
        <f>Source!R42</f>
        <v>1043.58</v>
      </c>
      <c r="K123" s="25"/>
    </row>
    <row r="124" spans="1:35" ht="14.25" x14ac:dyDescent="0.2">
      <c r="A124" s="27"/>
      <c r="B124" s="27"/>
      <c r="C124" s="27" t="s">
        <v>314</v>
      </c>
      <c r="D124" s="28" t="s">
        <v>312</v>
      </c>
      <c r="E124" s="29">
        <f>160</f>
        <v>160</v>
      </c>
      <c r="F124" s="30"/>
      <c r="G124" s="31"/>
      <c r="H124" s="29"/>
      <c r="I124" s="29"/>
      <c r="J124" s="30">
        <f>SUM(V121:V123)</f>
        <v>1669.73</v>
      </c>
      <c r="K124" s="30"/>
    </row>
    <row r="125" spans="1:35" ht="15" x14ac:dyDescent="0.25">
      <c r="C125" s="17" t="s">
        <v>317</v>
      </c>
      <c r="I125" s="58">
        <f>J122+J124+0</f>
        <v>4118.8</v>
      </c>
      <c r="J125" s="58"/>
      <c r="K125" s="33">
        <f>IF(Source!I42&lt;&gt;0, ROUND(I125/Source!I42, 2), 0)</f>
        <v>201.61</v>
      </c>
      <c r="P125" s="32">
        <f>J122+J124+0</f>
        <v>4118.8</v>
      </c>
    </row>
    <row r="127" spans="1:35" ht="42.75" x14ac:dyDescent="0.2">
      <c r="A127" s="22">
        <v>8</v>
      </c>
      <c r="B127" s="22" t="str">
        <f>Source!F43</f>
        <v>15.2-42-10</v>
      </c>
      <c r="C127" s="22" t="s">
        <v>109</v>
      </c>
      <c r="D127" s="23" t="str">
        <f>Source!H43</f>
        <v>т</v>
      </c>
      <c r="E127" s="9">
        <f>Source!I43</f>
        <v>20.43</v>
      </c>
      <c r="F127" s="25"/>
      <c r="G127" s="24"/>
      <c r="H127" s="9"/>
      <c r="I127" s="9"/>
      <c r="J127" s="25"/>
      <c r="K127" s="25"/>
      <c r="Q127">
        <f>ROUND((Source!DN43/100)*ROUND((ROUND((Source!AF43*Source!AV43*Source!I43),2)),2), 2)</f>
        <v>0</v>
      </c>
      <c r="R127">
        <f>Source!X43</f>
        <v>0</v>
      </c>
      <c r="S127">
        <f>ROUND((Source!DO43/100)*ROUND((ROUND((Source!AF43*Source!AV43*Source!I43),2)),2), 2)</f>
        <v>0</v>
      </c>
      <c r="T127">
        <f>Source!Y43</f>
        <v>0</v>
      </c>
      <c r="U127">
        <f>ROUND((175/100)*ROUND((ROUND((Source!AE43*Source!AV43*Source!I43),2)),2), 2)</f>
        <v>0</v>
      </c>
      <c r="V127">
        <f>ROUND((160/100)*ROUND(ROUND((ROUND((Source!AE43*Source!AV43*Source!I43),2)*Source!BS43),2), 2), 2)</f>
        <v>0</v>
      </c>
      <c r="AI127">
        <v>0</v>
      </c>
    </row>
    <row r="128" spans="1:35" ht="14.25" x14ac:dyDescent="0.2">
      <c r="A128" s="27"/>
      <c r="B128" s="27"/>
      <c r="C128" s="27" t="s">
        <v>309</v>
      </c>
      <c r="D128" s="28"/>
      <c r="E128" s="29"/>
      <c r="F128" s="30">
        <f>Source!AM43</f>
        <v>36.39</v>
      </c>
      <c r="G128" s="31" t="str">
        <f>Source!DE43</f>
        <v/>
      </c>
      <c r="H128" s="29">
        <f>Source!AV43</f>
        <v>1</v>
      </c>
      <c r="I128" s="29">
        <f>IF(Source!BB43&lt;&gt; 0, Source!BB43, 1)</f>
        <v>15.66</v>
      </c>
      <c r="J128" s="30">
        <f>Source!Q43</f>
        <v>11642.43</v>
      </c>
      <c r="K128" s="30"/>
    </row>
    <row r="129" spans="1:35" ht="15" x14ac:dyDescent="0.25">
      <c r="C129" s="17" t="s">
        <v>317</v>
      </c>
      <c r="I129" s="58">
        <f>J128+0</f>
        <v>11642.43</v>
      </c>
      <c r="J129" s="58"/>
      <c r="K129" s="33">
        <f>IF(Source!I43&lt;&gt;0, ROUND(I129/Source!I43, 2), 0)</f>
        <v>569.87</v>
      </c>
      <c r="P129" s="32">
        <f>J128+0</f>
        <v>11642.43</v>
      </c>
    </row>
    <row r="131" spans="1:35" ht="28.5" x14ac:dyDescent="0.2">
      <c r="A131" s="22">
        <v>9</v>
      </c>
      <c r="B131" s="22" t="str">
        <f>Source!F44</f>
        <v>15.1-1500-01</v>
      </c>
      <c r="C131" s="22" t="s">
        <v>117</v>
      </c>
      <c r="D131" s="23" t="str">
        <f>Source!H44</f>
        <v>1 Т</v>
      </c>
      <c r="E131" s="9">
        <f>Source!I44</f>
        <v>20.43</v>
      </c>
      <c r="F131" s="25"/>
      <c r="G131" s="24"/>
      <c r="H131" s="9"/>
      <c r="I131" s="9"/>
      <c r="J131" s="25"/>
      <c r="K131" s="25"/>
      <c r="Q131">
        <f>ROUND((Source!DN44/100)*ROUND((ROUND((Source!AF44*Source!AV44*Source!I44),2)),2), 2)</f>
        <v>0</v>
      </c>
      <c r="R131">
        <f>Source!X44</f>
        <v>0</v>
      </c>
      <c r="S131">
        <f>ROUND((Source!DO44/100)*ROUND((ROUND((Source!AF44*Source!AV44*Source!I44),2)),2), 2)</f>
        <v>0</v>
      </c>
      <c r="T131">
        <f>Source!Y44</f>
        <v>0</v>
      </c>
      <c r="U131">
        <f>ROUND((175/100)*ROUND((ROUND((Source!AE44*Source!AV44*Source!I44),2)),2), 2)</f>
        <v>0</v>
      </c>
      <c r="V131">
        <f>ROUND((160/100)*ROUND(ROUND((ROUND((Source!AE44*Source!AV44*Source!I44),2)*Source!BS44),2), 2), 2)</f>
        <v>0</v>
      </c>
      <c r="AI131">
        <v>0</v>
      </c>
    </row>
    <row r="132" spans="1:35" ht="14.25" x14ac:dyDescent="0.2">
      <c r="A132" s="27"/>
      <c r="B132" s="27"/>
      <c r="C132" s="27" t="s">
        <v>309</v>
      </c>
      <c r="D132" s="28"/>
      <c r="E132" s="29"/>
      <c r="F132" s="30">
        <f>Source!AM44</f>
        <v>31.67</v>
      </c>
      <c r="G132" s="31" t="str">
        <f>Source!DE44</f>
        <v/>
      </c>
      <c r="H132" s="29">
        <f>Source!AV44</f>
        <v>1</v>
      </c>
      <c r="I132" s="29">
        <f>IF(Source!BB44&lt;&gt; 0, Source!BB44, 1)</f>
        <v>43.37</v>
      </c>
      <c r="J132" s="30">
        <f>Source!Q44</f>
        <v>28061.26</v>
      </c>
      <c r="K132" s="30"/>
    </row>
    <row r="133" spans="1:35" ht="15" x14ac:dyDescent="0.25">
      <c r="C133" s="17" t="s">
        <v>317</v>
      </c>
      <c r="I133" s="58">
        <f>J132+0</f>
        <v>28061.26</v>
      </c>
      <c r="J133" s="58"/>
      <c r="K133" s="33">
        <f>IF(Source!I44&lt;&gt;0, ROUND(I133/Source!I44, 2), 0)</f>
        <v>1373.53</v>
      </c>
      <c r="P133" s="32">
        <f>J132+0</f>
        <v>28061.26</v>
      </c>
    </row>
    <row r="136" spans="1:35" ht="15" x14ac:dyDescent="0.25">
      <c r="A136" s="59" t="str">
        <f>CONCATENATE("Итого по смете: ",IF(Source!G76&lt;&gt;"Новый объект", Source!G76, ""))</f>
        <v>Итого по смете: Окна и балконы</v>
      </c>
      <c r="B136" s="59"/>
      <c r="C136" s="59"/>
      <c r="D136" s="59"/>
      <c r="E136" s="59"/>
      <c r="F136" s="59"/>
      <c r="G136" s="59"/>
      <c r="H136" s="59"/>
      <c r="I136" s="49">
        <f>SUM(P1:P135)</f>
        <v>21724738.700000003</v>
      </c>
      <c r="J136" s="50"/>
      <c r="K136" s="17"/>
    </row>
    <row r="137" spans="1:35" hidden="1" x14ac:dyDescent="0.2">
      <c r="A137" t="s">
        <v>323</v>
      </c>
      <c r="I137">
        <f>SUM(AD1:AD136)</f>
        <v>0</v>
      </c>
    </row>
    <row r="138" spans="1:35" hidden="1" x14ac:dyDescent="0.2">
      <c r="A138" t="s">
        <v>324</v>
      </c>
      <c r="I138">
        <f>SUM(AF1:AF137)</f>
        <v>0</v>
      </c>
    </row>
    <row r="139" spans="1:35" ht="15" x14ac:dyDescent="0.25">
      <c r="C139" s="59" t="str">
        <f>Source!H105</f>
        <v>НДС 20%</v>
      </c>
      <c r="D139" s="59"/>
      <c r="E139" s="59"/>
      <c r="F139" s="59"/>
      <c r="G139" s="59"/>
      <c r="H139" s="59"/>
      <c r="I139" s="49">
        <f>IF(Source!F105=0, "", Source!F105)</f>
        <v>4344947.74</v>
      </c>
      <c r="J139" s="49"/>
    </row>
    <row r="140" spans="1:35" ht="15" x14ac:dyDescent="0.25">
      <c r="C140" s="59" t="str">
        <f>Source!H106</f>
        <v>Итого по локальной смете с НДС:</v>
      </c>
      <c r="D140" s="59"/>
      <c r="E140" s="59"/>
      <c r="F140" s="59"/>
      <c r="G140" s="59"/>
      <c r="H140" s="59"/>
      <c r="I140" s="49">
        <f>IF(Source!F106=0, "", Source!F106)</f>
        <v>26069686.440000001</v>
      </c>
      <c r="J140" s="49"/>
    </row>
    <row r="142" spans="1:35" ht="15" x14ac:dyDescent="0.25">
      <c r="A142" s="37" t="s">
        <v>330</v>
      </c>
      <c r="B142" s="37"/>
      <c r="C142" s="37"/>
      <c r="D142" s="37"/>
      <c r="E142" s="37"/>
      <c r="F142" s="37"/>
      <c r="G142" s="37"/>
      <c r="H142" s="37"/>
      <c r="I142" s="37"/>
      <c r="J142" s="38">
        <v>19119943.940000001</v>
      </c>
      <c r="K142" s="37"/>
    </row>
    <row r="145" spans="1:10" ht="15" x14ac:dyDescent="0.25">
      <c r="A145" s="37" t="s">
        <v>333</v>
      </c>
      <c r="J145" s="38" t="s">
        <v>334</v>
      </c>
    </row>
  </sheetData>
  <mergeCells count="62">
    <mergeCell ref="A136:H136"/>
    <mergeCell ref="C139:H139"/>
    <mergeCell ref="I139:J139"/>
    <mergeCell ref="C140:H140"/>
    <mergeCell ref="I140:J140"/>
    <mergeCell ref="I119:J119"/>
    <mergeCell ref="I125:J125"/>
    <mergeCell ref="I129:J129"/>
    <mergeCell ref="I133:J133"/>
    <mergeCell ref="I136:J136"/>
    <mergeCell ref="I50:J50"/>
    <mergeCell ref="I65:J65"/>
    <mergeCell ref="I78:J78"/>
    <mergeCell ref="I91:J91"/>
    <mergeCell ref="I107:J107"/>
    <mergeCell ref="A36:K36"/>
    <mergeCell ref="A37:A39"/>
    <mergeCell ref="B37:B39"/>
    <mergeCell ref="C37:C39"/>
    <mergeCell ref="D37:D39"/>
    <mergeCell ref="E37:E39"/>
    <mergeCell ref="F37:F39"/>
    <mergeCell ref="G37:G39"/>
    <mergeCell ref="H37:H39"/>
    <mergeCell ref="I37:I39"/>
    <mergeCell ref="J37:J39"/>
    <mergeCell ref="E33:H33"/>
    <mergeCell ref="I33:J33"/>
    <mergeCell ref="E27:H27"/>
    <mergeCell ref="I27:J27"/>
    <mergeCell ref="E28:H28"/>
    <mergeCell ref="I28:J28"/>
    <mergeCell ref="E29:H29"/>
    <mergeCell ref="I29:J29"/>
    <mergeCell ref="E30:H30"/>
    <mergeCell ref="I30:J30"/>
    <mergeCell ref="E31:H31"/>
    <mergeCell ref="I31:J31"/>
    <mergeCell ref="E32:H32"/>
    <mergeCell ref="J1:K1"/>
    <mergeCell ref="A17:K17"/>
    <mergeCell ref="B9:E9"/>
    <mergeCell ref="G9:K9"/>
    <mergeCell ref="B10:E10"/>
    <mergeCell ref="G10:K10"/>
    <mergeCell ref="B12:E12"/>
    <mergeCell ref="G12:K12"/>
    <mergeCell ref="G2:K2"/>
    <mergeCell ref="G4:K4"/>
    <mergeCell ref="H3:K3"/>
    <mergeCell ref="G5:K5"/>
    <mergeCell ref="G6:K6"/>
    <mergeCell ref="C7:H7"/>
    <mergeCell ref="E26:H26"/>
    <mergeCell ref="I26:J26"/>
    <mergeCell ref="B13:E13"/>
    <mergeCell ref="G13:K13"/>
    <mergeCell ref="A19:K19"/>
    <mergeCell ref="A20:K20"/>
    <mergeCell ref="A22:K22"/>
    <mergeCell ref="E25:H25"/>
    <mergeCell ref="I25:J25"/>
  </mergeCells>
  <pageMargins left="0.4" right="0.2" top="0.4" bottom="0.4" header="0.2" footer="0.2"/>
  <pageSetup paperSize="9" scale="67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122"/>
  <sheetViews>
    <sheetView workbookViewId="0">
      <selection activeCell="L1" sqref="L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1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116</v>
      </c>
      <c r="C12" s="1">
        <v>0</v>
      </c>
      <c r="D12" s="1">
        <f>ROW(A76)</f>
        <v>76</v>
      </c>
      <c r="E12" s="1">
        <v>0</v>
      </c>
      <c r="F12" s="1" t="s">
        <v>3</v>
      </c>
      <c r="G12" s="1" t="s">
        <v>4</v>
      </c>
      <c r="H12" s="1" t="s">
        <v>5</v>
      </c>
      <c r="I12" s="1">
        <v>0</v>
      </c>
      <c r="J12" s="1" t="s">
        <v>5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5</v>
      </c>
      <c r="V12" s="1">
        <v>0</v>
      </c>
      <c r="W12" s="1" t="s">
        <v>5</v>
      </c>
      <c r="X12" s="1" t="s">
        <v>5</v>
      </c>
      <c r="Y12" s="1" t="s">
        <v>5</v>
      </c>
      <c r="Z12" s="1" t="s">
        <v>5</v>
      </c>
      <c r="AA12" s="1" t="s">
        <v>5</v>
      </c>
      <c r="AB12" s="1" t="s">
        <v>5</v>
      </c>
      <c r="AC12" s="1" t="s">
        <v>5</v>
      </c>
      <c r="AD12" s="1" t="s">
        <v>5</v>
      </c>
      <c r="AE12" s="1" t="s">
        <v>5</v>
      </c>
      <c r="AF12" s="1" t="s">
        <v>5</v>
      </c>
      <c r="AG12" s="1" t="s">
        <v>5</v>
      </c>
      <c r="AH12" s="1" t="s">
        <v>5</v>
      </c>
      <c r="AI12" s="1" t="s">
        <v>5</v>
      </c>
      <c r="AJ12" s="1" t="s">
        <v>5</v>
      </c>
      <c r="AK12" s="1"/>
      <c r="AL12" s="1" t="s">
        <v>5</v>
      </c>
      <c r="AM12" s="1" t="s">
        <v>5</v>
      </c>
      <c r="AN12" s="1" t="s">
        <v>5</v>
      </c>
      <c r="AO12" s="1"/>
      <c r="AP12" s="1" t="s">
        <v>5</v>
      </c>
      <c r="AQ12" s="1" t="s">
        <v>5</v>
      </c>
      <c r="AR12" s="1" t="s">
        <v>5</v>
      </c>
      <c r="AS12" s="1"/>
      <c r="AT12" s="1"/>
      <c r="AU12" s="1"/>
      <c r="AV12" s="1"/>
      <c r="AW12" s="1"/>
      <c r="AX12" s="1" t="s">
        <v>5</v>
      </c>
      <c r="AY12" s="1" t="s">
        <v>5</v>
      </c>
      <c r="AZ12" s="1" t="s">
        <v>5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16785416</v>
      </c>
      <c r="CI12" s="1" t="s">
        <v>5</v>
      </c>
      <c r="CJ12" s="1" t="s">
        <v>5</v>
      </c>
      <c r="CK12" s="1">
        <v>73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73</v>
      </c>
      <c r="CV12" s="1"/>
      <c r="CW12" s="1"/>
      <c r="CX12" s="1"/>
      <c r="CY12" s="1">
        <v>0</v>
      </c>
      <c r="CZ12" s="1" t="s">
        <v>5</v>
      </c>
      <c r="DA12" s="1" t="s">
        <v>5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B76</f>
        <v>116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4/4</v>
      </c>
      <c r="G18" s="2" t="str">
        <f t="shared" si="0"/>
        <v>Окна и балконы</v>
      </c>
      <c r="H18" s="2"/>
      <c r="I18" s="2"/>
      <c r="J18" s="2"/>
      <c r="K18" s="2"/>
      <c r="L18" s="2"/>
      <c r="M18" s="2"/>
      <c r="N18" s="2"/>
      <c r="O18" s="2">
        <f t="shared" ref="O18:AT18" si="1">O76</f>
        <v>20043253.07</v>
      </c>
      <c r="P18" s="2">
        <f t="shared" si="1"/>
        <v>18568550.32</v>
      </c>
      <c r="Q18" s="2">
        <f t="shared" si="1"/>
        <v>94214.399999999994</v>
      </c>
      <c r="R18" s="2">
        <f t="shared" si="1"/>
        <v>19385.64</v>
      </c>
      <c r="S18" s="2">
        <f t="shared" si="1"/>
        <v>1380488.35</v>
      </c>
      <c r="T18" s="2">
        <f t="shared" si="1"/>
        <v>0</v>
      </c>
      <c r="U18" s="2">
        <f t="shared" si="1"/>
        <v>3384.9217799999997</v>
      </c>
      <c r="V18" s="2">
        <f t="shared" si="1"/>
        <v>0</v>
      </c>
      <c r="W18" s="2">
        <f t="shared" si="1"/>
        <v>0</v>
      </c>
      <c r="X18" s="2">
        <f t="shared" si="1"/>
        <v>1084468.3799999999</v>
      </c>
      <c r="Y18" s="2">
        <f t="shared" si="1"/>
        <v>566000.23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21724738.699999999</v>
      </c>
      <c r="AS18" s="2">
        <f t="shared" si="1"/>
        <v>21685035.010000002</v>
      </c>
      <c r="AT18" s="2">
        <f t="shared" si="1"/>
        <v>0</v>
      </c>
      <c r="AU18" s="2">
        <f t="shared" ref="AU18:BZ18" si="2">AU76</f>
        <v>39703.69</v>
      </c>
      <c r="AV18" s="2">
        <f t="shared" si="2"/>
        <v>18568550.32</v>
      </c>
      <c r="AW18" s="2">
        <f t="shared" si="2"/>
        <v>18568550.32</v>
      </c>
      <c r="AX18" s="2">
        <f t="shared" si="2"/>
        <v>0</v>
      </c>
      <c r="AY18" s="2">
        <f t="shared" si="2"/>
        <v>18568550.32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CA76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DG76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EM76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FS76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ROW(A46)</f>
        <v>46</v>
      </c>
      <c r="E20" s="1"/>
      <c r="F20" s="1" t="s">
        <v>5</v>
      </c>
      <c r="G20" s="1" t="s">
        <v>14</v>
      </c>
      <c r="H20" s="1" t="s">
        <v>5</v>
      </c>
      <c r="I20" s="1">
        <v>0</v>
      </c>
      <c r="J20" s="1" t="s">
        <v>5</v>
      </c>
      <c r="K20" s="1">
        <v>0</v>
      </c>
      <c r="L20" s="1" t="s">
        <v>14</v>
      </c>
      <c r="M20" s="1" t="s">
        <v>5</v>
      </c>
      <c r="N20" s="1"/>
      <c r="O20" s="1"/>
      <c r="P20" s="1"/>
      <c r="Q20" s="1"/>
      <c r="R20" s="1"/>
      <c r="S20" s="1">
        <v>0</v>
      </c>
      <c r="T20" s="1"/>
      <c r="U20" s="1" t="s">
        <v>5</v>
      </c>
      <c r="V20" s="1">
        <v>0</v>
      </c>
      <c r="W20" s="1"/>
      <c r="X20" s="1"/>
      <c r="Y20" s="1"/>
      <c r="Z20" s="1"/>
      <c r="AA20" s="1"/>
      <c r="AB20" s="1" t="s">
        <v>5</v>
      </c>
      <c r="AC20" s="1" t="s">
        <v>5</v>
      </c>
      <c r="AD20" s="1" t="s">
        <v>5</v>
      </c>
      <c r="AE20" s="1" t="s">
        <v>5</v>
      </c>
      <c r="AF20" s="1" t="s">
        <v>5</v>
      </c>
      <c r="AG20" s="1" t="s">
        <v>5</v>
      </c>
      <c r="AH20" s="1"/>
      <c r="AI20" s="1"/>
      <c r="AJ20" s="1"/>
      <c r="AK20" s="1"/>
      <c r="AL20" s="1"/>
      <c r="AM20" s="1"/>
      <c r="AN20" s="1"/>
      <c r="AO20" s="1"/>
      <c r="AP20" s="1" t="s">
        <v>5</v>
      </c>
      <c r="AQ20" s="1" t="s">
        <v>5</v>
      </c>
      <c r="AR20" s="1" t="s">
        <v>5</v>
      </c>
      <c r="AS20" s="1"/>
      <c r="AT20" s="1"/>
      <c r="AU20" s="1"/>
      <c r="AV20" s="1"/>
      <c r="AW20" s="1"/>
      <c r="AX20" s="1"/>
      <c r="AY20" s="1"/>
      <c r="AZ20" s="1" t="s">
        <v>5</v>
      </c>
      <c r="BA20" s="1"/>
      <c r="BB20" s="1" t="s">
        <v>5</v>
      </c>
      <c r="BC20" s="1" t="s">
        <v>5</v>
      </c>
      <c r="BD20" s="1" t="s">
        <v>5</v>
      </c>
      <c r="BE20" s="1" t="s">
        <v>5</v>
      </c>
      <c r="BF20" s="1" t="s">
        <v>5</v>
      </c>
      <c r="BG20" s="1" t="s">
        <v>5</v>
      </c>
      <c r="BH20" s="1" t="s">
        <v>5</v>
      </c>
      <c r="BI20" s="1" t="s">
        <v>5</v>
      </c>
      <c r="BJ20" s="1" t="s">
        <v>5</v>
      </c>
      <c r="BK20" s="1" t="s">
        <v>5</v>
      </c>
      <c r="BL20" s="1" t="s">
        <v>5</v>
      </c>
      <c r="BM20" s="1" t="s">
        <v>5</v>
      </c>
      <c r="BN20" s="1" t="s">
        <v>5</v>
      </c>
      <c r="BO20" s="1" t="s">
        <v>5</v>
      </c>
      <c r="BP20" s="1" t="s">
        <v>5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5</v>
      </c>
      <c r="CJ20" s="1" t="s">
        <v>5</v>
      </c>
      <c r="CK20" t="s">
        <v>5</v>
      </c>
      <c r="CL20" t="s">
        <v>5</v>
      </c>
      <c r="CM20" t="s">
        <v>5</v>
      </c>
      <c r="CN20" t="s">
        <v>5</v>
      </c>
      <c r="CO20" t="s">
        <v>5</v>
      </c>
      <c r="CP20" t="s">
        <v>5</v>
      </c>
      <c r="CQ20" t="s">
        <v>5</v>
      </c>
    </row>
    <row r="22" spans="1:245" x14ac:dyDescent="0.2">
      <c r="A22" s="2">
        <v>52</v>
      </c>
      <c r="B22" s="2">
        <f t="shared" ref="B22:G22" si="7">B46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O46</f>
        <v>20043253.07</v>
      </c>
      <c r="P22" s="2">
        <f t="shared" si="8"/>
        <v>18568550.32</v>
      </c>
      <c r="Q22" s="2">
        <f t="shared" si="8"/>
        <v>94214.399999999994</v>
      </c>
      <c r="R22" s="2">
        <f t="shared" si="8"/>
        <v>19385.64</v>
      </c>
      <c r="S22" s="2">
        <f t="shared" si="8"/>
        <v>1380488.35</v>
      </c>
      <c r="T22" s="2">
        <f t="shared" si="8"/>
        <v>0</v>
      </c>
      <c r="U22" s="2">
        <f t="shared" si="8"/>
        <v>3384.9217799999997</v>
      </c>
      <c r="V22" s="2">
        <f t="shared" si="8"/>
        <v>0</v>
      </c>
      <c r="W22" s="2">
        <f t="shared" si="8"/>
        <v>0</v>
      </c>
      <c r="X22" s="2">
        <f t="shared" si="8"/>
        <v>1084468.3799999999</v>
      </c>
      <c r="Y22" s="2">
        <f t="shared" si="8"/>
        <v>566000.23</v>
      </c>
      <c r="Z22" s="2">
        <f t="shared" si="8"/>
        <v>0</v>
      </c>
      <c r="AA22" s="2">
        <f t="shared" si="8"/>
        <v>0</v>
      </c>
      <c r="AB22" s="2">
        <f t="shared" si="8"/>
        <v>20043253.07</v>
      </c>
      <c r="AC22" s="2">
        <f t="shared" si="8"/>
        <v>18568550.32</v>
      </c>
      <c r="AD22" s="2">
        <f t="shared" si="8"/>
        <v>94214.399999999994</v>
      </c>
      <c r="AE22" s="2">
        <f t="shared" si="8"/>
        <v>19385.64</v>
      </c>
      <c r="AF22" s="2">
        <f t="shared" si="8"/>
        <v>1380488.35</v>
      </c>
      <c r="AG22" s="2">
        <f t="shared" si="8"/>
        <v>0</v>
      </c>
      <c r="AH22" s="2">
        <f t="shared" si="8"/>
        <v>3384.9217799999997</v>
      </c>
      <c r="AI22" s="2">
        <f t="shared" si="8"/>
        <v>0</v>
      </c>
      <c r="AJ22" s="2">
        <f t="shared" si="8"/>
        <v>0</v>
      </c>
      <c r="AK22" s="2">
        <f t="shared" si="8"/>
        <v>1084468.3799999999</v>
      </c>
      <c r="AL22" s="2">
        <f t="shared" si="8"/>
        <v>566000.23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21724738.699999999</v>
      </c>
      <c r="AS22" s="2">
        <f t="shared" si="8"/>
        <v>21685035.010000002</v>
      </c>
      <c r="AT22" s="2">
        <f t="shared" si="8"/>
        <v>0</v>
      </c>
      <c r="AU22" s="2">
        <f t="shared" ref="AU22:BZ22" si="9">AU46</f>
        <v>39703.69</v>
      </c>
      <c r="AV22" s="2">
        <f t="shared" si="9"/>
        <v>18568550.32</v>
      </c>
      <c r="AW22" s="2">
        <f t="shared" si="9"/>
        <v>18568550.32</v>
      </c>
      <c r="AX22" s="2">
        <f t="shared" si="9"/>
        <v>0</v>
      </c>
      <c r="AY22" s="2">
        <f t="shared" si="9"/>
        <v>18568550.32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CA46</f>
        <v>21724738.699999999</v>
      </c>
      <c r="CB22" s="2">
        <f t="shared" si="10"/>
        <v>21685035.010000002</v>
      </c>
      <c r="CC22" s="2">
        <f t="shared" si="10"/>
        <v>0</v>
      </c>
      <c r="CD22" s="2">
        <f t="shared" si="10"/>
        <v>39703.69</v>
      </c>
      <c r="CE22" s="2">
        <f t="shared" si="10"/>
        <v>18568550.32</v>
      </c>
      <c r="CF22" s="2">
        <f t="shared" si="10"/>
        <v>18568550.32</v>
      </c>
      <c r="CG22" s="2">
        <f t="shared" si="10"/>
        <v>0</v>
      </c>
      <c r="CH22" s="2">
        <f t="shared" si="10"/>
        <v>18568550.32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DG46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EM46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FS46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>
        <v>17</v>
      </c>
      <c r="B24">
        <v>1</v>
      </c>
      <c r="C24">
        <f>ROW(SmtRes!A7)</f>
        <v>7</v>
      </c>
      <c r="D24">
        <f>ROW(EtalonRes!A11)</f>
        <v>11</v>
      </c>
      <c r="E24" t="s">
        <v>15</v>
      </c>
      <c r="F24" t="s">
        <v>16</v>
      </c>
      <c r="G24" t="s">
        <v>17</v>
      </c>
      <c r="H24" t="s">
        <v>18</v>
      </c>
      <c r="I24">
        <v>4.54</v>
      </c>
      <c r="J24">
        <v>0</v>
      </c>
      <c r="K24">
        <v>4.54</v>
      </c>
      <c r="O24">
        <f t="shared" ref="O24:O44" si="14">ROUND(CP24,2)</f>
        <v>290565.98</v>
      </c>
      <c r="P24">
        <f t="shared" ref="P24:P44" si="15">ROUND((ROUND((AC24*AW24*I24),2)*BC24),2)</f>
        <v>0</v>
      </c>
      <c r="Q24">
        <f>(ROUND((ROUND((((ET24*0.8))*AV24*I24),2)*BB24),2)+ROUND((ROUND(((AE24-((EU24*0.8)))*AV24*I24),2)*BS24),2))</f>
        <v>13735.73</v>
      </c>
      <c r="R24">
        <f t="shared" ref="R24:R44" si="16">ROUND((ROUND((AE24*AV24*I24),2)*BS24),2)</f>
        <v>5187.8900000000003</v>
      </c>
      <c r="S24">
        <f t="shared" ref="S24:S44" si="17">ROUND((ROUND((AF24*AV24*I24),2)*BA24),2)</f>
        <v>276830.25</v>
      </c>
      <c r="T24">
        <f t="shared" ref="T24:T44" si="18">ROUND(CU24*I24,2)</f>
        <v>0</v>
      </c>
      <c r="U24">
        <f t="shared" ref="U24:U44" si="19">CV24*I24</f>
        <v>686.15743999999995</v>
      </c>
      <c r="V24">
        <f t="shared" ref="V24:V44" si="20">CW24*I24</f>
        <v>0</v>
      </c>
      <c r="W24">
        <f t="shared" ref="W24:W44" si="21">ROUND(CX24*I24,2)</f>
        <v>0</v>
      </c>
      <c r="X24">
        <f t="shared" ref="X24:X44" si="22">ROUND(CY24,2)</f>
        <v>240842.32</v>
      </c>
      <c r="Y24">
        <f t="shared" ref="Y24:Y44" si="23">ROUND(CZ24,2)</f>
        <v>113500.4</v>
      </c>
      <c r="AA24">
        <v>67204543</v>
      </c>
      <c r="AB24">
        <f t="shared" ref="AB24:AB44" si="24">ROUND((AC24+AD24+AF24),6)</f>
        <v>2010.896</v>
      </c>
      <c r="AC24">
        <f>ROUND(((ES24*0)),6)</f>
        <v>0</v>
      </c>
      <c r="AD24">
        <f>ROUND(((((ET24*0.8))-((EU24*0.8)))+AE24),6)</f>
        <v>243.99199999999999</v>
      </c>
      <c r="AE24">
        <f>ROUND(((EU24*0.8)),6)</f>
        <v>33.112000000000002</v>
      </c>
      <c r="AF24">
        <f>ROUND(((EV24*0.8)),6)</f>
        <v>1766.904</v>
      </c>
      <c r="AG24">
        <f t="shared" ref="AG24:AG44" si="25">ROUND((AP24),6)</f>
        <v>0</v>
      </c>
      <c r="AH24">
        <f>((EW24*0.8))</f>
        <v>151.136</v>
      </c>
      <c r="AI24">
        <f>((EX24*0.8))</f>
        <v>0</v>
      </c>
      <c r="AJ24">
        <f t="shared" ref="AJ24:AJ44" si="26">(AS24)</f>
        <v>0</v>
      </c>
      <c r="AK24">
        <v>12269.62</v>
      </c>
      <c r="AL24">
        <v>9756</v>
      </c>
      <c r="AM24">
        <v>304.99</v>
      </c>
      <c r="AN24">
        <v>41.39</v>
      </c>
      <c r="AO24">
        <v>2208.63</v>
      </c>
      <c r="AP24">
        <v>0</v>
      </c>
      <c r="AQ24">
        <v>188.92</v>
      </c>
      <c r="AR24">
        <v>0</v>
      </c>
      <c r="AS24">
        <v>0</v>
      </c>
      <c r="AT24">
        <v>87</v>
      </c>
      <c r="AU24">
        <v>41</v>
      </c>
      <c r="AV24">
        <v>1</v>
      </c>
      <c r="AW24">
        <v>1</v>
      </c>
      <c r="AZ24">
        <v>1</v>
      </c>
      <c r="BA24">
        <v>34.51</v>
      </c>
      <c r="BB24">
        <v>12.4</v>
      </c>
      <c r="BC24">
        <v>2.74</v>
      </c>
      <c r="BD24" t="s">
        <v>5</v>
      </c>
      <c r="BE24" t="s">
        <v>5</v>
      </c>
      <c r="BF24" t="s">
        <v>5</v>
      </c>
      <c r="BG24" t="s">
        <v>5</v>
      </c>
      <c r="BH24">
        <v>0</v>
      </c>
      <c r="BI24">
        <v>1</v>
      </c>
      <c r="BJ24" t="s">
        <v>19</v>
      </c>
      <c r="BM24">
        <v>1150</v>
      </c>
      <c r="BN24">
        <v>0</v>
      </c>
      <c r="BO24" t="s">
        <v>16</v>
      </c>
      <c r="BP24">
        <v>1</v>
      </c>
      <c r="BQ24">
        <v>30</v>
      </c>
      <c r="BR24">
        <v>0</v>
      </c>
      <c r="BS24">
        <v>34.51</v>
      </c>
      <c r="BT24">
        <v>1</v>
      </c>
      <c r="BU24">
        <v>1</v>
      </c>
      <c r="BV24">
        <v>1</v>
      </c>
      <c r="BW24">
        <v>1</v>
      </c>
      <c r="BX24">
        <v>1</v>
      </c>
      <c r="BY24" t="s">
        <v>5</v>
      </c>
      <c r="BZ24">
        <v>87</v>
      </c>
      <c r="CA24">
        <v>41</v>
      </c>
      <c r="CB24" t="s">
        <v>5</v>
      </c>
      <c r="CE24">
        <v>30</v>
      </c>
      <c r="CF24">
        <v>0</v>
      </c>
      <c r="CG24">
        <v>0</v>
      </c>
      <c r="CM24">
        <v>0</v>
      </c>
      <c r="CN24" t="s">
        <v>20</v>
      </c>
      <c r="CO24">
        <v>0</v>
      </c>
      <c r="CP24">
        <f t="shared" ref="CP24:CP44" si="27">(P24+Q24+S24)</f>
        <v>290565.98</v>
      </c>
      <c r="CQ24">
        <f t="shared" ref="CQ24:CQ44" si="28">ROUND((ROUND((AC24*AW24*1),2)*BC24),2)</f>
        <v>0</v>
      </c>
      <c r="CR24">
        <f>(ROUND((ROUND((((ET24*0.8))*AV24*1),2)*BB24),2)+ROUND((ROUND(((AE24-((EU24*0.8)))*AV24*1),2)*BS24),2))</f>
        <v>3025.48</v>
      </c>
      <c r="CS24">
        <f t="shared" ref="CS24:CS44" si="29">ROUND((ROUND((AE24*AV24*1),2)*BS24),2)</f>
        <v>1142.6300000000001</v>
      </c>
      <c r="CT24">
        <f t="shared" ref="CT24:CT44" si="30">ROUND((ROUND((AF24*AV24*1),2)*BA24),2)</f>
        <v>60975.72</v>
      </c>
      <c r="CU24">
        <f t="shared" ref="CU24:CU44" si="31">AG24</f>
        <v>0</v>
      </c>
      <c r="CV24">
        <f t="shared" ref="CV24:CV44" si="32">(AH24*AV24)</f>
        <v>151.136</v>
      </c>
      <c r="CW24">
        <f t="shared" ref="CW24:CW44" si="33">AI24</f>
        <v>0</v>
      </c>
      <c r="CX24">
        <f t="shared" ref="CX24:CX44" si="34">AJ24</f>
        <v>0</v>
      </c>
      <c r="CY24">
        <f t="shared" ref="CY24:CY44" si="35">S24*(BZ24/100)</f>
        <v>240842.3175</v>
      </c>
      <c r="CZ24">
        <f t="shared" ref="CZ24:CZ44" si="36">S24*(CA24/100)</f>
        <v>113500.4025</v>
      </c>
      <c r="DC24" t="s">
        <v>5</v>
      </c>
      <c r="DD24" t="s">
        <v>21</v>
      </c>
      <c r="DE24" t="s">
        <v>22</v>
      </c>
      <c r="DF24" t="s">
        <v>22</v>
      </c>
      <c r="DG24" t="s">
        <v>22</v>
      </c>
      <c r="DH24" t="s">
        <v>5</v>
      </c>
      <c r="DI24" t="s">
        <v>22</v>
      </c>
      <c r="DJ24" t="s">
        <v>22</v>
      </c>
      <c r="DK24" t="s">
        <v>5</v>
      </c>
      <c r="DL24" t="s">
        <v>5</v>
      </c>
      <c r="DM24" t="s">
        <v>5</v>
      </c>
      <c r="DN24">
        <v>105</v>
      </c>
      <c r="DO24">
        <v>70</v>
      </c>
      <c r="DP24">
        <v>1</v>
      </c>
      <c r="DQ24">
        <v>1</v>
      </c>
      <c r="DU24">
        <v>1005</v>
      </c>
      <c r="DV24" t="s">
        <v>18</v>
      </c>
      <c r="DW24" t="s">
        <v>18</v>
      </c>
      <c r="DX24">
        <v>100</v>
      </c>
      <c r="DZ24" t="s">
        <v>5</v>
      </c>
      <c r="EA24" t="s">
        <v>5</v>
      </c>
      <c r="EB24" t="s">
        <v>5</v>
      </c>
      <c r="EC24" t="s">
        <v>5</v>
      </c>
      <c r="EE24">
        <v>66105829</v>
      </c>
      <c r="EF24">
        <v>30</v>
      </c>
      <c r="EG24" t="s">
        <v>23</v>
      </c>
      <c r="EH24">
        <v>0</v>
      </c>
      <c r="EI24" t="s">
        <v>5</v>
      </c>
      <c r="EJ24">
        <v>1</v>
      </c>
      <c r="EK24">
        <v>1150</v>
      </c>
      <c r="EL24" t="s">
        <v>24</v>
      </c>
      <c r="EM24" t="s">
        <v>25</v>
      </c>
      <c r="EO24" t="s">
        <v>26</v>
      </c>
      <c r="EQ24">
        <v>0</v>
      </c>
      <c r="ER24">
        <v>12269.62</v>
      </c>
      <c r="ES24">
        <v>9756</v>
      </c>
      <c r="ET24">
        <v>304.99</v>
      </c>
      <c r="EU24">
        <v>41.39</v>
      </c>
      <c r="EV24">
        <v>2208.63</v>
      </c>
      <c r="EW24">
        <v>188.92</v>
      </c>
      <c r="EX24">
        <v>0</v>
      </c>
      <c r="EY24">
        <v>0</v>
      </c>
      <c r="FQ24">
        <v>0</v>
      </c>
      <c r="FR24">
        <f t="shared" ref="FR24:FR44" si="37">ROUND(IF(BI24=3,GM24,0),2)</f>
        <v>0</v>
      </c>
      <c r="FS24">
        <v>0</v>
      </c>
      <c r="FX24">
        <v>105</v>
      </c>
      <c r="FY24">
        <v>70</v>
      </c>
      <c r="GA24" t="s">
        <v>5</v>
      </c>
      <c r="GD24">
        <v>0</v>
      </c>
      <c r="GF24">
        <v>-748261357</v>
      </c>
      <c r="GG24">
        <v>2</v>
      </c>
      <c r="GH24">
        <v>1</v>
      </c>
      <c r="GI24">
        <v>2</v>
      </c>
      <c r="GJ24">
        <v>0</v>
      </c>
      <c r="GK24">
        <f>ROUND(R24*(R12)/100,2)</f>
        <v>8300.6200000000008</v>
      </c>
      <c r="GL24">
        <f t="shared" ref="GL24:GL44" si="38">ROUND(IF(AND(BH24=3,BI24=3,FS24&lt;&gt;0),P24,0),2)</f>
        <v>0</v>
      </c>
      <c r="GM24">
        <f t="shared" ref="GM24:GM44" si="39">ROUND(O24+X24+Y24+GK24,2)+GX24</f>
        <v>653209.31999999995</v>
      </c>
      <c r="GN24">
        <f t="shared" ref="GN24:GN44" si="40">IF(OR(BI24=0,BI24=1),GM24-GX24,0)</f>
        <v>653209.31999999995</v>
      </c>
      <c r="GO24">
        <f t="shared" ref="GO24:GO44" si="41">IF(BI24=2,GM24-GX24,0)</f>
        <v>0</v>
      </c>
      <c r="GP24">
        <f t="shared" ref="GP24:GP44" si="42">IF(BI24=4,GM24-GX24,0)</f>
        <v>0</v>
      </c>
      <c r="GR24">
        <v>0</v>
      </c>
      <c r="GS24">
        <v>3</v>
      </c>
      <c r="GT24">
        <v>0</v>
      </c>
      <c r="GU24" t="s">
        <v>5</v>
      </c>
      <c r="GV24">
        <f t="shared" ref="GV24:GV44" si="43">ROUND((GT24),6)</f>
        <v>0</v>
      </c>
      <c r="GW24">
        <v>1</v>
      </c>
      <c r="GX24">
        <f t="shared" ref="GX24:GX44" si="44">ROUND(HC24*I24,2)</f>
        <v>0</v>
      </c>
      <c r="HA24">
        <v>0</v>
      </c>
      <c r="HB24">
        <v>0</v>
      </c>
      <c r="HC24">
        <f t="shared" ref="HC24:HC44" si="45">GV24*GW24</f>
        <v>0</v>
      </c>
      <c r="HE24" t="s">
        <v>5</v>
      </c>
      <c r="HF24" t="s">
        <v>5</v>
      </c>
      <c r="HM24" t="s">
        <v>5</v>
      </c>
      <c r="HN24" t="s">
        <v>5</v>
      </c>
      <c r="HO24" t="s">
        <v>5</v>
      </c>
      <c r="HP24" t="s">
        <v>5</v>
      </c>
      <c r="HQ24" t="s">
        <v>5</v>
      </c>
      <c r="IK24">
        <v>0</v>
      </c>
    </row>
    <row r="25" spans="1:245" x14ac:dyDescent="0.2">
      <c r="A25">
        <v>17</v>
      </c>
      <c r="B25">
        <v>1</v>
      </c>
      <c r="C25">
        <f>ROW(SmtRes!A18)</f>
        <v>18</v>
      </c>
      <c r="D25">
        <f>ROW(EtalonRes!A22)</f>
        <v>22</v>
      </c>
      <c r="E25" t="s">
        <v>27</v>
      </c>
      <c r="F25" t="s">
        <v>16</v>
      </c>
      <c r="G25" t="s">
        <v>17</v>
      </c>
      <c r="H25" t="s">
        <v>18</v>
      </c>
      <c r="I25">
        <v>4.54</v>
      </c>
      <c r="J25">
        <v>0</v>
      </c>
      <c r="K25">
        <v>4.54</v>
      </c>
      <c r="O25">
        <f t="shared" si="14"/>
        <v>540766.68999999994</v>
      </c>
      <c r="P25">
        <f t="shared" si="15"/>
        <v>121360.74</v>
      </c>
      <c r="Q25">
        <f>(ROUND((ROUND((((ET25*1.25))*AV25*I25),2)*BB25),2)+ROUND((ROUND(((AE25-((EU25*1.25)))*AV25*I25),2)*BS25),2))</f>
        <v>21462.17</v>
      </c>
      <c r="R25">
        <f t="shared" si="16"/>
        <v>8106.05</v>
      </c>
      <c r="S25">
        <f t="shared" si="17"/>
        <v>397943.78</v>
      </c>
      <c r="T25">
        <f t="shared" si="18"/>
        <v>0</v>
      </c>
      <c r="U25">
        <f t="shared" si="19"/>
        <v>986.35131999999987</v>
      </c>
      <c r="V25">
        <f t="shared" si="20"/>
        <v>0</v>
      </c>
      <c r="W25">
        <f t="shared" si="21"/>
        <v>0</v>
      </c>
      <c r="X25">
        <f t="shared" si="22"/>
        <v>346211.09</v>
      </c>
      <c r="Y25">
        <f t="shared" si="23"/>
        <v>163156.95000000001</v>
      </c>
      <c r="AA25">
        <v>67204543</v>
      </c>
      <c r="AB25">
        <f t="shared" si="24"/>
        <v>12677.162</v>
      </c>
      <c r="AC25">
        <f>ROUND((ES25),6)</f>
        <v>9756</v>
      </c>
      <c r="AD25">
        <f>ROUND(((((ET25*1.25))-((EU25*1.25)))+AE25),6)</f>
        <v>381.23750000000001</v>
      </c>
      <c r="AE25">
        <f>ROUND(((EU25*1.25)),6)</f>
        <v>51.737499999999997</v>
      </c>
      <c r="AF25">
        <f>ROUND(((EV25*1.15)),6)</f>
        <v>2539.9245000000001</v>
      </c>
      <c r="AG25">
        <f t="shared" si="25"/>
        <v>0</v>
      </c>
      <c r="AH25">
        <f>((EW25*1.15))</f>
        <v>217.25799999999998</v>
      </c>
      <c r="AI25">
        <f>((EX25*1.25))</f>
        <v>0</v>
      </c>
      <c r="AJ25">
        <f t="shared" si="26"/>
        <v>0</v>
      </c>
      <c r="AK25">
        <v>12269.62</v>
      </c>
      <c r="AL25">
        <v>9756</v>
      </c>
      <c r="AM25">
        <v>304.99</v>
      </c>
      <c r="AN25">
        <v>41.39</v>
      </c>
      <c r="AO25">
        <v>2208.63</v>
      </c>
      <c r="AP25">
        <v>0</v>
      </c>
      <c r="AQ25">
        <v>188.92</v>
      </c>
      <c r="AR25">
        <v>0</v>
      </c>
      <c r="AS25">
        <v>0</v>
      </c>
      <c r="AT25">
        <v>87</v>
      </c>
      <c r="AU25">
        <v>41</v>
      </c>
      <c r="AV25">
        <v>1</v>
      </c>
      <c r="AW25">
        <v>1</v>
      </c>
      <c r="AZ25">
        <v>1</v>
      </c>
      <c r="BA25">
        <v>34.51</v>
      </c>
      <c r="BB25">
        <v>12.4</v>
      </c>
      <c r="BC25">
        <v>2.74</v>
      </c>
      <c r="BD25" t="s">
        <v>5</v>
      </c>
      <c r="BE25" t="s">
        <v>5</v>
      </c>
      <c r="BF25" t="s">
        <v>5</v>
      </c>
      <c r="BG25" t="s">
        <v>5</v>
      </c>
      <c r="BH25">
        <v>0</v>
      </c>
      <c r="BI25">
        <v>1</v>
      </c>
      <c r="BJ25" t="s">
        <v>19</v>
      </c>
      <c r="BM25">
        <v>1150</v>
      </c>
      <c r="BN25">
        <v>0</v>
      </c>
      <c r="BO25" t="s">
        <v>16</v>
      </c>
      <c r="BP25">
        <v>1</v>
      </c>
      <c r="BQ25">
        <v>30</v>
      </c>
      <c r="BR25">
        <v>0</v>
      </c>
      <c r="BS25">
        <v>34.51</v>
      </c>
      <c r="BT25">
        <v>1</v>
      </c>
      <c r="BU25">
        <v>1</v>
      </c>
      <c r="BV25">
        <v>1</v>
      </c>
      <c r="BW25">
        <v>1</v>
      </c>
      <c r="BX25">
        <v>1</v>
      </c>
      <c r="BY25" t="s">
        <v>5</v>
      </c>
      <c r="BZ25">
        <v>87</v>
      </c>
      <c r="CA25">
        <v>41</v>
      </c>
      <c r="CB25" t="s">
        <v>5</v>
      </c>
      <c r="CE25">
        <v>30</v>
      </c>
      <c r="CF25">
        <v>0</v>
      </c>
      <c r="CG25">
        <v>0</v>
      </c>
      <c r="CM25">
        <v>0</v>
      </c>
      <c r="CN25" t="s">
        <v>28</v>
      </c>
      <c r="CO25">
        <v>0</v>
      </c>
      <c r="CP25">
        <f t="shared" si="27"/>
        <v>540766.69000000006</v>
      </c>
      <c r="CQ25">
        <f t="shared" si="28"/>
        <v>26731.439999999999</v>
      </c>
      <c r="CR25">
        <f>(ROUND((ROUND((((ET25*1.25))*AV25*1),2)*BB25),2)+ROUND((ROUND(((AE25-((EU25*1.25)))*AV25*1),2)*BS25),2))</f>
        <v>4727.38</v>
      </c>
      <c r="CS25">
        <f t="shared" si="29"/>
        <v>1785.55</v>
      </c>
      <c r="CT25">
        <f t="shared" si="30"/>
        <v>87652.64</v>
      </c>
      <c r="CU25">
        <f t="shared" si="31"/>
        <v>0</v>
      </c>
      <c r="CV25">
        <f t="shared" si="32"/>
        <v>217.25799999999998</v>
      </c>
      <c r="CW25">
        <f t="shared" si="33"/>
        <v>0</v>
      </c>
      <c r="CX25">
        <f t="shared" si="34"/>
        <v>0</v>
      </c>
      <c r="CY25">
        <f t="shared" si="35"/>
        <v>346211.08860000002</v>
      </c>
      <c r="CZ25">
        <f t="shared" si="36"/>
        <v>163156.9498</v>
      </c>
      <c r="DC25" t="s">
        <v>5</v>
      </c>
      <c r="DD25" t="s">
        <v>5</v>
      </c>
      <c r="DE25" t="s">
        <v>29</v>
      </c>
      <c r="DF25" t="s">
        <v>29</v>
      </c>
      <c r="DG25" t="s">
        <v>30</v>
      </c>
      <c r="DH25" t="s">
        <v>5</v>
      </c>
      <c r="DI25" t="s">
        <v>30</v>
      </c>
      <c r="DJ25" t="s">
        <v>29</v>
      </c>
      <c r="DK25" t="s">
        <v>5</v>
      </c>
      <c r="DL25" t="s">
        <v>5</v>
      </c>
      <c r="DM25" t="s">
        <v>5</v>
      </c>
      <c r="DN25">
        <v>105</v>
      </c>
      <c r="DO25">
        <v>70</v>
      </c>
      <c r="DP25">
        <v>1</v>
      </c>
      <c r="DQ25">
        <v>1</v>
      </c>
      <c r="DU25">
        <v>1005</v>
      </c>
      <c r="DV25" t="s">
        <v>18</v>
      </c>
      <c r="DW25" t="s">
        <v>18</v>
      </c>
      <c r="DX25">
        <v>100</v>
      </c>
      <c r="DZ25" t="s">
        <v>5</v>
      </c>
      <c r="EA25" t="s">
        <v>5</v>
      </c>
      <c r="EB25" t="s">
        <v>5</v>
      </c>
      <c r="EC25" t="s">
        <v>5</v>
      </c>
      <c r="EE25">
        <v>66105829</v>
      </c>
      <c r="EF25">
        <v>30</v>
      </c>
      <c r="EG25" t="s">
        <v>23</v>
      </c>
      <c r="EH25">
        <v>0</v>
      </c>
      <c r="EI25" t="s">
        <v>5</v>
      </c>
      <c r="EJ25">
        <v>1</v>
      </c>
      <c r="EK25">
        <v>1150</v>
      </c>
      <c r="EL25" t="s">
        <v>24</v>
      </c>
      <c r="EM25" t="s">
        <v>25</v>
      </c>
      <c r="EO25" t="s">
        <v>31</v>
      </c>
      <c r="EQ25">
        <v>0</v>
      </c>
      <c r="ER25">
        <v>12269.62</v>
      </c>
      <c r="ES25">
        <v>9756</v>
      </c>
      <c r="ET25">
        <v>304.99</v>
      </c>
      <c r="EU25">
        <v>41.39</v>
      </c>
      <c r="EV25">
        <v>2208.63</v>
      </c>
      <c r="EW25">
        <v>188.92</v>
      </c>
      <c r="EX25">
        <v>0</v>
      </c>
      <c r="EY25">
        <v>0</v>
      </c>
      <c r="FQ25">
        <v>0</v>
      </c>
      <c r="FR25">
        <f t="shared" si="37"/>
        <v>0</v>
      </c>
      <c r="FS25">
        <v>0</v>
      </c>
      <c r="FX25">
        <v>105</v>
      </c>
      <c r="FY25">
        <v>70</v>
      </c>
      <c r="GA25" t="s">
        <v>5</v>
      </c>
      <c r="GD25">
        <v>0</v>
      </c>
      <c r="GF25">
        <v>-748261357</v>
      </c>
      <c r="GG25">
        <v>2</v>
      </c>
      <c r="GH25">
        <v>1</v>
      </c>
      <c r="GI25">
        <v>2</v>
      </c>
      <c r="GJ25">
        <v>0</v>
      </c>
      <c r="GK25">
        <f>ROUND(R25*(R12)/100,2)</f>
        <v>12969.68</v>
      </c>
      <c r="GL25">
        <f t="shared" si="38"/>
        <v>0</v>
      </c>
      <c r="GM25">
        <f t="shared" si="39"/>
        <v>1063104.4099999999</v>
      </c>
      <c r="GN25">
        <f t="shared" si="40"/>
        <v>1063104.4099999999</v>
      </c>
      <c r="GO25">
        <f t="shared" si="41"/>
        <v>0</v>
      </c>
      <c r="GP25">
        <f t="shared" si="42"/>
        <v>0</v>
      </c>
      <c r="GR25">
        <v>0</v>
      </c>
      <c r="GS25">
        <v>3</v>
      </c>
      <c r="GT25">
        <v>0</v>
      </c>
      <c r="GU25" t="s">
        <v>5</v>
      </c>
      <c r="GV25">
        <f t="shared" si="43"/>
        <v>0</v>
      </c>
      <c r="GW25">
        <v>1</v>
      </c>
      <c r="GX25">
        <f t="shared" si="44"/>
        <v>0</v>
      </c>
      <c r="HA25">
        <v>0</v>
      </c>
      <c r="HB25">
        <v>0</v>
      </c>
      <c r="HC25">
        <f t="shared" si="45"/>
        <v>0</v>
      </c>
      <c r="HE25" t="s">
        <v>5</v>
      </c>
      <c r="HF25" t="s">
        <v>5</v>
      </c>
      <c r="HM25" t="s">
        <v>5</v>
      </c>
      <c r="HN25" t="s">
        <v>5</v>
      </c>
      <c r="HO25" t="s">
        <v>5</v>
      </c>
      <c r="HP25" t="s">
        <v>5</v>
      </c>
      <c r="HQ25" t="s">
        <v>5</v>
      </c>
      <c r="IK25">
        <v>0</v>
      </c>
    </row>
    <row r="26" spans="1:245" x14ac:dyDescent="0.2">
      <c r="A26">
        <v>18</v>
      </c>
      <c r="B26">
        <v>1</v>
      </c>
      <c r="C26">
        <v>14</v>
      </c>
      <c r="E26" t="s">
        <v>32</v>
      </c>
      <c r="F26" t="s">
        <v>33</v>
      </c>
      <c r="G26" t="s">
        <v>279</v>
      </c>
      <c r="H26" t="s">
        <v>34</v>
      </c>
      <c r="I26">
        <f>I25*J26</f>
        <v>1604.89</v>
      </c>
      <c r="J26">
        <v>353.5</v>
      </c>
      <c r="K26">
        <v>353.5</v>
      </c>
      <c r="O26">
        <f t="shared" si="14"/>
        <v>23067.89</v>
      </c>
      <c r="P26">
        <f t="shared" si="15"/>
        <v>23067.89</v>
      </c>
      <c r="Q26">
        <f>(ROUND((ROUND(((ET26)*AV26*I26),2)*BB26),2)+ROUND((ROUND(((AE26-(EU26))*AV26*I26),2)*BS26),2))</f>
        <v>0</v>
      </c>
      <c r="R26">
        <f t="shared" si="16"/>
        <v>0</v>
      </c>
      <c r="S26">
        <f t="shared" si="17"/>
        <v>0</v>
      </c>
      <c r="T26">
        <f t="shared" si="18"/>
        <v>0</v>
      </c>
      <c r="U26">
        <f t="shared" si="19"/>
        <v>0</v>
      </c>
      <c r="V26">
        <f t="shared" si="20"/>
        <v>0</v>
      </c>
      <c r="W26">
        <f t="shared" si="21"/>
        <v>0</v>
      </c>
      <c r="X26">
        <f t="shared" si="22"/>
        <v>0</v>
      </c>
      <c r="Y26">
        <f t="shared" si="23"/>
        <v>0</v>
      </c>
      <c r="AA26">
        <v>67204543</v>
      </c>
      <c r="AB26">
        <f t="shared" si="24"/>
        <v>15.13</v>
      </c>
      <c r="AC26">
        <f>ROUND((ES26),6)</f>
        <v>15.13</v>
      </c>
      <c r="AD26">
        <f>ROUND((((ET26)-(EU26))+AE26),6)</f>
        <v>0</v>
      </c>
      <c r="AE26">
        <f t="shared" ref="AE26:AF29" si="46">ROUND((EU26),6)</f>
        <v>0</v>
      </c>
      <c r="AF26">
        <f t="shared" si="46"/>
        <v>0</v>
      </c>
      <c r="AG26">
        <f t="shared" si="25"/>
        <v>0</v>
      </c>
      <c r="AH26">
        <f t="shared" ref="AH26:AI29" si="47">(EW26)</f>
        <v>0</v>
      </c>
      <c r="AI26">
        <f t="shared" si="47"/>
        <v>0</v>
      </c>
      <c r="AJ26">
        <f t="shared" si="26"/>
        <v>0</v>
      </c>
      <c r="AK26">
        <v>15.13</v>
      </c>
      <c r="AL26">
        <v>15.13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1</v>
      </c>
      <c r="AW26">
        <v>1</v>
      </c>
      <c r="AZ26">
        <v>1</v>
      </c>
      <c r="BA26">
        <v>1</v>
      </c>
      <c r="BB26">
        <v>1</v>
      </c>
      <c r="BC26">
        <v>0.95</v>
      </c>
      <c r="BD26" t="s">
        <v>5</v>
      </c>
      <c r="BE26" t="s">
        <v>5</v>
      </c>
      <c r="BF26" t="s">
        <v>5</v>
      </c>
      <c r="BG26" t="s">
        <v>5</v>
      </c>
      <c r="BH26">
        <v>3</v>
      </c>
      <c r="BI26">
        <v>1</v>
      </c>
      <c r="BJ26" t="s">
        <v>35</v>
      </c>
      <c r="BM26">
        <v>1150</v>
      </c>
      <c r="BN26">
        <v>0</v>
      </c>
      <c r="BO26" t="s">
        <v>33</v>
      </c>
      <c r="BP26">
        <v>1</v>
      </c>
      <c r="BQ26">
        <v>30</v>
      </c>
      <c r="BR26">
        <v>0</v>
      </c>
      <c r="BS26">
        <v>1</v>
      </c>
      <c r="BT26">
        <v>1</v>
      </c>
      <c r="BU26">
        <v>1</v>
      </c>
      <c r="BV26">
        <v>1</v>
      </c>
      <c r="BW26">
        <v>1</v>
      </c>
      <c r="BX26">
        <v>1</v>
      </c>
      <c r="BY26" t="s">
        <v>5</v>
      </c>
      <c r="BZ26">
        <v>0</v>
      </c>
      <c r="CA26">
        <v>0</v>
      </c>
      <c r="CB26" t="s">
        <v>5</v>
      </c>
      <c r="CE26">
        <v>30</v>
      </c>
      <c r="CF26">
        <v>0</v>
      </c>
      <c r="CG26">
        <v>0</v>
      </c>
      <c r="CM26">
        <v>0</v>
      </c>
      <c r="CN26" t="s">
        <v>5</v>
      </c>
      <c r="CO26">
        <v>0</v>
      </c>
      <c r="CP26">
        <f t="shared" si="27"/>
        <v>23067.89</v>
      </c>
      <c r="CQ26">
        <f t="shared" si="28"/>
        <v>14.37</v>
      </c>
      <c r="CR26">
        <f>(ROUND((ROUND(((ET26)*AV26*1),2)*BB26),2)+ROUND((ROUND(((AE26-(EU26))*AV26*1),2)*BS26),2))</f>
        <v>0</v>
      </c>
      <c r="CS26">
        <f t="shared" si="29"/>
        <v>0</v>
      </c>
      <c r="CT26">
        <f t="shared" si="30"/>
        <v>0</v>
      </c>
      <c r="CU26">
        <f t="shared" si="31"/>
        <v>0</v>
      </c>
      <c r="CV26">
        <f t="shared" si="32"/>
        <v>0</v>
      </c>
      <c r="CW26">
        <f t="shared" si="33"/>
        <v>0</v>
      </c>
      <c r="CX26">
        <f t="shared" si="34"/>
        <v>0</v>
      </c>
      <c r="CY26">
        <f t="shared" si="35"/>
        <v>0</v>
      </c>
      <c r="CZ26">
        <f t="shared" si="36"/>
        <v>0</v>
      </c>
      <c r="DC26" t="s">
        <v>5</v>
      </c>
      <c r="DD26" t="s">
        <v>5</v>
      </c>
      <c r="DE26" t="s">
        <v>5</v>
      </c>
      <c r="DF26" t="s">
        <v>5</v>
      </c>
      <c r="DG26" t="s">
        <v>5</v>
      </c>
      <c r="DH26" t="s">
        <v>5</v>
      </c>
      <c r="DI26" t="s">
        <v>5</v>
      </c>
      <c r="DJ26" t="s">
        <v>5</v>
      </c>
      <c r="DK26" t="s">
        <v>5</v>
      </c>
      <c r="DL26" t="s">
        <v>5</v>
      </c>
      <c r="DM26" t="s">
        <v>5</v>
      </c>
      <c r="DN26">
        <v>105</v>
      </c>
      <c r="DO26">
        <v>70</v>
      </c>
      <c r="DP26">
        <v>1</v>
      </c>
      <c r="DQ26">
        <v>1</v>
      </c>
      <c r="DU26">
        <v>1003</v>
      </c>
      <c r="DV26" t="s">
        <v>34</v>
      </c>
      <c r="DW26" t="s">
        <v>34</v>
      </c>
      <c r="DX26">
        <v>1</v>
      </c>
      <c r="DZ26" t="s">
        <v>5</v>
      </c>
      <c r="EA26" t="s">
        <v>5</v>
      </c>
      <c r="EB26" t="s">
        <v>5</v>
      </c>
      <c r="EC26" t="s">
        <v>5</v>
      </c>
      <c r="EE26">
        <v>66105829</v>
      </c>
      <c r="EF26">
        <v>30</v>
      </c>
      <c r="EG26" t="s">
        <v>23</v>
      </c>
      <c r="EH26">
        <v>0</v>
      </c>
      <c r="EI26" t="s">
        <v>5</v>
      </c>
      <c r="EJ26">
        <v>1</v>
      </c>
      <c r="EK26">
        <v>1150</v>
      </c>
      <c r="EL26" t="s">
        <v>24</v>
      </c>
      <c r="EM26" t="s">
        <v>25</v>
      </c>
      <c r="EO26" t="s">
        <v>5</v>
      </c>
      <c r="EQ26">
        <v>0</v>
      </c>
      <c r="ER26">
        <v>15.13</v>
      </c>
      <c r="ES26">
        <v>15.13</v>
      </c>
      <c r="ET26">
        <v>0</v>
      </c>
      <c r="EU26">
        <v>0</v>
      </c>
      <c r="EV26">
        <v>0</v>
      </c>
      <c r="EW26">
        <v>0</v>
      </c>
      <c r="EX26">
        <v>0</v>
      </c>
      <c r="FQ26">
        <v>0</v>
      </c>
      <c r="FR26">
        <f t="shared" si="37"/>
        <v>0</v>
      </c>
      <c r="FS26">
        <v>0</v>
      </c>
      <c r="FX26">
        <v>105</v>
      </c>
      <c r="FY26">
        <v>70</v>
      </c>
      <c r="GA26" t="s">
        <v>5</v>
      </c>
      <c r="GD26">
        <v>0</v>
      </c>
      <c r="GF26">
        <v>933990277</v>
      </c>
      <c r="GG26">
        <v>2</v>
      </c>
      <c r="GH26">
        <v>1</v>
      </c>
      <c r="GI26">
        <v>2</v>
      </c>
      <c r="GJ26">
        <v>0</v>
      </c>
      <c r="GK26">
        <f>ROUND(R26*(R12)/100,2)</f>
        <v>0</v>
      </c>
      <c r="GL26">
        <f t="shared" si="38"/>
        <v>0</v>
      </c>
      <c r="GM26">
        <f t="shared" si="39"/>
        <v>23067.89</v>
      </c>
      <c r="GN26">
        <f t="shared" si="40"/>
        <v>23067.89</v>
      </c>
      <c r="GO26">
        <f t="shared" si="41"/>
        <v>0</v>
      </c>
      <c r="GP26">
        <f t="shared" si="42"/>
        <v>0</v>
      </c>
      <c r="GR26">
        <v>0</v>
      </c>
      <c r="GS26">
        <v>3</v>
      </c>
      <c r="GT26">
        <v>0</v>
      </c>
      <c r="GU26" t="s">
        <v>5</v>
      </c>
      <c r="GV26">
        <f t="shared" si="43"/>
        <v>0</v>
      </c>
      <c r="GW26">
        <v>1</v>
      </c>
      <c r="GX26">
        <f t="shared" si="44"/>
        <v>0</v>
      </c>
      <c r="HA26">
        <v>0</v>
      </c>
      <c r="HB26">
        <v>0</v>
      </c>
      <c r="HC26">
        <f t="shared" si="45"/>
        <v>0</v>
      </c>
      <c r="HE26" t="s">
        <v>5</v>
      </c>
      <c r="HF26" t="s">
        <v>5</v>
      </c>
      <c r="HM26" t="s">
        <v>5</v>
      </c>
      <c r="HN26" t="s">
        <v>5</v>
      </c>
      <c r="HO26" t="s">
        <v>5</v>
      </c>
      <c r="HP26" t="s">
        <v>5</v>
      </c>
      <c r="HQ26" t="s">
        <v>5</v>
      </c>
      <c r="IK26">
        <v>0</v>
      </c>
    </row>
    <row r="27" spans="1:245" x14ac:dyDescent="0.2">
      <c r="A27">
        <v>18</v>
      </c>
      <c r="B27">
        <v>1</v>
      </c>
      <c r="C27">
        <v>13</v>
      </c>
      <c r="E27" t="s">
        <v>36</v>
      </c>
      <c r="F27" t="s">
        <v>37</v>
      </c>
      <c r="G27" t="s">
        <v>278</v>
      </c>
      <c r="H27" t="s">
        <v>34</v>
      </c>
      <c r="I27">
        <f>I25*J27</f>
        <v>388.17</v>
      </c>
      <c r="J27">
        <v>85.5</v>
      </c>
      <c r="K27">
        <v>85.5</v>
      </c>
      <c r="O27">
        <f t="shared" si="14"/>
        <v>10248.66</v>
      </c>
      <c r="P27">
        <f t="shared" si="15"/>
        <v>10248.66</v>
      </c>
      <c r="Q27">
        <f>(ROUND((ROUND(((ET27)*AV27*I27),2)*BB27),2)+ROUND((ROUND(((AE27-(EU27))*AV27*I27),2)*BS27),2))</f>
        <v>0</v>
      </c>
      <c r="R27">
        <f t="shared" si="16"/>
        <v>0</v>
      </c>
      <c r="S27">
        <f t="shared" si="17"/>
        <v>0</v>
      </c>
      <c r="T27">
        <f t="shared" si="18"/>
        <v>0</v>
      </c>
      <c r="U27">
        <f t="shared" si="19"/>
        <v>0</v>
      </c>
      <c r="V27">
        <f t="shared" si="20"/>
        <v>0</v>
      </c>
      <c r="W27">
        <f t="shared" si="21"/>
        <v>0</v>
      </c>
      <c r="X27">
        <f t="shared" si="22"/>
        <v>0</v>
      </c>
      <c r="Y27">
        <f t="shared" si="23"/>
        <v>0</v>
      </c>
      <c r="AA27">
        <v>67204543</v>
      </c>
      <c r="AB27">
        <f t="shared" si="24"/>
        <v>14.75</v>
      </c>
      <c r="AC27">
        <f>ROUND((ES27),6)</f>
        <v>14.75</v>
      </c>
      <c r="AD27">
        <f>ROUND((((ET27)-(EU27))+AE27),6)</f>
        <v>0</v>
      </c>
      <c r="AE27">
        <f t="shared" si="46"/>
        <v>0</v>
      </c>
      <c r="AF27">
        <f t="shared" si="46"/>
        <v>0</v>
      </c>
      <c r="AG27">
        <f t="shared" si="25"/>
        <v>0</v>
      </c>
      <c r="AH27">
        <f t="shared" si="47"/>
        <v>0</v>
      </c>
      <c r="AI27">
        <f t="shared" si="47"/>
        <v>0</v>
      </c>
      <c r="AJ27">
        <f t="shared" si="26"/>
        <v>0</v>
      </c>
      <c r="AK27">
        <v>14.75</v>
      </c>
      <c r="AL27">
        <v>14.75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1</v>
      </c>
      <c r="AW27">
        <v>1</v>
      </c>
      <c r="AZ27">
        <v>1</v>
      </c>
      <c r="BA27">
        <v>1</v>
      </c>
      <c r="BB27">
        <v>1</v>
      </c>
      <c r="BC27">
        <v>1.79</v>
      </c>
      <c r="BD27" t="s">
        <v>5</v>
      </c>
      <c r="BE27" t="s">
        <v>5</v>
      </c>
      <c r="BF27" t="s">
        <v>5</v>
      </c>
      <c r="BG27" t="s">
        <v>5</v>
      </c>
      <c r="BH27">
        <v>3</v>
      </c>
      <c r="BI27">
        <v>1</v>
      </c>
      <c r="BJ27" t="s">
        <v>38</v>
      </c>
      <c r="BM27">
        <v>1150</v>
      </c>
      <c r="BN27">
        <v>0</v>
      </c>
      <c r="BO27" t="s">
        <v>37</v>
      </c>
      <c r="BP27">
        <v>1</v>
      </c>
      <c r="BQ27">
        <v>30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1</v>
      </c>
      <c r="BY27" t="s">
        <v>5</v>
      </c>
      <c r="BZ27">
        <v>0</v>
      </c>
      <c r="CA27">
        <v>0</v>
      </c>
      <c r="CB27" t="s">
        <v>5</v>
      </c>
      <c r="CE27">
        <v>30</v>
      </c>
      <c r="CF27">
        <v>0</v>
      </c>
      <c r="CG27">
        <v>0</v>
      </c>
      <c r="CM27">
        <v>0</v>
      </c>
      <c r="CN27" t="s">
        <v>5</v>
      </c>
      <c r="CO27">
        <v>0</v>
      </c>
      <c r="CP27">
        <f t="shared" si="27"/>
        <v>10248.66</v>
      </c>
      <c r="CQ27">
        <f t="shared" si="28"/>
        <v>26.4</v>
      </c>
      <c r="CR27">
        <f>(ROUND((ROUND(((ET27)*AV27*1),2)*BB27),2)+ROUND((ROUND(((AE27-(EU27))*AV27*1),2)*BS27),2))</f>
        <v>0</v>
      </c>
      <c r="CS27">
        <f t="shared" si="29"/>
        <v>0</v>
      </c>
      <c r="CT27">
        <f t="shared" si="30"/>
        <v>0</v>
      </c>
      <c r="CU27">
        <f t="shared" si="31"/>
        <v>0</v>
      </c>
      <c r="CV27">
        <f t="shared" si="32"/>
        <v>0</v>
      </c>
      <c r="CW27">
        <f t="shared" si="33"/>
        <v>0</v>
      </c>
      <c r="CX27">
        <f t="shared" si="34"/>
        <v>0</v>
      </c>
      <c r="CY27">
        <f t="shared" si="35"/>
        <v>0</v>
      </c>
      <c r="CZ27">
        <f t="shared" si="36"/>
        <v>0</v>
      </c>
      <c r="DC27" t="s">
        <v>5</v>
      </c>
      <c r="DD27" t="s">
        <v>5</v>
      </c>
      <c r="DE27" t="s">
        <v>5</v>
      </c>
      <c r="DF27" t="s">
        <v>5</v>
      </c>
      <c r="DG27" t="s">
        <v>5</v>
      </c>
      <c r="DH27" t="s">
        <v>5</v>
      </c>
      <c r="DI27" t="s">
        <v>5</v>
      </c>
      <c r="DJ27" t="s">
        <v>5</v>
      </c>
      <c r="DK27" t="s">
        <v>5</v>
      </c>
      <c r="DL27" t="s">
        <v>5</v>
      </c>
      <c r="DM27" t="s">
        <v>5</v>
      </c>
      <c r="DN27">
        <v>105</v>
      </c>
      <c r="DO27">
        <v>70</v>
      </c>
      <c r="DP27">
        <v>1</v>
      </c>
      <c r="DQ27">
        <v>1</v>
      </c>
      <c r="DU27">
        <v>1003</v>
      </c>
      <c r="DV27" t="s">
        <v>34</v>
      </c>
      <c r="DW27" t="s">
        <v>34</v>
      </c>
      <c r="DX27">
        <v>1</v>
      </c>
      <c r="DZ27" t="s">
        <v>5</v>
      </c>
      <c r="EA27" t="s">
        <v>5</v>
      </c>
      <c r="EB27" t="s">
        <v>5</v>
      </c>
      <c r="EC27" t="s">
        <v>5</v>
      </c>
      <c r="EE27">
        <v>66105829</v>
      </c>
      <c r="EF27">
        <v>30</v>
      </c>
      <c r="EG27" t="s">
        <v>23</v>
      </c>
      <c r="EH27">
        <v>0</v>
      </c>
      <c r="EI27" t="s">
        <v>5</v>
      </c>
      <c r="EJ27">
        <v>1</v>
      </c>
      <c r="EK27">
        <v>1150</v>
      </c>
      <c r="EL27" t="s">
        <v>24</v>
      </c>
      <c r="EM27" t="s">
        <v>25</v>
      </c>
      <c r="EO27" t="s">
        <v>5</v>
      </c>
      <c r="EQ27">
        <v>0</v>
      </c>
      <c r="ER27">
        <v>14.75</v>
      </c>
      <c r="ES27">
        <v>14.75</v>
      </c>
      <c r="ET27">
        <v>0</v>
      </c>
      <c r="EU27">
        <v>0</v>
      </c>
      <c r="EV27">
        <v>0</v>
      </c>
      <c r="EW27">
        <v>0</v>
      </c>
      <c r="EX27">
        <v>0</v>
      </c>
      <c r="FQ27">
        <v>0</v>
      </c>
      <c r="FR27">
        <f t="shared" si="37"/>
        <v>0</v>
      </c>
      <c r="FS27">
        <v>0</v>
      </c>
      <c r="FX27">
        <v>105</v>
      </c>
      <c r="FY27">
        <v>70</v>
      </c>
      <c r="GA27" t="s">
        <v>5</v>
      </c>
      <c r="GD27">
        <v>0</v>
      </c>
      <c r="GF27">
        <v>851342500</v>
      </c>
      <c r="GG27">
        <v>2</v>
      </c>
      <c r="GH27">
        <v>1</v>
      </c>
      <c r="GI27">
        <v>2</v>
      </c>
      <c r="GJ27">
        <v>0</v>
      </c>
      <c r="GK27">
        <f>ROUND(R27*(R12)/100,2)</f>
        <v>0</v>
      </c>
      <c r="GL27">
        <f t="shared" si="38"/>
        <v>0</v>
      </c>
      <c r="GM27">
        <f t="shared" si="39"/>
        <v>10248.66</v>
      </c>
      <c r="GN27">
        <f t="shared" si="40"/>
        <v>10248.66</v>
      </c>
      <c r="GO27">
        <f t="shared" si="41"/>
        <v>0</v>
      </c>
      <c r="GP27">
        <f t="shared" si="42"/>
        <v>0</v>
      </c>
      <c r="GR27">
        <v>0</v>
      </c>
      <c r="GS27">
        <v>3</v>
      </c>
      <c r="GT27">
        <v>0</v>
      </c>
      <c r="GU27" t="s">
        <v>5</v>
      </c>
      <c r="GV27">
        <f t="shared" si="43"/>
        <v>0</v>
      </c>
      <c r="GW27">
        <v>1</v>
      </c>
      <c r="GX27">
        <f t="shared" si="44"/>
        <v>0</v>
      </c>
      <c r="HA27">
        <v>0</v>
      </c>
      <c r="HB27">
        <v>0</v>
      </c>
      <c r="HC27">
        <f t="shared" si="45"/>
        <v>0</v>
      </c>
      <c r="HE27" t="s">
        <v>5</v>
      </c>
      <c r="HF27" t="s">
        <v>5</v>
      </c>
      <c r="HM27" t="s">
        <v>5</v>
      </c>
      <c r="HN27" t="s">
        <v>5</v>
      </c>
      <c r="HO27" t="s">
        <v>5</v>
      </c>
      <c r="HP27" t="s">
        <v>5</v>
      </c>
      <c r="HQ27" t="s">
        <v>5</v>
      </c>
      <c r="IK27">
        <v>0</v>
      </c>
    </row>
    <row r="28" spans="1:245" x14ac:dyDescent="0.2">
      <c r="A28">
        <v>18</v>
      </c>
      <c r="B28">
        <v>1</v>
      </c>
      <c r="C28">
        <v>18</v>
      </c>
      <c r="E28" t="s">
        <v>39</v>
      </c>
      <c r="F28" t="s">
        <v>40</v>
      </c>
      <c r="G28" t="s">
        <v>41</v>
      </c>
      <c r="H28" t="s">
        <v>42</v>
      </c>
      <c r="I28">
        <f>I25*J28</f>
        <v>454</v>
      </c>
      <c r="J28">
        <v>100</v>
      </c>
      <c r="K28">
        <v>100</v>
      </c>
      <c r="O28">
        <f t="shared" si="14"/>
        <v>11113920</v>
      </c>
      <c r="P28">
        <f t="shared" si="15"/>
        <v>11113920</v>
      </c>
      <c r="Q28">
        <f>(ROUND((ROUND(((ET28)*AV28*I28),2)*BB28),2)+ROUND((ROUND(((AE28-(EU28))*AV28*I28),2)*BS28),2))</f>
        <v>0</v>
      </c>
      <c r="R28">
        <f t="shared" si="16"/>
        <v>0</v>
      </c>
      <c r="S28">
        <f t="shared" si="17"/>
        <v>0</v>
      </c>
      <c r="T28">
        <f t="shared" si="18"/>
        <v>0</v>
      </c>
      <c r="U28">
        <f t="shared" si="19"/>
        <v>0</v>
      </c>
      <c r="V28">
        <f t="shared" si="20"/>
        <v>0</v>
      </c>
      <c r="W28">
        <f t="shared" si="21"/>
        <v>0</v>
      </c>
      <c r="X28">
        <f t="shared" si="22"/>
        <v>0</v>
      </c>
      <c r="Y28">
        <f t="shared" si="23"/>
        <v>0</v>
      </c>
      <c r="AA28">
        <v>67204543</v>
      </c>
      <c r="AB28">
        <f t="shared" si="24"/>
        <v>24480</v>
      </c>
      <c r="AC28">
        <f>ROUND((ES28),6)</f>
        <v>24480</v>
      </c>
      <c r="AD28">
        <f>ROUND((((ET28)-(EU28))+AE28),6)</f>
        <v>0</v>
      </c>
      <c r="AE28">
        <f t="shared" si="46"/>
        <v>0</v>
      </c>
      <c r="AF28">
        <f t="shared" si="46"/>
        <v>0</v>
      </c>
      <c r="AG28">
        <f t="shared" si="25"/>
        <v>0</v>
      </c>
      <c r="AH28">
        <f t="shared" si="47"/>
        <v>0</v>
      </c>
      <c r="AI28">
        <f t="shared" si="47"/>
        <v>0</v>
      </c>
      <c r="AJ28">
        <f t="shared" si="26"/>
        <v>0</v>
      </c>
      <c r="AK28">
        <v>24480</v>
      </c>
      <c r="AL28">
        <v>24480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</v>
      </c>
      <c r="BB28">
        <v>1</v>
      </c>
      <c r="BC28">
        <v>1</v>
      </c>
      <c r="BD28" t="s">
        <v>5</v>
      </c>
      <c r="BE28" t="s">
        <v>5</v>
      </c>
      <c r="BF28" t="s">
        <v>5</v>
      </c>
      <c r="BG28" t="s">
        <v>5</v>
      </c>
      <c r="BH28">
        <v>3</v>
      </c>
      <c r="BI28">
        <v>1</v>
      </c>
      <c r="BJ28" t="s">
        <v>5</v>
      </c>
      <c r="BM28">
        <v>1150</v>
      </c>
      <c r="BN28">
        <v>0</v>
      </c>
      <c r="BO28" t="s">
        <v>5</v>
      </c>
      <c r="BP28">
        <v>0</v>
      </c>
      <c r="BQ28">
        <v>30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5</v>
      </c>
      <c r="BZ28">
        <v>0</v>
      </c>
      <c r="CA28">
        <v>0</v>
      </c>
      <c r="CB28" t="s">
        <v>5</v>
      </c>
      <c r="CE28">
        <v>30</v>
      </c>
      <c r="CF28">
        <v>0</v>
      </c>
      <c r="CG28">
        <v>0</v>
      </c>
      <c r="CM28">
        <v>0</v>
      </c>
      <c r="CN28" t="s">
        <v>5</v>
      </c>
      <c r="CO28">
        <v>0</v>
      </c>
      <c r="CP28">
        <f t="shared" si="27"/>
        <v>11113920</v>
      </c>
      <c r="CQ28">
        <f t="shared" si="28"/>
        <v>24480</v>
      </c>
      <c r="CR28">
        <f>(ROUND((ROUND(((ET28)*AV28*1),2)*BB28),2)+ROUND((ROUND(((AE28-(EU28))*AV28*1),2)*BS28),2))</f>
        <v>0</v>
      </c>
      <c r="CS28">
        <f t="shared" si="29"/>
        <v>0</v>
      </c>
      <c r="CT28">
        <f t="shared" si="30"/>
        <v>0</v>
      </c>
      <c r="CU28">
        <f t="shared" si="31"/>
        <v>0</v>
      </c>
      <c r="CV28">
        <f t="shared" si="32"/>
        <v>0</v>
      </c>
      <c r="CW28">
        <f t="shared" si="33"/>
        <v>0</v>
      </c>
      <c r="CX28">
        <f t="shared" si="34"/>
        <v>0</v>
      </c>
      <c r="CY28">
        <f t="shared" si="35"/>
        <v>0</v>
      </c>
      <c r="CZ28">
        <f t="shared" si="36"/>
        <v>0</v>
      </c>
      <c r="DC28" t="s">
        <v>5</v>
      </c>
      <c r="DD28" t="s">
        <v>5</v>
      </c>
      <c r="DE28" t="s">
        <v>5</v>
      </c>
      <c r="DF28" t="s">
        <v>5</v>
      </c>
      <c r="DG28" t="s">
        <v>5</v>
      </c>
      <c r="DH28" t="s">
        <v>5</v>
      </c>
      <c r="DI28" t="s">
        <v>5</v>
      </c>
      <c r="DJ28" t="s">
        <v>5</v>
      </c>
      <c r="DK28" t="s">
        <v>5</v>
      </c>
      <c r="DL28" t="s">
        <v>5</v>
      </c>
      <c r="DM28" t="s">
        <v>5</v>
      </c>
      <c r="DN28">
        <v>105</v>
      </c>
      <c r="DO28">
        <v>70</v>
      </c>
      <c r="DP28">
        <v>1</v>
      </c>
      <c r="DQ28">
        <v>1</v>
      </c>
      <c r="DU28">
        <v>1005</v>
      </c>
      <c r="DV28" t="s">
        <v>42</v>
      </c>
      <c r="DW28" t="s">
        <v>42</v>
      </c>
      <c r="DX28">
        <v>1</v>
      </c>
      <c r="DZ28" t="s">
        <v>5</v>
      </c>
      <c r="EA28" t="s">
        <v>5</v>
      </c>
      <c r="EB28" t="s">
        <v>5</v>
      </c>
      <c r="EC28" t="s">
        <v>5</v>
      </c>
      <c r="EE28">
        <v>66105829</v>
      </c>
      <c r="EF28">
        <v>30</v>
      </c>
      <c r="EG28" t="s">
        <v>23</v>
      </c>
      <c r="EH28">
        <v>0</v>
      </c>
      <c r="EI28" t="s">
        <v>5</v>
      </c>
      <c r="EJ28">
        <v>1</v>
      </c>
      <c r="EK28">
        <v>1150</v>
      </c>
      <c r="EL28" t="s">
        <v>24</v>
      </c>
      <c r="EM28" t="s">
        <v>25</v>
      </c>
      <c r="EO28" t="s">
        <v>5</v>
      </c>
      <c r="EQ28">
        <v>0</v>
      </c>
      <c r="ER28">
        <v>24480</v>
      </c>
      <c r="ES28">
        <v>24480</v>
      </c>
      <c r="ET28">
        <v>0</v>
      </c>
      <c r="EU28">
        <v>0</v>
      </c>
      <c r="EV28">
        <v>0</v>
      </c>
      <c r="EW28">
        <v>0</v>
      </c>
      <c r="EX28">
        <v>0</v>
      </c>
      <c r="EZ28">
        <v>5</v>
      </c>
      <c r="FC28">
        <v>1</v>
      </c>
      <c r="FD28">
        <v>18</v>
      </c>
      <c r="FF28">
        <v>28800</v>
      </c>
      <c r="FQ28">
        <v>0</v>
      </c>
      <c r="FR28">
        <f t="shared" si="37"/>
        <v>0</v>
      </c>
      <c r="FS28">
        <v>0</v>
      </c>
      <c r="FX28">
        <v>105</v>
      </c>
      <c r="FY28">
        <v>70</v>
      </c>
      <c r="GA28" t="s">
        <v>43</v>
      </c>
      <c r="GD28">
        <v>0</v>
      </c>
      <c r="GF28">
        <v>-1770967995</v>
      </c>
      <c r="GG28">
        <v>2</v>
      </c>
      <c r="GH28">
        <v>3</v>
      </c>
      <c r="GI28">
        <v>-2</v>
      </c>
      <c r="GJ28">
        <v>0</v>
      </c>
      <c r="GK28">
        <f>ROUND(R28*(R12)/100,2)</f>
        <v>0</v>
      </c>
      <c r="GL28">
        <f t="shared" si="38"/>
        <v>0</v>
      </c>
      <c r="GM28">
        <f t="shared" si="39"/>
        <v>11113920</v>
      </c>
      <c r="GN28">
        <f t="shared" si="40"/>
        <v>11113920</v>
      </c>
      <c r="GO28">
        <f t="shared" si="41"/>
        <v>0</v>
      </c>
      <c r="GP28">
        <f t="shared" si="42"/>
        <v>0</v>
      </c>
      <c r="GR28">
        <v>1</v>
      </c>
      <c r="GS28">
        <v>1</v>
      </c>
      <c r="GT28">
        <v>0</v>
      </c>
      <c r="GU28" t="s">
        <v>5</v>
      </c>
      <c r="GV28">
        <f t="shared" si="43"/>
        <v>0</v>
      </c>
      <c r="GW28">
        <v>1</v>
      </c>
      <c r="GX28">
        <f t="shared" si="44"/>
        <v>0</v>
      </c>
      <c r="HA28">
        <v>0</v>
      </c>
      <c r="HB28">
        <v>0</v>
      </c>
      <c r="HC28">
        <f t="shared" si="45"/>
        <v>0</v>
      </c>
      <c r="HE28" t="s">
        <v>44</v>
      </c>
      <c r="HF28" t="s">
        <v>27</v>
      </c>
      <c r="HM28" t="s">
        <v>5</v>
      </c>
      <c r="HN28" t="s">
        <v>5</v>
      </c>
      <c r="HO28" t="s">
        <v>5</v>
      </c>
      <c r="HP28" t="s">
        <v>5</v>
      </c>
      <c r="HQ28" t="s">
        <v>5</v>
      </c>
      <c r="IK28">
        <v>0</v>
      </c>
    </row>
    <row r="29" spans="1:245" x14ac:dyDescent="0.2">
      <c r="A29">
        <v>18</v>
      </c>
      <c r="B29">
        <v>1</v>
      </c>
      <c r="C29">
        <v>15</v>
      </c>
      <c r="E29" t="s">
        <v>45</v>
      </c>
      <c r="F29" t="s">
        <v>46</v>
      </c>
      <c r="G29" t="s">
        <v>47</v>
      </c>
      <c r="H29" t="s">
        <v>34</v>
      </c>
      <c r="I29">
        <f>I25*J29</f>
        <v>939.78</v>
      </c>
      <c r="J29">
        <v>207</v>
      </c>
      <c r="K29">
        <v>207</v>
      </c>
      <c r="O29">
        <f t="shared" si="14"/>
        <v>5115.41</v>
      </c>
      <c r="P29">
        <f t="shared" si="15"/>
        <v>5115.41</v>
      </c>
      <c r="Q29">
        <f>(ROUND((ROUND(((ET29)*AV29*I29),2)*BB29),2)+ROUND((ROUND(((AE29-(EU29))*AV29*I29),2)*BS29),2))</f>
        <v>0</v>
      </c>
      <c r="R29">
        <f t="shared" si="16"/>
        <v>0</v>
      </c>
      <c r="S29">
        <f t="shared" si="17"/>
        <v>0</v>
      </c>
      <c r="T29">
        <f t="shared" si="18"/>
        <v>0</v>
      </c>
      <c r="U29">
        <f t="shared" si="19"/>
        <v>0</v>
      </c>
      <c r="V29">
        <f t="shared" si="20"/>
        <v>0</v>
      </c>
      <c r="W29">
        <f t="shared" si="21"/>
        <v>0</v>
      </c>
      <c r="X29">
        <f t="shared" si="22"/>
        <v>0</v>
      </c>
      <c r="Y29">
        <f t="shared" si="23"/>
        <v>0</v>
      </c>
      <c r="AA29">
        <v>67204543</v>
      </c>
      <c r="AB29">
        <f t="shared" si="24"/>
        <v>6.48</v>
      </c>
      <c r="AC29">
        <f>ROUND((ES29),6)</f>
        <v>6.48</v>
      </c>
      <c r="AD29">
        <f>ROUND((((ET29)-(EU29))+AE29),6)</f>
        <v>0</v>
      </c>
      <c r="AE29">
        <f t="shared" si="46"/>
        <v>0</v>
      </c>
      <c r="AF29">
        <f t="shared" si="46"/>
        <v>0</v>
      </c>
      <c r="AG29">
        <f t="shared" si="25"/>
        <v>0</v>
      </c>
      <c r="AH29">
        <f t="shared" si="47"/>
        <v>0</v>
      </c>
      <c r="AI29">
        <f t="shared" si="47"/>
        <v>0</v>
      </c>
      <c r="AJ29">
        <f t="shared" si="26"/>
        <v>0</v>
      </c>
      <c r="AK29">
        <v>6.48</v>
      </c>
      <c r="AL29">
        <v>6.48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0.84</v>
      </c>
      <c r="BD29" t="s">
        <v>5</v>
      </c>
      <c r="BE29" t="s">
        <v>5</v>
      </c>
      <c r="BF29" t="s">
        <v>5</v>
      </c>
      <c r="BG29" t="s">
        <v>5</v>
      </c>
      <c r="BH29">
        <v>3</v>
      </c>
      <c r="BI29">
        <v>1</v>
      </c>
      <c r="BJ29" t="s">
        <v>48</v>
      </c>
      <c r="BM29">
        <v>1150</v>
      </c>
      <c r="BN29">
        <v>0</v>
      </c>
      <c r="BO29" t="s">
        <v>46</v>
      </c>
      <c r="BP29">
        <v>1</v>
      </c>
      <c r="BQ29">
        <v>30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5</v>
      </c>
      <c r="BZ29">
        <v>0</v>
      </c>
      <c r="CA29">
        <v>0</v>
      </c>
      <c r="CB29" t="s">
        <v>5</v>
      </c>
      <c r="CE29">
        <v>30</v>
      </c>
      <c r="CF29">
        <v>0</v>
      </c>
      <c r="CG29">
        <v>0</v>
      </c>
      <c r="CM29">
        <v>0</v>
      </c>
      <c r="CN29" t="s">
        <v>5</v>
      </c>
      <c r="CO29">
        <v>0</v>
      </c>
      <c r="CP29">
        <f t="shared" si="27"/>
        <v>5115.41</v>
      </c>
      <c r="CQ29">
        <f t="shared" si="28"/>
        <v>5.44</v>
      </c>
      <c r="CR29">
        <f>(ROUND((ROUND(((ET29)*AV29*1),2)*BB29),2)+ROUND((ROUND(((AE29-(EU29))*AV29*1),2)*BS29),2))</f>
        <v>0</v>
      </c>
      <c r="CS29">
        <f t="shared" si="29"/>
        <v>0</v>
      </c>
      <c r="CT29">
        <f t="shared" si="30"/>
        <v>0</v>
      </c>
      <c r="CU29">
        <f t="shared" si="31"/>
        <v>0</v>
      </c>
      <c r="CV29">
        <f t="shared" si="32"/>
        <v>0</v>
      </c>
      <c r="CW29">
        <f t="shared" si="33"/>
        <v>0</v>
      </c>
      <c r="CX29">
        <f t="shared" si="34"/>
        <v>0</v>
      </c>
      <c r="CY29">
        <f t="shared" si="35"/>
        <v>0</v>
      </c>
      <c r="CZ29">
        <f t="shared" si="36"/>
        <v>0</v>
      </c>
      <c r="DC29" t="s">
        <v>5</v>
      </c>
      <c r="DD29" t="s">
        <v>5</v>
      </c>
      <c r="DE29" t="s">
        <v>5</v>
      </c>
      <c r="DF29" t="s">
        <v>5</v>
      </c>
      <c r="DG29" t="s">
        <v>5</v>
      </c>
      <c r="DH29" t="s">
        <v>5</v>
      </c>
      <c r="DI29" t="s">
        <v>5</v>
      </c>
      <c r="DJ29" t="s">
        <v>5</v>
      </c>
      <c r="DK29" t="s">
        <v>5</v>
      </c>
      <c r="DL29" t="s">
        <v>5</v>
      </c>
      <c r="DM29" t="s">
        <v>5</v>
      </c>
      <c r="DN29">
        <v>105</v>
      </c>
      <c r="DO29">
        <v>70</v>
      </c>
      <c r="DP29">
        <v>1</v>
      </c>
      <c r="DQ29">
        <v>1</v>
      </c>
      <c r="DU29">
        <v>1003</v>
      </c>
      <c r="DV29" t="s">
        <v>34</v>
      </c>
      <c r="DW29" t="s">
        <v>34</v>
      </c>
      <c r="DX29">
        <v>1</v>
      </c>
      <c r="DZ29" t="s">
        <v>5</v>
      </c>
      <c r="EA29" t="s">
        <v>5</v>
      </c>
      <c r="EB29" t="s">
        <v>5</v>
      </c>
      <c r="EC29" t="s">
        <v>5</v>
      </c>
      <c r="EE29">
        <v>66105829</v>
      </c>
      <c r="EF29">
        <v>30</v>
      </c>
      <c r="EG29" t="s">
        <v>23</v>
      </c>
      <c r="EH29">
        <v>0</v>
      </c>
      <c r="EI29" t="s">
        <v>5</v>
      </c>
      <c r="EJ29">
        <v>1</v>
      </c>
      <c r="EK29">
        <v>1150</v>
      </c>
      <c r="EL29" t="s">
        <v>24</v>
      </c>
      <c r="EM29" t="s">
        <v>25</v>
      </c>
      <c r="EO29" t="s">
        <v>5</v>
      </c>
      <c r="EQ29">
        <v>0</v>
      </c>
      <c r="ER29">
        <v>6.48</v>
      </c>
      <c r="ES29">
        <v>6.48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37"/>
        <v>0</v>
      </c>
      <c r="FS29">
        <v>0</v>
      </c>
      <c r="FX29">
        <v>105</v>
      </c>
      <c r="FY29">
        <v>70</v>
      </c>
      <c r="GA29" t="s">
        <v>5</v>
      </c>
      <c r="GD29">
        <v>0</v>
      </c>
      <c r="GF29">
        <v>-186020617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38"/>
        <v>0</v>
      </c>
      <c r="GM29">
        <f t="shared" si="39"/>
        <v>5115.41</v>
      </c>
      <c r="GN29">
        <f t="shared" si="40"/>
        <v>5115.41</v>
      </c>
      <c r="GO29">
        <f t="shared" si="41"/>
        <v>0</v>
      </c>
      <c r="GP29">
        <f t="shared" si="42"/>
        <v>0</v>
      </c>
      <c r="GR29">
        <v>0</v>
      </c>
      <c r="GS29">
        <v>3</v>
      </c>
      <c r="GT29">
        <v>0</v>
      </c>
      <c r="GU29" t="s">
        <v>5</v>
      </c>
      <c r="GV29">
        <f t="shared" si="43"/>
        <v>0</v>
      </c>
      <c r="GW29">
        <v>1</v>
      </c>
      <c r="GX29">
        <f t="shared" si="44"/>
        <v>0</v>
      </c>
      <c r="HA29">
        <v>0</v>
      </c>
      <c r="HB29">
        <v>0</v>
      </c>
      <c r="HC29">
        <f t="shared" si="45"/>
        <v>0</v>
      </c>
      <c r="HE29" t="s">
        <v>5</v>
      </c>
      <c r="HF29" t="s">
        <v>5</v>
      </c>
      <c r="HM29" t="s">
        <v>5</v>
      </c>
      <c r="HN29" t="s">
        <v>5</v>
      </c>
      <c r="HO29" t="s">
        <v>5</v>
      </c>
      <c r="HP29" t="s">
        <v>5</v>
      </c>
      <c r="HQ29" t="s">
        <v>5</v>
      </c>
      <c r="IK29">
        <v>0</v>
      </c>
    </row>
    <row r="30" spans="1:245" x14ac:dyDescent="0.2">
      <c r="A30">
        <v>17</v>
      </c>
      <c r="B30">
        <v>1</v>
      </c>
      <c r="C30">
        <f>ROW(SmtRes!A23)</f>
        <v>23</v>
      </c>
      <c r="D30">
        <f>ROW(EtalonRes!A27)</f>
        <v>27</v>
      </c>
      <c r="E30" t="s">
        <v>49</v>
      </c>
      <c r="F30" t="s">
        <v>50</v>
      </c>
      <c r="G30" t="s">
        <v>51</v>
      </c>
      <c r="H30" t="s">
        <v>52</v>
      </c>
      <c r="I30">
        <v>2.27</v>
      </c>
      <c r="J30">
        <v>0</v>
      </c>
      <c r="K30">
        <v>2.27</v>
      </c>
      <c r="O30">
        <f t="shared" si="14"/>
        <v>46340.160000000003</v>
      </c>
      <c r="P30">
        <f t="shared" si="15"/>
        <v>25827.85</v>
      </c>
      <c r="Q30">
        <f>(ROUND((ROUND((((ET30*1.25))*AV30*I30),2)*BB30),2)+ROUND((ROUND(((AE30-((EU30*1.25)))*AV30*I30),2)*BS30),2))</f>
        <v>424.38</v>
      </c>
      <c r="R30">
        <f t="shared" si="16"/>
        <v>173.24</v>
      </c>
      <c r="S30">
        <f t="shared" si="17"/>
        <v>20087.93</v>
      </c>
      <c r="T30">
        <f t="shared" si="18"/>
        <v>0</v>
      </c>
      <c r="U30">
        <f t="shared" si="19"/>
        <v>50.748119999999993</v>
      </c>
      <c r="V30">
        <f t="shared" si="20"/>
        <v>0</v>
      </c>
      <c r="W30">
        <f t="shared" si="21"/>
        <v>0</v>
      </c>
      <c r="X30">
        <f t="shared" si="22"/>
        <v>17476.5</v>
      </c>
      <c r="Y30">
        <f t="shared" si="23"/>
        <v>8236.0499999999993</v>
      </c>
      <c r="AA30">
        <v>67204543</v>
      </c>
      <c r="AB30">
        <f t="shared" si="24"/>
        <v>2592.9845</v>
      </c>
      <c r="AC30">
        <f>ROUND(((ES30*1)),6)</f>
        <v>2322.02</v>
      </c>
      <c r="AD30">
        <f>ROUND(((((ET30*1.25))-((EU30*1.25)))+AE30),6)</f>
        <v>14.5375</v>
      </c>
      <c r="AE30">
        <f>ROUND(((EU30*1.25)),6)</f>
        <v>2.2124999999999999</v>
      </c>
      <c r="AF30">
        <f>ROUND(((EV30*1.15)),6)</f>
        <v>256.42700000000002</v>
      </c>
      <c r="AG30">
        <f t="shared" si="25"/>
        <v>0</v>
      </c>
      <c r="AH30">
        <f>((EW30*1.15))</f>
        <v>22.355999999999998</v>
      </c>
      <c r="AI30">
        <f>((EX30*1.25))</f>
        <v>0</v>
      </c>
      <c r="AJ30">
        <f t="shared" si="26"/>
        <v>0</v>
      </c>
      <c r="AK30">
        <v>2556.63</v>
      </c>
      <c r="AL30">
        <v>2322.02</v>
      </c>
      <c r="AM30">
        <v>11.63</v>
      </c>
      <c r="AN30">
        <v>1.77</v>
      </c>
      <c r="AO30">
        <v>222.98</v>
      </c>
      <c r="AP30">
        <v>0</v>
      </c>
      <c r="AQ30">
        <v>19.440000000000001</v>
      </c>
      <c r="AR30">
        <v>0</v>
      </c>
      <c r="AS30">
        <v>0</v>
      </c>
      <c r="AT30">
        <v>87</v>
      </c>
      <c r="AU30">
        <v>41</v>
      </c>
      <c r="AV30">
        <v>1</v>
      </c>
      <c r="AW30">
        <v>1</v>
      </c>
      <c r="AZ30">
        <v>1</v>
      </c>
      <c r="BA30">
        <v>34.51</v>
      </c>
      <c r="BB30">
        <v>12.86</v>
      </c>
      <c r="BC30">
        <v>4.9000000000000004</v>
      </c>
      <c r="BD30" t="s">
        <v>5</v>
      </c>
      <c r="BE30" t="s">
        <v>5</v>
      </c>
      <c r="BF30" t="s">
        <v>5</v>
      </c>
      <c r="BG30" t="s">
        <v>5</v>
      </c>
      <c r="BH30">
        <v>0</v>
      </c>
      <c r="BI30">
        <v>1</v>
      </c>
      <c r="BJ30" t="s">
        <v>53</v>
      </c>
      <c r="BM30">
        <v>1150</v>
      </c>
      <c r="BN30">
        <v>0</v>
      </c>
      <c r="BO30" t="s">
        <v>50</v>
      </c>
      <c r="BP30">
        <v>1</v>
      </c>
      <c r="BQ30">
        <v>30</v>
      </c>
      <c r="BR30">
        <v>0</v>
      </c>
      <c r="BS30">
        <v>34.51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5</v>
      </c>
      <c r="BZ30">
        <v>87</v>
      </c>
      <c r="CA30">
        <v>41</v>
      </c>
      <c r="CB30" t="s">
        <v>5</v>
      </c>
      <c r="CE30">
        <v>30</v>
      </c>
      <c r="CF30">
        <v>0</v>
      </c>
      <c r="CG30">
        <v>0</v>
      </c>
      <c r="CM30">
        <v>0</v>
      </c>
      <c r="CN30" t="s">
        <v>280</v>
      </c>
      <c r="CO30">
        <v>0</v>
      </c>
      <c r="CP30">
        <f t="shared" si="27"/>
        <v>46340.160000000003</v>
      </c>
      <c r="CQ30">
        <f t="shared" si="28"/>
        <v>11377.9</v>
      </c>
      <c r="CR30">
        <f>(ROUND((ROUND((((ET30*1.25))*AV30*1),2)*BB30),2)+ROUND((ROUND(((AE30-((EU30*1.25)))*AV30*1),2)*BS30),2))</f>
        <v>186.98</v>
      </c>
      <c r="CS30">
        <f t="shared" si="29"/>
        <v>76.27</v>
      </c>
      <c r="CT30">
        <f t="shared" si="30"/>
        <v>8849.4</v>
      </c>
      <c r="CU30">
        <f t="shared" si="31"/>
        <v>0</v>
      </c>
      <c r="CV30">
        <f t="shared" si="32"/>
        <v>22.355999999999998</v>
      </c>
      <c r="CW30">
        <f t="shared" si="33"/>
        <v>0</v>
      </c>
      <c r="CX30">
        <f t="shared" si="34"/>
        <v>0</v>
      </c>
      <c r="CY30">
        <f t="shared" si="35"/>
        <v>17476.499100000001</v>
      </c>
      <c r="CZ30">
        <f t="shared" si="36"/>
        <v>8236.0512999999992</v>
      </c>
      <c r="DC30" t="s">
        <v>5</v>
      </c>
      <c r="DD30" t="s">
        <v>54</v>
      </c>
      <c r="DE30" t="s">
        <v>29</v>
      </c>
      <c r="DF30" t="s">
        <v>29</v>
      </c>
      <c r="DG30" t="s">
        <v>30</v>
      </c>
      <c r="DH30" t="s">
        <v>5</v>
      </c>
      <c r="DI30" t="s">
        <v>30</v>
      </c>
      <c r="DJ30" t="s">
        <v>29</v>
      </c>
      <c r="DK30" t="s">
        <v>5</v>
      </c>
      <c r="DL30" t="s">
        <v>5</v>
      </c>
      <c r="DM30" t="s">
        <v>5</v>
      </c>
      <c r="DN30">
        <v>105</v>
      </c>
      <c r="DO30">
        <v>70</v>
      </c>
      <c r="DP30">
        <v>1</v>
      </c>
      <c r="DQ30">
        <v>1</v>
      </c>
      <c r="DU30">
        <v>1003</v>
      </c>
      <c r="DV30" t="s">
        <v>52</v>
      </c>
      <c r="DW30" t="s">
        <v>52</v>
      </c>
      <c r="DX30">
        <v>100</v>
      </c>
      <c r="DZ30" t="s">
        <v>5</v>
      </c>
      <c r="EA30" t="s">
        <v>5</v>
      </c>
      <c r="EB30" t="s">
        <v>5</v>
      </c>
      <c r="EC30" t="s">
        <v>5</v>
      </c>
      <c r="EE30">
        <v>66105829</v>
      </c>
      <c r="EF30">
        <v>30</v>
      </c>
      <c r="EG30" t="s">
        <v>23</v>
      </c>
      <c r="EH30">
        <v>0</v>
      </c>
      <c r="EI30" t="s">
        <v>5</v>
      </c>
      <c r="EJ30">
        <v>1</v>
      </c>
      <c r="EK30">
        <v>1150</v>
      </c>
      <c r="EL30" t="s">
        <v>24</v>
      </c>
      <c r="EM30" t="s">
        <v>25</v>
      </c>
      <c r="EO30" t="s">
        <v>55</v>
      </c>
      <c r="EQ30">
        <v>0</v>
      </c>
      <c r="ER30">
        <v>2556.63</v>
      </c>
      <c r="ES30">
        <v>2322.02</v>
      </c>
      <c r="ET30">
        <v>11.63</v>
      </c>
      <c r="EU30">
        <v>1.77</v>
      </c>
      <c r="EV30">
        <v>222.98</v>
      </c>
      <c r="EW30">
        <v>19.440000000000001</v>
      </c>
      <c r="EX30">
        <v>0</v>
      </c>
      <c r="EY30">
        <v>0</v>
      </c>
      <c r="FQ30">
        <v>0</v>
      </c>
      <c r="FR30">
        <f t="shared" si="37"/>
        <v>0</v>
      </c>
      <c r="FS30">
        <v>0</v>
      </c>
      <c r="FX30">
        <v>105</v>
      </c>
      <c r="FY30">
        <v>70</v>
      </c>
      <c r="GA30" t="s">
        <v>5</v>
      </c>
      <c r="GD30">
        <v>0</v>
      </c>
      <c r="GF30">
        <v>-1526949448</v>
      </c>
      <c r="GG30">
        <v>2</v>
      </c>
      <c r="GH30">
        <v>1</v>
      </c>
      <c r="GI30">
        <v>2</v>
      </c>
      <c r="GJ30">
        <v>0</v>
      </c>
      <c r="GK30">
        <f>ROUND(R30*(R12)/100,2)</f>
        <v>277.18</v>
      </c>
      <c r="GL30">
        <f t="shared" si="38"/>
        <v>0</v>
      </c>
      <c r="GM30">
        <f t="shared" si="39"/>
        <v>72329.89</v>
      </c>
      <c r="GN30">
        <f t="shared" si="40"/>
        <v>72329.89</v>
      </c>
      <c r="GO30">
        <f t="shared" si="41"/>
        <v>0</v>
      </c>
      <c r="GP30">
        <f t="shared" si="42"/>
        <v>0</v>
      </c>
      <c r="GR30">
        <v>0</v>
      </c>
      <c r="GS30">
        <v>3</v>
      </c>
      <c r="GT30">
        <v>0</v>
      </c>
      <c r="GU30" t="s">
        <v>5</v>
      </c>
      <c r="GV30">
        <f t="shared" si="43"/>
        <v>0</v>
      </c>
      <c r="GW30">
        <v>1</v>
      </c>
      <c r="GX30">
        <f t="shared" si="44"/>
        <v>0</v>
      </c>
      <c r="HA30">
        <v>0</v>
      </c>
      <c r="HB30">
        <v>0</v>
      </c>
      <c r="HC30">
        <f t="shared" si="45"/>
        <v>0</v>
      </c>
      <c r="HE30" t="s">
        <v>5</v>
      </c>
      <c r="HF30" t="s">
        <v>5</v>
      </c>
      <c r="HM30" t="s">
        <v>5</v>
      </c>
      <c r="HN30" t="s">
        <v>5</v>
      </c>
      <c r="HO30" t="s">
        <v>5</v>
      </c>
      <c r="HP30" t="s">
        <v>5</v>
      </c>
      <c r="HQ30" t="s">
        <v>5</v>
      </c>
      <c r="IK30">
        <v>0</v>
      </c>
    </row>
    <row r="31" spans="1:245" x14ac:dyDescent="0.2">
      <c r="A31">
        <v>18</v>
      </c>
      <c r="B31">
        <v>1</v>
      </c>
      <c r="C31">
        <v>23</v>
      </c>
      <c r="E31" t="s">
        <v>56</v>
      </c>
      <c r="F31" t="s">
        <v>40</v>
      </c>
      <c r="G31" t="s">
        <v>57</v>
      </c>
      <c r="H31" t="s">
        <v>34</v>
      </c>
      <c r="I31">
        <f>I30*J31</f>
        <v>227</v>
      </c>
      <c r="J31">
        <v>100</v>
      </c>
      <c r="K31">
        <v>100</v>
      </c>
      <c r="O31">
        <f t="shared" si="14"/>
        <v>67532.5</v>
      </c>
      <c r="P31">
        <f t="shared" si="15"/>
        <v>67532.5</v>
      </c>
      <c r="Q31">
        <f>(ROUND((ROUND(((ET31)*AV31*I31),2)*BB31),2)+ROUND((ROUND(((AE31-(EU31))*AV31*I31),2)*BS31),2))</f>
        <v>0</v>
      </c>
      <c r="R31">
        <f t="shared" si="16"/>
        <v>0</v>
      </c>
      <c r="S31">
        <f t="shared" si="17"/>
        <v>0</v>
      </c>
      <c r="T31">
        <f t="shared" si="18"/>
        <v>0</v>
      </c>
      <c r="U31">
        <f t="shared" si="19"/>
        <v>0</v>
      </c>
      <c r="V31">
        <f t="shared" si="20"/>
        <v>0</v>
      </c>
      <c r="W31">
        <f t="shared" si="21"/>
        <v>0</v>
      </c>
      <c r="X31">
        <f t="shared" si="22"/>
        <v>0</v>
      </c>
      <c r="Y31">
        <f t="shared" si="23"/>
        <v>0</v>
      </c>
      <c r="AA31">
        <v>67204543</v>
      </c>
      <c r="AB31">
        <f t="shared" si="24"/>
        <v>297.5</v>
      </c>
      <c r="AC31">
        <f>ROUND((ES31),6)</f>
        <v>297.5</v>
      </c>
      <c r="AD31">
        <f>ROUND((((ET31)-(EU31))+AE31),6)</f>
        <v>0</v>
      </c>
      <c r="AE31">
        <f>ROUND((EU31),6)</f>
        <v>0</v>
      </c>
      <c r="AF31">
        <f>ROUND((EV31),6)</f>
        <v>0</v>
      </c>
      <c r="AG31">
        <f t="shared" si="25"/>
        <v>0</v>
      </c>
      <c r="AH31">
        <f>(EW31)</f>
        <v>0</v>
      </c>
      <c r="AI31">
        <f>(EX31)</f>
        <v>0</v>
      </c>
      <c r="AJ31">
        <f t="shared" si="26"/>
        <v>0</v>
      </c>
      <c r="AK31">
        <v>297.5</v>
      </c>
      <c r="AL31">
        <v>297.5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5</v>
      </c>
      <c r="BE31" t="s">
        <v>5</v>
      </c>
      <c r="BF31" t="s">
        <v>5</v>
      </c>
      <c r="BG31" t="s">
        <v>5</v>
      </c>
      <c r="BH31">
        <v>3</v>
      </c>
      <c r="BI31">
        <v>1</v>
      </c>
      <c r="BJ31" t="s">
        <v>5</v>
      </c>
      <c r="BM31">
        <v>1150</v>
      </c>
      <c r="BN31">
        <v>0</v>
      </c>
      <c r="BO31" t="s">
        <v>5</v>
      </c>
      <c r="BP31">
        <v>0</v>
      </c>
      <c r="BQ31">
        <v>30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5</v>
      </c>
      <c r="BZ31">
        <v>0</v>
      </c>
      <c r="CA31">
        <v>0</v>
      </c>
      <c r="CB31" t="s">
        <v>5</v>
      </c>
      <c r="CE31">
        <v>30</v>
      </c>
      <c r="CF31">
        <v>0</v>
      </c>
      <c r="CG31">
        <v>0</v>
      </c>
      <c r="CM31">
        <v>0</v>
      </c>
      <c r="CN31" t="s">
        <v>280</v>
      </c>
      <c r="CO31">
        <v>0</v>
      </c>
      <c r="CP31">
        <f t="shared" si="27"/>
        <v>67532.5</v>
      </c>
      <c r="CQ31">
        <f t="shared" si="28"/>
        <v>297.5</v>
      </c>
      <c r="CR31">
        <f>(ROUND((ROUND(((ET31)*AV31*1),2)*BB31),2)+ROUND((ROUND(((AE31-(EU31))*AV31*1),2)*BS31),2))</f>
        <v>0</v>
      </c>
      <c r="CS31">
        <f t="shared" si="29"/>
        <v>0</v>
      </c>
      <c r="CT31">
        <f t="shared" si="30"/>
        <v>0</v>
      </c>
      <c r="CU31">
        <f t="shared" si="31"/>
        <v>0</v>
      </c>
      <c r="CV31">
        <f t="shared" si="32"/>
        <v>0</v>
      </c>
      <c r="CW31">
        <f t="shared" si="33"/>
        <v>0</v>
      </c>
      <c r="CX31">
        <f t="shared" si="34"/>
        <v>0</v>
      </c>
      <c r="CY31">
        <f t="shared" si="35"/>
        <v>0</v>
      </c>
      <c r="CZ31">
        <f t="shared" si="36"/>
        <v>0</v>
      </c>
      <c r="DC31" t="s">
        <v>5</v>
      </c>
      <c r="DD31" t="s">
        <v>5</v>
      </c>
      <c r="DE31" t="s">
        <v>5</v>
      </c>
      <c r="DF31" t="s">
        <v>5</v>
      </c>
      <c r="DG31" t="s">
        <v>5</v>
      </c>
      <c r="DH31" t="s">
        <v>5</v>
      </c>
      <c r="DI31" t="s">
        <v>5</v>
      </c>
      <c r="DJ31" t="s">
        <v>5</v>
      </c>
      <c r="DK31" t="s">
        <v>5</v>
      </c>
      <c r="DL31" t="s">
        <v>5</v>
      </c>
      <c r="DM31" t="s">
        <v>5</v>
      </c>
      <c r="DN31">
        <v>105</v>
      </c>
      <c r="DO31">
        <v>70</v>
      </c>
      <c r="DP31">
        <v>1</v>
      </c>
      <c r="DQ31">
        <v>1</v>
      </c>
      <c r="DU31">
        <v>1003</v>
      </c>
      <c r="DV31" t="s">
        <v>34</v>
      </c>
      <c r="DW31" t="s">
        <v>34</v>
      </c>
      <c r="DX31">
        <v>1</v>
      </c>
      <c r="DZ31" t="s">
        <v>5</v>
      </c>
      <c r="EA31" t="s">
        <v>5</v>
      </c>
      <c r="EB31" t="s">
        <v>5</v>
      </c>
      <c r="EC31" t="s">
        <v>5</v>
      </c>
      <c r="EE31">
        <v>66105829</v>
      </c>
      <c r="EF31">
        <v>30</v>
      </c>
      <c r="EG31" t="s">
        <v>23</v>
      </c>
      <c r="EH31">
        <v>0</v>
      </c>
      <c r="EI31" t="s">
        <v>5</v>
      </c>
      <c r="EJ31">
        <v>1</v>
      </c>
      <c r="EK31">
        <v>1150</v>
      </c>
      <c r="EL31" t="s">
        <v>24</v>
      </c>
      <c r="EM31" t="s">
        <v>25</v>
      </c>
      <c r="EO31" t="s">
        <v>55</v>
      </c>
      <c r="EQ31">
        <v>0</v>
      </c>
      <c r="ER31">
        <v>297.5</v>
      </c>
      <c r="ES31">
        <v>297.5</v>
      </c>
      <c r="ET31">
        <v>0</v>
      </c>
      <c r="EU31">
        <v>0</v>
      </c>
      <c r="EV31">
        <v>0</v>
      </c>
      <c r="EW31">
        <v>0</v>
      </c>
      <c r="EX31">
        <v>0</v>
      </c>
      <c r="EZ31">
        <v>5</v>
      </c>
      <c r="FC31">
        <v>1</v>
      </c>
      <c r="FD31">
        <v>18</v>
      </c>
      <c r="FF31">
        <v>350</v>
      </c>
      <c r="FQ31">
        <v>0</v>
      </c>
      <c r="FR31">
        <f t="shared" si="37"/>
        <v>0</v>
      </c>
      <c r="FS31">
        <v>0</v>
      </c>
      <c r="FX31">
        <v>105</v>
      </c>
      <c r="FY31">
        <v>70</v>
      </c>
      <c r="GA31" t="s">
        <v>58</v>
      </c>
      <c r="GD31">
        <v>0</v>
      </c>
      <c r="GF31">
        <v>-2048808941</v>
      </c>
      <c r="GG31">
        <v>2</v>
      </c>
      <c r="GH31">
        <v>3</v>
      </c>
      <c r="GI31">
        <v>-2</v>
      </c>
      <c r="GJ31">
        <v>0</v>
      </c>
      <c r="GK31">
        <f>ROUND(R31*(R12)/100,2)</f>
        <v>0</v>
      </c>
      <c r="GL31">
        <f t="shared" si="38"/>
        <v>0</v>
      </c>
      <c r="GM31">
        <f t="shared" si="39"/>
        <v>67532.5</v>
      </c>
      <c r="GN31">
        <f t="shared" si="40"/>
        <v>67532.5</v>
      </c>
      <c r="GO31">
        <f t="shared" si="41"/>
        <v>0</v>
      </c>
      <c r="GP31">
        <f t="shared" si="42"/>
        <v>0</v>
      </c>
      <c r="GR31">
        <v>1</v>
      </c>
      <c r="GS31">
        <v>1</v>
      </c>
      <c r="GT31">
        <v>0</v>
      </c>
      <c r="GU31" t="s">
        <v>5</v>
      </c>
      <c r="GV31">
        <f t="shared" si="43"/>
        <v>0</v>
      </c>
      <c r="GW31">
        <v>1</v>
      </c>
      <c r="GX31">
        <f t="shared" si="44"/>
        <v>0</v>
      </c>
      <c r="HA31">
        <v>0</v>
      </c>
      <c r="HB31">
        <v>0</v>
      </c>
      <c r="HC31">
        <f t="shared" si="45"/>
        <v>0</v>
      </c>
      <c r="HE31" t="s">
        <v>44</v>
      </c>
      <c r="HF31" t="s">
        <v>27</v>
      </c>
      <c r="HM31" t="s">
        <v>54</v>
      </c>
      <c r="HN31" t="s">
        <v>5</v>
      </c>
      <c r="HO31" t="s">
        <v>5</v>
      </c>
      <c r="HP31" t="s">
        <v>5</v>
      </c>
      <c r="HQ31" t="s">
        <v>5</v>
      </c>
      <c r="IK31">
        <v>0</v>
      </c>
    </row>
    <row r="32" spans="1:245" x14ac:dyDescent="0.2">
      <c r="A32">
        <v>18</v>
      </c>
      <c r="B32">
        <v>1</v>
      </c>
      <c r="C32">
        <v>22</v>
      </c>
      <c r="E32" t="s">
        <v>59</v>
      </c>
      <c r="F32" t="s">
        <v>60</v>
      </c>
      <c r="G32" t="s">
        <v>61</v>
      </c>
      <c r="H32" t="s">
        <v>62</v>
      </c>
      <c r="I32">
        <f>I30*J32</f>
        <v>114</v>
      </c>
      <c r="J32">
        <v>50.220264317180614</v>
      </c>
      <c r="K32">
        <v>50.220264299999997</v>
      </c>
      <c r="O32">
        <f t="shared" si="14"/>
        <v>5167.28</v>
      </c>
      <c r="P32">
        <f t="shared" si="15"/>
        <v>5167.28</v>
      </c>
      <c r="Q32">
        <f>(ROUND((ROUND(((ET32)*AV32*I32),2)*BB32),2)+ROUND((ROUND(((AE32-(EU32))*AV32*I32),2)*BS32),2))</f>
        <v>0</v>
      </c>
      <c r="R32">
        <f t="shared" si="16"/>
        <v>0</v>
      </c>
      <c r="S32">
        <f t="shared" si="17"/>
        <v>0</v>
      </c>
      <c r="T32">
        <f t="shared" si="18"/>
        <v>0</v>
      </c>
      <c r="U32">
        <f t="shared" si="19"/>
        <v>0</v>
      </c>
      <c r="V32">
        <f t="shared" si="20"/>
        <v>0</v>
      </c>
      <c r="W32">
        <f t="shared" si="21"/>
        <v>0</v>
      </c>
      <c r="X32">
        <f t="shared" si="22"/>
        <v>0</v>
      </c>
      <c r="Y32">
        <f t="shared" si="23"/>
        <v>0</v>
      </c>
      <c r="AA32">
        <v>67204543</v>
      </c>
      <c r="AB32">
        <f t="shared" si="24"/>
        <v>10.42</v>
      </c>
      <c r="AC32">
        <f>ROUND((ES32),6)</f>
        <v>10.42</v>
      </c>
      <c r="AD32">
        <f>ROUND((((ET32)-(EU32))+AE32),6)</f>
        <v>0</v>
      </c>
      <c r="AE32">
        <f>ROUND((EU32),6)</f>
        <v>0</v>
      </c>
      <c r="AF32">
        <f>ROUND((EV32),6)</f>
        <v>0</v>
      </c>
      <c r="AG32">
        <f t="shared" si="25"/>
        <v>0</v>
      </c>
      <c r="AH32">
        <f>(EW32)</f>
        <v>0</v>
      </c>
      <c r="AI32">
        <f>(EX32)</f>
        <v>0</v>
      </c>
      <c r="AJ32">
        <f t="shared" si="26"/>
        <v>0</v>
      </c>
      <c r="AK32">
        <v>10.42</v>
      </c>
      <c r="AL32">
        <v>10.42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4.3499999999999996</v>
      </c>
      <c r="BD32" t="s">
        <v>5</v>
      </c>
      <c r="BE32" t="s">
        <v>5</v>
      </c>
      <c r="BF32" t="s">
        <v>5</v>
      </c>
      <c r="BG32" t="s">
        <v>5</v>
      </c>
      <c r="BH32">
        <v>3</v>
      </c>
      <c r="BI32">
        <v>1</v>
      </c>
      <c r="BJ32" t="s">
        <v>63</v>
      </c>
      <c r="BM32">
        <v>1150</v>
      </c>
      <c r="BN32">
        <v>0</v>
      </c>
      <c r="BO32" t="s">
        <v>60</v>
      </c>
      <c r="BP32">
        <v>1</v>
      </c>
      <c r="BQ32">
        <v>30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5</v>
      </c>
      <c r="BZ32">
        <v>0</v>
      </c>
      <c r="CA32">
        <v>0</v>
      </c>
      <c r="CB32" t="s">
        <v>5</v>
      </c>
      <c r="CE32">
        <v>30</v>
      </c>
      <c r="CF32">
        <v>0</v>
      </c>
      <c r="CG32">
        <v>0</v>
      </c>
      <c r="CM32">
        <v>0</v>
      </c>
      <c r="CN32" t="s">
        <v>280</v>
      </c>
      <c r="CO32">
        <v>0</v>
      </c>
      <c r="CP32">
        <f t="shared" si="27"/>
        <v>5167.28</v>
      </c>
      <c r="CQ32">
        <f t="shared" si="28"/>
        <v>45.33</v>
      </c>
      <c r="CR32">
        <f>(ROUND((ROUND(((ET32)*AV32*1),2)*BB32),2)+ROUND((ROUND(((AE32-(EU32))*AV32*1),2)*BS32),2))</f>
        <v>0</v>
      </c>
      <c r="CS32">
        <f t="shared" si="29"/>
        <v>0</v>
      </c>
      <c r="CT32">
        <f t="shared" si="30"/>
        <v>0</v>
      </c>
      <c r="CU32">
        <f t="shared" si="31"/>
        <v>0</v>
      </c>
      <c r="CV32">
        <f t="shared" si="32"/>
        <v>0</v>
      </c>
      <c r="CW32">
        <f t="shared" si="33"/>
        <v>0</v>
      </c>
      <c r="CX32">
        <f t="shared" si="34"/>
        <v>0</v>
      </c>
      <c r="CY32">
        <f t="shared" si="35"/>
        <v>0</v>
      </c>
      <c r="CZ32">
        <f t="shared" si="36"/>
        <v>0</v>
      </c>
      <c r="DC32" t="s">
        <v>5</v>
      </c>
      <c r="DD32" t="s">
        <v>5</v>
      </c>
      <c r="DE32" t="s">
        <v>5</v>
      </c>
      <c r="DF32" t="s">
        <v>5</v>
      </c>
      <c r="DG32" t="s">
        <v>5</v>
      </c>
      <c r="DH32" t="s">
        <v>5</v>
      </c>
      <c r="DI32" t="s">
        <v>5</v>
      </c>
      <c r="DJ32" t="s">
        <v>5</v>
      </c>
      <c r="DK32" t="s">
        <v>5</v>
      </c>
      <c r="DL32" t="s">
        <v>5</v>
      </c>
      <c r="DM32" t="s">
        <v>5</v>
      </c>
      <c r="DN32">
        <v>105</v>
      </c>
      <c r="DO32">
        <v>70</v>
      </c>
      <c r="DP32">
        <v>1</v>
      </c>
      <c r="DQ32">
        <v>1</v>
      </c>
      <c r="DU32">
        <v>1010</v>
      </c>
      <c r="DV32" t="s">
        <v>62</v>
      </c>
      <c r="DW32" t="s">
        <v>62</v>
      </c>
      <c r="DX32">
        <v>1</v>
      </c>
      <c r="DZ32" t="s">
        <v>5</v>
      </c>
      <c r="EA32" t="s">
        <v>5</v>
      </c>
      <c r="EB32" t="s">
        <v>5</v>
      </c>
      <c r="EC32" t="s">
        <v>5</v>
      </c>
      <c r="EE32">
        <v>66105829</v>
      </c>
      <c r="EF32">
        <v>30</v>
      </c>
      <c r="EG32" t="s">
        <v>23</v>
      </c>
      <c r="EH32">
        <v>0</v>
      </c>
      <c r="EI32" t="s">
        <v>5</v>
      </c>
      <c r="EJ32">
        <v>1</v>
      </c>
      <c r="EK32">
        <v>1150</v>
      </c>
      <c r="EL32" t="s">
        <v>24</v>
      </c>
      <c r="EM32" t="s">
        <v>25</v>
      </c>
      <c r="EO32" t="s">
        <v>55</v>
      </c>
      <c r="EQ32">
        <v>0</v>
      </c>
      <c r="ER32">
        <v>10.42</v>
      </c>
      <c r="ES32">
        <v>10.42</v>
      </c>
      <c r="ET32">
        <v>0</v>
      </c>
      <c r="EU32">
        <v>0</v>
      </c>
      <c r="EV32">
        <v>0</v>
      </c>
      <c r="EW32">
        <v>0</v>
      </c>
      <c r="EX32">
        <v>0</v>
      </c>
      <c r="FQ32">
        <v>0</v>
      </c>
      <c r="FR32">
        <f t="shared" si="37"/>
        <v>0</v>
      </c>
      <c r="FS32">
        <v>0</v>
      </c>
      <c r="FX32">
        <v>105</v>
      </c>
      <c r="FY32">
        <v>70</v>
      </c>
      <c r="GA32" t="s">
        <v>5</v>
      </c>
      <c r="GD32">
        <v>0</v>
      </c>
      <c r="GF32">
        <v>-1091870591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38"/>
        <v>0</v>
      </c>
      <c r="GM32">
        <f t="shared" si="39"/>
        <v>5167.28</v>
      </c>
      <c r="GN32">
        <f t="shared" si="40"/>
        <v>5167.28</v>
      </c>
      <c r="GO32">
        <f t="shared" si="41"/>
        <v>0</v>
      </c>
      <c r="GP32">
        <f t="shared" si="42"/>
        <v>0</v>
      </c>
      <c r="GR32">
        <v>0</v>
      </c>
      <c r="GS32">
        <v>3</v>
      </c>
      <c r="GT32">
        <v>0</v>
      </c>
      <c r="GU32" t="s">
        <v>5</v>
      </c>
      <c r="GV32">
        <f t="shared" si="43"/>
        <v>0</v>
      </c>
      <c r="GW32">
        <v>1</v>
      </c>
      <c r="GX32">
        <f t="shared" si="44"/>
        <v>0</v>
      </c>
      <c r="HA32">
        <v>0</v>
      </c>
      <c r="HB32">
        <v>0</v>
      </c>
      <c r="HC32">
        <f t="shared" si="45"/>
        <v>0</v>
      </c>
      <c r="HE32" t="s">
        <v>5</v>
      </c>
      <c r="HF32" t="s">
        <v>5</v>
      </c>
      <c r="HM32" t="s">
        <v>54</v>
      </c>
      <c r="HN32" t="s">
        <v>5</v>
      </c>
      <c r="HO32" t="s">
        <v>5</v>
      </c>
      <c r="HP32" t="s">
        <v>5</v>
      </c>
      <c r="HQ32" t="s">
        <v>5</v>
      </c>
      <c r="IK32">
        <v>0</v>
      </c>
    </row>
    <row r="33" spans="1:245" x14ac:dyDescent="0.2">
      <c r="A33">
        <v>17</v>
      </c>
      <c r="B33">
        <v>1</v>
      </c>
      <c r="C33">
        <f>ROW(SmtRes!A32)</f>
        <v>32</v>
      </c>
      <c r="D33">
        <f>ROW(EtalonRes!A36)</f>
        <v>36</v>
      </c>
      <c r="E33" t="s">
        <v>64</v>
      </c>
      <c r="F33" t="s">
        <v>65</v>
      </c>
      <c r="G33" t="s">
        <v>66</v>
      </c>
      <c r="H33" t="s">
        <v>67</v>
      </c>
      <c r="I33">
        <f>ROUND(200/100,9)</f>
        <v>2</v>
      </c>
      <c r="J33">
        <v>0</v>
      </c>
      <c r="K33">
        <f>ROUND(200/100,9)</f>
        <v>2</v>
      </c>
      <c r="O33">
        <f t="shared" si="14"/>
        <v>61554.7</v>
      </c>
      <c r="P33">
        <f t="shared" si="15"/>
        <v>6447.12</v>
      </c>
      <c r="Q33">
        <f>(ROUND((ROUND((((ET33*1.25))*AV33*I33),2)*BB33),2)+ROUND((ROUND(((AE33-((EU33*1.25)))*AV33*I33),2)*BS33),2))</f>
        <v>600.41999999999996</v>
      </c>
      <c r="R33">
        <f t="shared" si="16"/>
        <v>185.66</v>
      </c>
      <c r="S33">
        <f t="shared" si="17"/>
        <v>54507.16</v>
      </c>
      <c r="T33">
        <f t="shared" si="18"/>
        <v>0</v>
      </c>
      <c r="U33">
        <f t="shared" si="19"/>
        <v>134.06699999999998</v>
      </c>
      <c r="V33">
        <f t="shared" si="20"/>
        <v>0</v>
      </c>
      <c r="W33">
        <f t="shared" si="21"/>
        <v>0</v>
      </c>
      <c r="X33">
        <f t="shared" si="22"/>
        <v>38155.01</v>
      </c>
      <c r="Y33">
        <f t="shared" si="23"/>
        <v>22347.94</v>
      </c>
      <c r="AA33">
        <v>67204543</v>
      </c>
      <c r="AB33">
        <f t="shared" si="24"/>
        <v>1341.0005000000001</v>
      </c>
      <c r="AC33">
        <f>ROUND(((ES33*1)),6)</f>
        <v>525.01</v>
      </c>
      <c r="AD33">
        <f>ROUND(((((ET33*1.25))-((EU33*1.25)))+AE33),6)</f>
        <v>26.262499999999999</v>
      </c>
      <c r="AE33">
        <f>ROUND(((EU33*1.25)),6)</f>
        <v>2.6875</v>
      </c>
      <c r="AF33">
        <f>ROUND(((EV33*1.15)),6)</f>
        <v>789.72799999999995</v>
      </c>
      <c r="AG33">
        <f t="shared" si="25"/>
        <v>0</v>
      </c>
      <c r="AH33">
        <f>((EW33*1.15))</f>
        <v>67.033499999999989</v>
      </c>
      <c r="AI33">
        <f>((EX33*1.25))</f>
        <v>0</v>
      </c>
      <c r="AJ33">
        <f t="shared" si="26"/>
        <v>0</v>
      </c>
      <c r="AK33">
        <v>1232.74</v>
      </c>
      <c r="AL33">
        <v>525.01</v>
      </c>
      <c r="AM33">
        <v>21.01</v>
      </c>
      <c r="AN33">
        <v>2.15</v>
      </c>
      <c r="AO33">
        <v>686.72</v>
      </c>
      <c r="AP33">
        <v>0</v>
      </c>
      <c r="AQ33">
        <v>58.29</v>
      </c>
      <c r="AR33">
        <v>0</v>
      </c>
      <c r="AS33">
        <v>0</v>
      </c>
      <c r="AT33">
        <v>70</v>
      </c>
      <c r="AU33">
        <v>41</v>
      </c>
      <c r="AV33">
        <v>1</v>
      </c>
      <c r="AW33">
        <v>1</v>
      </c>
      <c r="AZ33">
        <v>1</v>
      </c>
      <c r="BA33">
        <v>34.51</v>
      </c>
      <c r="BB33">
        <v>11.43</v>
      </c>
      <c r="BC33">
        <v>6.14</v>
      </c>
      <c r="BD33" t="s">
        <v>5</v>
      </c>
      <c r="BE33" t="s">
        <v>5</v>
      </c>
      <c r="BF33" t="s">
        <v>5</v>
      </c>
      <c r="BG33" t="s">
        <v>5</v>
      </c>
      <c r="BH33">
        <v>0</v>
      </c>
      <c r="BI33">
        <v>1</v>
      </c>
      <c r="BJ33" t="s">
        <v>68</v>
      </c>
      <c r="BM33">
        <v>2146</v>
      </c>
      <c r="BN33">
        <v>0</v>
      </c>
      <c r="BO33" t="s">
        <v>65</v>
      </c>
      <c r="BP33">
        <v>1</v>
      </c>
      <c r="BQ33">
        <v>30</v>
      </c>
      <c r="BR33">
        <v>0</v>
      </c>
      <c r="BS33">
        <v>34.51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5</v>
      </c>
      <c r="BZ33">
        <v>70</v>
      </c>
      <c r="CA33">
        <v>41</v>
      </c>
      <c r="CB33" t="s">
        <v>5</v>
      </c>
      <c r="CE33">
        <v>30</v>
      </c>
      <c r="CF33">
        <v>0</v>
      </c>
      <c r="CG33">
        <v>0</v>
      </c>
      <c r="CM33">
        <v>0</v>
      </c>
      <c r="CN33" t="s">
        <v>280</v>
      </c>
      <c r="CO33">
        <v>0</v>
      </c>
      <c r="CP33">
        <f t="shared" si="27"/>
        <v>61554.700000000004</v>
      </c>
      <c r="CQ33">
        <f t="shared" si="28"/>
        <v>3223.56</v>
      </c>
      <c r="CR33">
        <f>(ROUND((ROUND((((ET33*1.25))*AV33*1),2)*BB33),2)+ROUND((ROUND(((AE33-((EU33*1.25)))*AV33*1),2)*BS33),2))</f>
        <v>300.14999999999998</v>
      </c>
      <c r="CS33">
        <f t="shared" si="29"/>
        <v>92.83</v>
      </c>
      <c r="CT33">
        <f t="shared" si="30"/>
        <v>27253.58</v>
      </c>
      <c r="CU33">
        <f t="shared" si="31"/>
        <v>0</v>
      </c>
      <c r="CV33">
        <f t="shared" si="32"/>
        <v>67.033499999999989</v>
      </c>
      <c r="CW33">
        <f t="shared" si="33"/>
        <v>0</v>
      </c>
      <c r="CX33">
        <f t="shared" si="34"/>
        <v>0</v>
      </c>
      <c r="CY33">
        <f t="shared" si="35"/>
        <v>38155.012000000002</v>
      </c>
      <c r="CZ33">
        <f t="shared" si="36"/>
        <v>22347.935600000001</v>
      </c>
      <c r="DC33" t="s">
        <v>5</v>
      </c>
      <c r="DD33" t="s">
        <v>54</v>
      </c>
      <c r="DE33" t="s">
        <v>29</v>
      </c>
      <c r="DF33" t="s">
        <v>29</v>
      </c>
      <c r="DG33" t="s">
        <v>30</v>
      </c>
      <c r="DH33" t="s">
        <v>5</v>
      </c>
      <c r="DI33" t="s">
        <v>30</v>
      </c>
      <c r="DJ33" t="s">
        <v>29</v>
      </c>
      <c r="DK33" t="s">
        <v>5</v>
      </c>
      <c r="DL33" t="s">
        <v>5</v>
      </c>
      <c r="DM33" t="s">
        <v>5</v>
      </c>
      <c r="DN33">
        <v>85</v>
      </c>
      <c r="DO33">
        <v>70</v>
      </c>
      <c r="DP33">
        <v>1</v>
      </c>
      <c r="DQ33">
        <v>1</v>
      </c>
      <c r="DU33">
        <v>29507813</v>
      </c>
      <c r="DV33" t="s">
        <v>67</v>
      </c>
      <c r="DW33" t="s">
        <v>67</v>
      </c>
      <c r="DX33">
        <v>0</v>
      </c>
      <c r="DZ33" t="s">
        <v>5</v>
      </c>
      <c r="EA33" t="s">
        <v>5</v>
      </c>
      <c r="EB33" t="s">
        <v>5</v>
      </c>
      <c r="EC33" t="s">
        <v>5</v>
      </c>
      <c r="EE33">
        <v>66106858</v>
      </c>
      <c r="EF33">
        <v>30</v>
      </c>
      <c r="EG33" t="s">
        <v>23</v>
      </c>
      <c r="EH33">
        <v>0</v>
      </c>
      <c r="EI33" t="s">
        <v>5</v>
      </c>
      <c r="EJ33">
        <v>1</v>
      </c>
      <c r="EK33">
        <v>2146</v>
      </c>
      <c r="EL33" t="s">
        <v>69</v>
      </c>
      <c r="EM33" t="s">
        <v>70</v>
      </c>
      <c r="EO33" t="s">
        <v>55</v>
      </c>
      <c r="EQ33">
        <v>0</v>
      </c>
      <c r="ER33">
        <v>1232.74</v>
      </c>
      <c r="ES33">
        <v>525.01</v>
      </c>
      <c r="ET33">
        <v>21.01</v>
      </c>
      <c r="EU33">
        <v>2.15</v>
      </c>
      <c r="EV33">
        <v>686.72</v>
      </c>
      <c r="EW33">
        <v>58.29</v>
      </c>
      <c r="EX33">
        <v>0</v>
      </c>
      <c r="EY33">
        <v>0</v>
      </c>
      <c r="FQ33">
        <v>0</v>
      </c>
      <c r="FR33">
        <f t="shared" si="37"/>
        <v>0</v>
      </c>
      <c r="FS33">
        <v>0</v>
      </c>
      <c r="FX33">
        <v>85</v>
      </c>
      <c r="FY33">
        <v>70</v>
      </c>
      <c r="GA33" t="s">
        <v>5</v>
      </c>
      <c r="GD33">
        <v>0</v>
      </c>
      <c r="GF33">
        <v>-1119526483</v>
      </c>
      <c r="GG33">
        <v>2</v>
      </c>
      <c r="GH33">
        <v>1</v>
      </c>
      <c r="GI33">
        <v>2</v>
      </c>
      <c r="GJ33">
        <v>0</v>
      </c>
      <c r="GK33">
        <f>ROUND(R33*(R12)/100,2)</f>
        <v>297.06</v>
      </c>
      <c r="GL33">
        <f t="shared" si="38"/>
        <v>0</v>
      </c>
      <c r="GM33">
        <f t="shared" si="39"/>
        <v>122354.71</v>
      </c>
      <c r="GN33">
        <f t="shared" si="40"/>
        <v>122354.71</v>
      </c>
      <c r="GO33">
        <f t="shared" si="41"/>
        <v>0</v>
      </c>
      <c r="GP33">
        <f t="shared" si="42"/>
        <v>0</v>
      </c>
      <c r="GR33">
        <v>0</v>
      </c>
      <c r="GS33">
        <v>3</v>
      </c>
      <c r="GT33">
        <v>0</v>
      </c>
      <c r="GU33" t="s">
        <v>5</v>
      </c>
      <c r="GV33">
        <f t="shared" si="43"/>
        <v>0</v>
      </c>
      <c r="GW33">
        <v>1</v>
      </c>
      <c r="GX33">
        <f t="shared" si="44"/>
        <v>0</v>
      </c>
      <c r="HA33">
        <v>0</v>
      </c>
      <c r="HB33">
        <v>0</v>
      </c>
      <c r="HC33">
        <f t="shared" si="45"/>
        <v>0</v>
      </c>
      <c r="HE33" t="s">
        <v>5</v>
      </c>
      <c r="HF33" t="s">
        <v>5</v>
      </c>
      <c r="HM33" t="s">
        <v>5</v>
      </c>
      <c r="HN33" t="s">
        <v>5</v>
      </c>
      <c r="HO33" t="s">
        <v>5</v>
      </c>
      <c r="HP33" t="s">
        <v>5</v>
      </c>
      <c r="HQ33" t="s">
        <v>5</v>
      </c>
      <c r="IK33">
        <v>0</v>
      </c>
    </row>
    <row r="34" spans="1:245" x14ac:dyDescent="0.2">
      <c r="A34">
        <v>18</v>
      </c>
      <c r="B34">
        <v>1</v>
      </c>
      <c r="C34">
        <v>31</v>
      </c>
      <c r="E34" t="s">
        <v>71</v>
      </c>
      <c r="F34" t="s">
        <v>72</v>
      </c>
      <c r="G34" t="s">
        <v>73</v>
      </c>
      <c r="H34" t="s">
        <v>62</v>
      </c>
      <c r="I34">
        <f>I33*J34</f>
        <v>20</v>
      </c>
      <c r="J34">
        <v>10</v>
      </c>
      <c r="K34">
        <v>10</v>
      </c>
      <c r="O34">
        <f t="shared" si="14"/>
        <v>4391.51</v>
      </c>
      <c r="P34">
        <f t="shared" si="15"/>
        <v>4391.51</v>
      </c>
      <c r="Q34">
        <f>(ROUND((ROUND(((ET34)*AV34*I34),2)*BB34),2)+ROUND((ROUND(((AE34-(EU34))*AV34*I34),2)*BS34),2))</f>
        <v>0</v>
      </c>
      <c r="R34">
        <f t="shared" si="16"/>
        <v>0</v>
      </c>
      <c r="S34">
        <f t="shared" si="17"/>
        <v>0</v>
      </c>
      <c r="T34">
        <f t="shared" si="18"/>
        <v>0</v>
      </c>
      <c r="U34">
        <f t="shared" si="19"/>
        <v>0</v>
      </c>
      <c r="V34">
        <f t="shared" si="20"/>
        <v>0</v>
      </c>
      <c r="W34">
        <f t="shared" si="21"/>
        <v>0</v>
      </c>
      <c r="X34">
        <f t="shared" si="22"/>
        <v>0</v>
      </c>
      <c r="Y34">
        <f t="shared" si="23"/>
        <v>0</v>
      </c>
      <c r="AA34">
        <v>67204543</v>
      </c>
      <c r="AB34">
        <f t="shared" si="24"/>
        <v>105.06</v>
      </c>
      <c r="AC34">
        <f>ROUND((ES34),6)</f>
        <v>105.06</v>
      </c>
      <c r="AD34">
        <f>ROUND((((ET34)-(EU34))+AE34),6)</f>
        <v>0</v>
      </c>
      <c r="AE34">
        <f>ROUND((EU34),6)</f>
        <v>0</v>
      </c>
      <c r="AF34">
        <f>ROUND((EV34),6)</f>
        <v>0</v>
      </c>
      <c r="AG34">
        <f t="shared" si="25"/>
        <v>0</v>
      </c>
      <c r="AH34">
        <f>(EW34)</f>
        <v>0</v>
      </c>
      <c r="AI34">
        <f>(EX34)</f>
        <v>0</v>
      </c>
      <c r="AJ34">
        <f t="shared" si="26"/>
        <v>0</v>
      </c>
      <c r="AK34">
        <v>105.06</v>
      </c>
      <c r="AL34">
        <v>105.06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2.09</v>
      </c>
      <c r="BD34" t="s">
        <v>5</v>
      </c>
      <c r="BE34" t="s">
        <v>5</v>
      </c>
      <c r="BF34" t="s">
        <v>5</v>
      </c>
      <c r="BG34" t="s">
        <v>5</v>
      </c>
      <c r="BH34">
        <v>3</v>
      </c>
      <c r="BI34">
        <v>1</v>
      </c>
      <c r="BJ34" t="s">
        <v>74</v>
      </c>
      <c r="BM34">
        <v>2146</v>
      </c>
      <c r="BN34">
        <v>0</v>
      </c>
      <c r="BO34" t="s">
        <v>72</v>
      </c>
      <c r="BP34">
        <v>1</v>
      </c>
      <c r="BQ34">
        <v>30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5</v>
      </c>
      <c r="BZ34">
        <v>0</v>
      </c>
      <c r="CA34">
        <v>0</v>
      </c>
      <c r="CB34" t="s">
        <v>5</v>
      </c>
      <c r="CE34">
        <v>30</v>
      </c>
      <c r="CF34">
        <v>0</v>
      </c>
      <c r="CG34">
        <v>0</v>
      </c>
      <c r="CM34">
        <v>0</v>
      </c>
      <c r="CN34" t="s">
        <v>280</v>
      </c>
      <c r="CO34">
        <v>0</v>
      </c>
      <c r="CP34">
        <f t="shared" si="27"/>
        <v>4391.51</v>
      </c>
      <c r="CQ34">
        <f t="shared" si="28"/>
        <v>219.58</v>
      </c>
      <c r="CR34">
        <f>(ROUND((ROUND(((ET34)*AV34*1),2)*BB34),2)+ROUND((ROUND(((AE34-(EU34))*AV34*1),2)*BS34),2))</f>
        <v>0</v>
      </c>
      <c r="CS34">
        <f t="shared" si="29"/>
        <v>0</v>
      </c>
      <c r="CT34">
        <f t="shared" si="30"/>
        <v>0</v>
      </c>
      <c r="CU34">
        <f t="shared" si="31"/>
        <v>0</v>
      </c>
      <c r="CV34">
        <f t="shared" si="32"/>
        <v>0</v>
      </c>
      <c r="CW34">
        <f t="shared" si="33"/>
        <v>0</v>
      </c>
      <c r="CX34">
        <f t="shared" si="34"/>
        <v>0</v>
      </c>
      <c r="CY34">
        <f t="shared" si="35"/>
        <v>0</v>
      </c>
      <c r="CZ34">
        <f t="shared" si="36"/>
        <v>0</v>
      </c>
      <c r="DC34" t="s">
        <v>5</v>
      </c>
      <c r="DD34" t="s">
        <v>5</v>
      </c>
      <c r="DE34" t="s">
        <v>5</v>
      </c>
      <c r="DF34" t="s">
        <v>5</v>
      </c>
      <c r="DG34" t="s">
        <v>5</v>
      </c>
      <c r="DH34" t="s">
        <v>5</v>
      </c>
      <c r="DI34" t="s">
        <v>5</v>
      </c>
      <c r="DJ34" t="s">
        <v>5</v>
      </c>
      <c r="DK34" t="s">
        <v>5</v>
      </c>
      <c r="DL34" t="s">
        <v>5</v>
      </c>
      <c r="DM34" t="s">
        <v>5</v>
      </c>
      <c r="DN34">
        <v>85</v>
      </c>
      <c r="DO34">
        <v>70</v>
      </c>
      <c r="DP34">
        <v>1</v>
      </c>
      <c r="DQ34">
        <v>1</v>
      </c>
      <c r="DU34">
        <v>1010</v>
      </c>
      <c r="DV34" t="s">
        <v>62</v>
      </c>
      <c r="DW34" t="s">
        <v>62</v>
      </c>
      <c r="DX34">
        <v>1</v>
      </c>
      <c r="DZ34" t="s">
        <v>5</v>
      </c>
      <c r="EA34" t="s">
        <v>5</v>
      </c>
      <c r="EB34" t="s">
        <v>5</v>
      </c>
      <c r="EC34" t="s">
        <v>5</v>
      </c>
      <c r="EE34">
        <v>66106858</v>
      </c>
      <c r="EF34">
        <v>30</v>
      </c>
      <c r="EG34" t="s">
        <v>23</v>
      </c>
      <c r="EH34">
        <v>0</v>
      </c>
      <c r="EI34" t="s">
        <v>5</v>
      </c>
      <c r="EJ34">
        <v>1</v>
      </c>
      <c r="EK34">
        <v>2146</v>
      </c>
      <c r="EL34" t="s">
        <v>69</v>
      </c>
      <c r="EM34" t="s">
        <v>70</v>
      </c>
      <c r="EO34" t="s">
        <v>55</v>
      </c>
      <c r="EQ34">
        <v>0</v>
      </c>
      <c r="ER34">
        <v>105.06</v>
      </c>
      <c r="ES34">
        <v>105.06</v>
      </c>
      <c r="ET34">
        <v>0</v>
      </c>
      <c r="EU34">
        <v>0</v>
      </c>
      <c r="EV34">
        <v>0</v>
      </c>
      <c r="EW34">
        <v>0</v>
      </c>
      <c r="EX34">
        <v>0</v>
      </c>
      <c r="FQ34">
        <v>0</v>
      </c>
      <c r="FR34">
        <f t="shared" si="37"/>
        <v>0</v>
      </c>
      <c r="FS34">
        <v>0</v>
      </c>
      <c r="FX34">
        <v>85</v>
      </c>
      <c r="FY34">
        <v>70</v>
      </c>
      <c r="GA34" t="s">
        <v>5</v>
      </c>
      <c r="GD34">
        <v>0</v>
      </c>
      <c r="GF34">
        <v>-1301051137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38"/>
        <v>0</v>
      </c>
      <c r="GM34">
        <f t="shared" si="39"/>
        <v>4391.51</v>
      </c>
      <c r="GN34">
        <f t="shared" si="40"/>
        <v>4391.51</v>
      </c>
      <c r="GO34">
        <f t="shared" si="41"/>
        <v>0</v>
      </c>
      <c r="GP34">
        <f t="shared" si="42"/>
        <v>0</v>
      </c>
      <c r="GR34">
        <v>0</v>
      </c>
      <c r="GS34">
        <v>3</v>
      </c>
      <c r="GT34">
        <v>0</v>
      </c>
      <c r="GU34" t="s">
        <v>5</v>
      </c>
      <c r="GV34">
        <f t="shared" si="43"/>
        <v>0</v>
      </c>
      <c r="GW34">
        <v>1</v>
      </c>
      <c r="GX34">
        <f t="shared" si="44"/>
        <v>0</v>
      </c>
      <c r="HA34">
        <v>0</v>
      </c>
      <c r="HB34">
        <v>0</v>
      </c>
      <c r="HC34">
        <f t="shared" si="45"/>
        <v>0</v>
      </c>
      <c r="HE34" t="s">
        <v>5</v>
      </c>
      <c r="HF34" t="s">
        <v>5</v>
      </c>
      <c r="HM34" t="s">
        <v>54</v>
      </c>
      <c r="HN34" t="s">
        <v>5</v>
      </c>
      <c r="HO34" t="s">
        <v>5</v>
      </c>
      <c r="HP34" t="s">
        <v>5</v>
      </c>
      <c r="HQ34" t="s">
        <v>5</v>
      </c>
      <c r="IK34">
        <v>0</v>
      </c>
    </row>
    <row r="35" spans="1:245" x14ac:dyDescent="0.2">
      <c r="A35">
        <v>17</v>
      </c>
      <c r="B35">
        <v>1</v>
      </c>
      <c r="C35">
        <f>ROW(SmtRes!A51)</f>
        <v>51</v>
      </c>
      <c r="D35">
        <f>ROW(EtalonRes!A55)</f>
        <v>55</v>
      </c>
      <c r="E35" t="s">
        <v>75</v>
      </c>
      <c r="F35" t="s">
        <v>76</v>
      </c>
      <c r="G35" t="s">
        <v>77</v>
      </c>
      <c r="H35" t="s">
        <v>18</v>
      </c>
      <c r="I35">
        <f>ROUND(540/100,9)</f>
        <v>5.4</v>
      </c>
      <c r="J35">
        <v>0</v>
      </c>
      <c r="K35">
        <f>ROUND(540/100,9)</f>
        <v>5.4</v>
      </c>
      <c r="O35">
        <f t="shared" si="14"/>
        <v>621125.18999999994</v>
      </c>
      <c r="P35">
        <f t="shared" si="15"/>
        <v>240442.7</v>
      </c>
      <c r="Q35">
        <f>(ROUND((ROUND((((ET35*1.25))*AV35*I35),2)*BB35),2)+ROUND((ROUND(((AE35-((EU35*1.25)))*AV35*I35),2)*BS35),2))</f>
        <v>10396.4</v>
      </c>
      <c r="R35">
        <f t="shared" si="16"/>
        <v>3000.3</v>
      </c>
      <c r="S35">
        <f t="shared" si="17"/>
        <v>370286.09</v>
      </c>
      <c r="T35">
        <f t="shared" si="18"/>
        <v>0</v>
      </c>
      <c r="U35">
        <f t="shared" si="19"/>
        <v>898.83540000000005</v>
      </c>
      <c r="V35">
        <f t="shared" si="20"/>
        <v>0</v>
      </c>
      <c r="W35">
        <f t="shared" si="21"/>
        <v>0</v>
      </c>
      <c r="X35">
        <f t="shared" si="22"/>
        <v>259200.26</v>
      </c>
      <c r="Y35">
        <f t="shared" si="23"/>
        <v>151817.29999999999</v>
      </c>
      <c r="AA35">
        <v>67204543</v>
      </c>
      <c r="AB35">
        <f t="shared" si="24"/>
        <v>7376.7595000000001</v>
      </c>
      <c r="AC35">
        <f>ROUND(((ES35*1)),6)</f>
        <v>5219.9799999999996</v>
      </c>
      <c r="AD35">
        <f>ROUND(((((ET35*1.25))-((EU35*1.25)))+AE35),6)</f>
        <v>169.77500000000001</v>
      </c>
      <c r="AE35">
        <f>ROUND(((EU35*1.25)),6)</f>
        <v>16.100000000000001</v>
      </c>
      <c r="AF35">
        <f>ROUND(((EV35*1.15)),6)</f>
        <v>1987.0045</v>
      </c>
      <c r="AG35">
        <f t="shared" si="25"/>
        <v>0</v>
      </c>
      <c r="AH35">
        <f>((EW35*1.15))</f>
        <v>166.45099999999999</v>
      </c>
      <c r="AI35">
        <f>((EX35*1.25))</f>
        <v>0</v>
      </c>
      <c r="AJ35">
        <f t="shared" si="26"/>
        <v>0</v>
      </c>
      <c r="AK35">
        <v>7083.63</v>
      </c>
      <c r="AL35">
        <v>5219.9799999999996</v>
      </c>
      <c r="AM35">
        <v>135.82</v>
      </c>
      <c r="AN35">
        <v>12.88</v>
      </c>
      <c r="AO35">
        <v>1727.83</v>
      </c>
      <c r="AP35">
        <v>0</v>
      </c>
      <c r="AQ35">
        <v>144.74</v>
      </c>
      <c r="AR35">
        <v>0</v>
      </c>
      <c r="AS35">
        <v>0</v>
      </c>
      <c r="AT35">
        <v>70</v>
      </c>
      <c r="AU35">
        <v>41</v>
      </c>
      <c r="AV35">
        <v>1</v>
      </c>
      <c r="AW35">
        <v>1</v>
      </c>
      <c r="AZ35">
        <v>1</v>
      </c>
      <c r="BA35">
        <v>34.51</v>
      </c>
      <c r="BB35">
        <v>11.34</v>
      </c>
      <c r="BC35">
        <v>8.5299999999999994</v>
      </c>
      <c r="BD35" t="s">
        <v>5</v>
      </c>
      <c r="BE35" t="s">
        <v>5</v>
      </c>
      <c r="BF35" t="s">
        <v>5</v>
      </c>
      <c r="BG35" t="s">
        <v>5</v>
      </c>
      <c r="BH35">
        <v>0</v>
      </c>
      <c r="BI35">
        <v>1</v>
      </c>
      <c r="BJ35" t="s">
        <v>78</v>
      </c>
      <c r="BM35">
        <v>2146</v>
      </c>
      <c r="BN35">
        <v>0</v>
      </c>
      <c r="BO35" t="s">
        <v>76</v>
      </c>
      <c r="BP35">
        <v>1</v>
      </c>
      <c r="BQ35">
        <v>30</v>
      </c>
      <c r="BR35">
        <v>0</v>
      </c>
      <c r="BS35">
        <v>34.51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5</v>
      </c>
      <c r="BZ35">
        <v>70</v>
      </c>
      <c r="CA35">
        <v>41</v>
      </c>
      <c r="CB35" t="s">
        <v>5</v>
      </c>
      <c r="CE35">
        <v>30</v>
      </c>
      <c r="CF35">
        <v>0</v>
      </c>
      <c r="CG35">
        <v>0</v>
      </c>
      <c r="CM35">
        <v>0</v>
      </c>
      <c r="CN35" t="s">
        <v>280</v>
      </c>
      <c r="CO35">
        <v>0</v>
      </c>
      <c r="CP35">
        <f t="shared" si="27"/>
        <v>621125.19000000006</v>
      </c>
      <c r="CQ35">
        <f t="shared" si="28"/>
        <v>44526.43</v>
      </c>
      <c r="CR35">
        <f>(ROUND((ROUND((((ET35*1.25))*AV35*1),2)*BB35),2)+ROUND((ROUND(((AE35-((EU35*1.25)))*AV35*1),2)*BS35),2))</f>
        <v>1925.31</v>
      </c>
      <c r="CS35">
        <f t="shared" si="29"/>
        <v>555.61</v>
      </c>
      <c r="CT35">
        <f t="shared" si="30"/>
        <v>68571.37</v>
      </c>
      <c r="CU35">
        <f t="shared" si="31"/>
        <v>0</v>
      </c>
      <c r="CV35">
        <f t="shared" si="32"/>
        <v>166.45099999999999</v>
      </c>
      <c r="CW35">
        <f t="shared" si="33"/>
        <v>0</v>
      </c>
      <c r="CX35">
        <f t="shared" si="34"/>
        <v>0</v>
      </c>
      <c r="CY35">
        <f t="shared" si="35"/>
        <v>259200.26300000001</v>
      </c>
      <c r="CZ35">
        <f t="shared" si="36"/>
        <v>151817.29690000002</v>
      </c>
      <c r="DC35" t="s">
        <v>5</v>
      </c>
      <c r="DD35" t="s">
        <v>54</v>
      </c>
      <c r="DE35" t="s">
        <v>29</v>
      </c>
      <c r="DF35" t="s">
        <v>29</v>
      </c>
      <c r="DG35" t="s">
        <v>30</v>
      </c>
      <c r="DH35" t="s">
        <v>5</v>
      </c>
      <c r="DI35" t="s">
        <v>30</v>
      </c>
      <c r="DJ35" t="s">
        <v>29</v>
      </c>
      <c r="DK35" t="s">
        <v>5</v>
      </c>
      <c r="DL35" t="s">
        <v>5</v>
      </c>
      <c r="DM35" t="s">
        <v>5</v>
      </c>
      <c r="DN35">
        <v>85</v>
      </c>
      <c r="DO35">
        <v>70</v>
      </c>
      <c r="DP35">
        <v>1</v>
      </c>
      <c r="DQ35">
        <v>1</v>
      </c>
      <c r="DU35">
        <v>1005</v>
      </c>
      <c r="DV35" t="s">
        <v>18</v>
      </c>
      <c r="DW35" t="s">
        <v>18</v>
      </c>
      <c r="DX35">
        <v>100</v>
      </c>
      <c r="DZ35" t="s">
        <v>5</v>
      </c>
      <c r="EA35" t="s">
        <v>5</v>
      </c>
      <c r="EB35" t="s">
        <v>5</v>
      </c>
      <c r="EC35" t="s">
        <v>5</v>
      </c>
      <c r="EE35">
        <v>66106858</v>
      </c>
      <c r="EF35">
        <v>30</v>
      </c>
      <c r="EG35" t="s">
        <v>23</v>
      </c>
      <c r="EH35">
        <v>0</v>
      </c>
      <c r="EI35" t="s">
        <v>5</v>
      </c>
      <c r="EJ35">
        <v>1</v>
      </c>
      <c r="EK35">
        <v>2146</v>
      </c>
      <c r="EL35" t="s">
        <v>69</v>
      </c>
      <c r="EM35" t="s">
        <v>70</v>
      </c>
      <c r="EO35" t="s">
        <v>55</v>
      </c>
      <c r="EQ35">
        <v>0</v>
      </c>
      <c r="ER35">
        <v>7083.63</v>
      </c>
      <c r="ES35">
        <v>5219.9799999999996</v>
      </c>
      <c r="ET35">
        <v>135.82</v>
      </c>
      <c r="EU35">
        <v>12.88</v>
      </c>
      <c r="EV35">
        <v>1727.83</v>
      </c>
      <c r="EW35">
        <v>144.74</v>
      </c>
      <c r="EX35">
        <v>0</v>
      </c>
      <c r="EY35">
        <v>0</v>
      </c>
      <c r="FQ35">
        <v>0</v>
      </c>
      <c r="FR35">
        <f t="shared" si="37"/>
        <v>0</v>
      </c>
      <c r="FS35">
        <v>0</v>
      </c>
      <c r="FX35">
        <v>85</v>
      </c>
      <c r="FY35">
        <v>70</v>
      </c>
      <c r="GA35" t="s">
        <v>5</v>
      </c>
      <c r="GD35">
        <v>0</v>
      </c>
      <c r="GF35">
        <v>1593201737</v>
      </c>
      <c r="GG35">
        <v>2</v>
      </c>
      <c r="GH35">
        <v>1</v>
      </c>
      <c r="GI35">
        <v>2</v>
      </c>
      <c r="GJ35">
        <v>0</v>
      </c>
      <c r="GK35">
        <f>ROUND(R35*(R12)/100,2)</f>
        <v>4800.4799999999996</v>
      </c>
      <c r="GL35">
        <f t="shared" si="38"/>
        <v>0</v>
      </c>
      <c r="GM35">
        <f t="shared" si="39"/>
        <v>1036943.23</v>
      </c>
      <c r="GN35">
        <f t="shared" si="40"/>
        <v>1036943.23</v>
      </c>
      <c r="GO35">
        <f t="shared" si="41"/>
        <v>0</v>
      </c>
      <c r="GP35">
        <f t="shared" si="42"/>
        <v>0</v>
      </c>
      <c r="GR35">
        <v>0</v>
      </c>
      <c r="GS35">
        <v>3</v>
      </c>
      <c r="GT35">
        <v>0</v>
      </c>
      <c r="GU35" t="s">
        <v>5</v>
      </c>
      <c r="GV35">
        <f t="shared" si="43"/>
        <v>0</v>
      </c>
      <c r="GW35">
        <v>1</v>
      </c>
      <c r="GX35">
        <f t="shared" si="44"/>
        <v>0</v>
      </c>
      <c r="HA35">
        <v>0</v>
      </c>
      <c r="HB35">
        <v>0</v>
      </c>
      <c r="HC35">
        <f t="shared" si="45"/>
        <v>0</v>
      </c>
      <c r="HE35" t="s">
        <v>5</v>
      </c>
      <c r="HF35" t="s">
        <v>5</v>
      </c>
      <c r="HM35" t="s">
        <v>5</v>
      </c>
      <c r="HN35" t="s">
        <v>5</v>
      </c>
      <c r="HO35" t="s">
        <v>5</v>
      </c>
      <c r="HP35" t="s">
        <v>5</v>
      </c>
      <c r="HQ35" t="s">
        <v>5</v>
      </c>
      <c r="IK35">
        <v>0</v>
      </c>
    </row>
    <row r="36" spans="1:245" x14ac:dyDescent="0.2">
      <c r="A36">
        <v>18</v>
      </c>
      <c r="B36">
        <v>1</v>
      </c>
      <c r="C36">
        <v>48</v>
      </c>
      <c r="E36" t="s">
        <v>79</v>
      </c>
      <c r="F36" t="s">
        <v>72</v>
      </c>
      <c r="G36" t="s">
        <v>73</v>
      </c>
      <c r="H36" t="s">
        <v>62</v>
      </c>
      <c r="I36">
        <f>I35*J36</f>
        <v>54</v>
      </c>
      <c r="J36">
        <v>10</v>
      </c>
      <c r="K36">
        <v>10</v>
      </c>
      <c r="O36">
        <f t="shared" si="14"/>
        <v>11857.07</v>
      </c>
      <c r="P36">
        <f t="shared" si="15"/>
        <v>11857.07</v>
      </c>
      <c r="Q36">
        <f>(ROUND((ROUND(((ET36)*AV36*I36),2)*BB36),2)+ROUND((ROUND(((AE36-(EU36))*AV36*I36),2)*BS36),2))</f>
        <v>0</v>
      </c>
      <c r="R36">
        <f t="shared" si="16"/>
        <v>0</v>
      </c>
      <c r="S36">
        <f t="shared" si="17"/>
        <v>0</v>
      </c>
      <c r="T36">
        <f t="shared" si="18"/>
        <v>0</v>
      </c>
      <c r="U36">
        <f t="shared" si="19"/>
        <v>0</v>
      </c>
      <c r="V36">
        <f t="shared" si="20"/>
        <v>0</v>
      </c>
      <c r="W36">
        <f t="shared" si="21"/>
        <v>0</v>
      </c>
      <c r="X36">
        <f t="shared" si="22"/>
        <v>0</v>
      </c>
      <c r="Y36">
        <f t="shared" si="23"/>
        <v>0</v>
      </c>
      <c r="AA36">
        <v>67204543</v>
      </c>
      <c r="AB36">
        <f t="shared" si="24"/>
        <v>105.06</v>
      </c>
      <c r="AC36">
        <f t="shared" ref="AC36:AC44" si="48">ROUND((ES36),6)</f>
        <v>105.06</v>
      </c>
      <c r="AD36">
        <f>ROUND((((ET36)-(EU36))+AE36),6)</f>
        <v>0</v>
      </c>
      <c r="AE36">
        <f t="shared" ref="AE36:AF39" si="49">ROUND((EU36),6)</f>
        <v>0</v>
      </c>
      <c r="AF36">
        <f t="shared" si="49"/>
        <v>0</v>
      </c>
      <c r="AG36">
        <f t="shared" si="25"/>
        <v>0</v>
      </c>
      <c r="AH36">
        <f t="shared" ref="AH36:AI39" si="50">(EW36)</f>
        <v>0</v>
      </c>
      <c r="AI36">
        <f t="shared" si="50"/>
        <v>0</v>
      </c>
      <c r="AJ36">
        <f t="shared" si="26"/>
        <v>0</v>
      </c>
      <c r="AK36">
        <v>105.06</v>
      </c>
      <c r="AL36">
        <v>105.06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2.09</v>
      </c>
      <c r="BD36" t="s">
        <v>5</v>
      </c>
      <c r="BE36" t="s">
        <v>5</v>
      </c>
      <c r="BF36" t="s">
        <v>5</v>
      </c>
      <c r="BG36" t="s">
        <v>5</v>
      </c>
      <c r="BH36">
        <v>3</v>
      </c>
      <c r="BI36">
        <v>1</v>
      </c>
      <c r="BJ36" t="s">
        <v>74</v>
      </c>
      <c r="BM36">
        <v>2146</v>
      </c>
      <c r="BN36">
        <v>0</v>
      </c>
      <c r="BO36" t="s">
        <v>72</v>
      </c>
      <c r="BP36">
        <v>1</v>
      </c>
      <c r="BQ36">
        <v>30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5</v>
      </c>
      <c r="BZ36">
        <v>0</v>
      </c>
      <c r="CA36">
        <v>0</v>
      </c>
      <c r="CB36" t="s">
        <v>5</v>
      </c>
      <c r="CE36">
        <v>30</v>
      </c>
      <c r="CF36">
        <v>0</v>
      </c>
      <c r="CG36">
        <v>0</v>
      </c>
      <c r="CM36">
        <v>0</v>
      </c>
      <c r="CN36" t="s">
        <v>280</v>
      </c>
      <c r="CO36">
        <v>0</v>
      </c>
      <c r="CP36">
        <f t="shared" si="27"/>
        <v>11857.07</v>
      </c>
      <c r="CQ36">
        <f t="shared" si="28"/>
        <v>219.58</v>
      </c>
      <c r="CR36">
        <f>(ROUND((ROUND(((ET36)*AV36*1),2)*BB36),2)+ROUND((ROUND(((AE36-(EU36))*AV36*1),2)*BS36),2))</f>
        <v>0</v>
      </c>
      <c r="CS36">
        <f t="shared" si="29"/>
        <v>0</v>
      </c>
      <c r="CT36">
        <f t="shared" si="30"/>
        <v>0</v>
      </c>
      <c r="CU36">
        <f t="shared" si="31"/>
        <v>0</v>
      </c>
      <c r="CV36">
        <f t="shared" si="32"/>
        <v>0</v>
      </c>
      <c r="CW36">
        <f t="shared" si="33"/>
        <v>0</v>
      </c>
      <c r="CX36">
        <f t="shared" si="34"/>
        <v>0</v>
      </c>
      <c r="CY36">
        <f t="shared" si="35"/>
        <v>0</v>
      </c>
      <c r="CZ36">
        <f t="shared" si="36"/>
        <v>0</v>
      </c>
      <c r="DC36" t="s">
        <v>5</v>
      </c>
      <c r="DD36" t="s">
        <v>5</v>
      </c>
      <c r="DE36" t="s">
        <v>5</v>
      </c>
      <c r="DF36" t="s">
        <v>5</v>
      </c>
      <c r="DG36" t="s">
        <v>5</v>
      </c>
      <c r="DH36" t="s">
        <v>5</v>
      </c>
      <c r="DI36" t="s">
        <v>5</v>
      </c>
      <c r="DJ36" t="s">
        <v>5</v>
      </c>
      <c r="DK36" t="s">
        <v>5</v>
      </c>
      <c r="DL36" t="s">
        <v>5</v>
      </c>
      <c r="DM36" t="s">
        <v>5</v>
      </c>
      <c r="DN36">
        <v>85</v>
      </c>
      <c r="DO36">
        <v>70</v>
      </c>
      <c r="DP36">
        <v>1</v>
      </c>
      <c r="DQ36">
        <v>1</v>
      </c>
      <c r="DU36">
        <v>1010</v>
      </c>
      <c r="DV36" t="s">
        <v>62</v>
      </c>
      <c r="DW36" t="s">
        <v>62</v>
      </c>
      <c r="DX36">
        <v>1</v>
      </c>
      <c r="DZ36" t="s">
        <v>5</v>
      </c>
      <c r="EA36" t="s">
        <v>5</v>
      </c>
      <c r="EB36" t="s">
        <v>5</v>
      </c>
      <c r="EC36" t="s">
        <v>5</v>
      </c>
      <c r="EE36">
        <v>66106858</v>
      </c>
      <c r="EF36">
        <v>30</v>
      </c>
      <c r="EG36" t="s">
        <v>23</v>
      </c>
      <c r="EH36">
        <v>0</v>
      </c>
      <c r="EI36" t="s">
        <v>5</v>
      </c>
      <c r="EJ36">
        <v>1</v>
      </c>
      <c r="EK36">
        <v>2146</v>
      </c>
      <c r="EL36" t="s">
        <v>69</v>
      </c>
      <c r="EM36" t="s">
        <v>70</v>
      </c>
      <c r="EO36" t="s">
        <v>55</v>
      </c>
      <c r="EQ36">
        <v>0</v>
      </c>
      <c r="ER36">
        <v>105.06</v>
      </c>
      <c r="ES36">
        <v>105.06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37"/>
        <v>0</v>
      </c>
      <c r="FS36">
        <v>0</v>
      </c>
      <c r="FX36">
        <v>85</v>
      </c>
      <c r="FY36">
        <v>70</v>
      </c>
      <c r="GA36" t="s">
        <v>5</v>
      </c>
      <c r="GD36">
        <v>0</v>
      </c>
      <c r="GF36">
        <v>-1301051137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38"/>
        <v>0</v>
      </c>
      <c r="GM36">
        <f t="shared" si="39"/>
        <v>11857.07</v>
      </c>
      <c r="GN36">
        <f t="shared" si="40"/>
        <v>11857.07</v>
      </c>
      <c r="GO36">
        <f t="shared" si="41"/>
        <v>0</v>
      </c>
      <c r="GP36">
        <f t="shared" si="42"/>
        <v>0</v>
      </c>
      <c r="GR36">
        <v>0</v>
      </c>
      <c r="GS36">
        <v>3</v>
      </c>
      <c r="GT36">
        <v>0</v>
      </c>
      <c r="GU36" t="s">
        <v>5</v>
      </c>
      <c r="GV36">
        <f t="shared" si="43"/>
        <v>0</v>
      </c>
      <c r="GW36">
        <v>1</v>
      </c>
      <c r="GX36">
        <f t="shared" si="44"/>
        <v>0</v>
      </c>
      <c r="HA36">
        <v>0</v>
      </c>
      <c r="HB36">
        <v>0</v>
      </c>
      <c r="HC36">
        <f t="shared" si="45"/>
        <v>0</v>
      </c>
      <c r="HE36" t="s">
        <v>5</v>
      </c>
      <c r="HF36" t="s">
        <v>5</v>
      </c>
      <c r="HM36" t="s">
        <v>54</v>
      </c>
      <c r="HN36" t="s">
        <v>5</v>
      </c>
      <c r="HO36" t="s">
        <v>5</v>
      </c>
      <c r="HP36" t="s">
        <v>5</v>
      </c>
      <c r="HQ36" t="s">
        <v>5</v>
      </c>
      <c r="IK36">
        <v>0</v>
      </c>
    </row>
    <row r="37" spans="1:245" x14ac:dyDescent="0.2">
      <c r="A37">
        <v>18</v>
      </c>
      <c r="B37">
        <v>1</v>
      </c>
      <c r="C37">
        <v>47</v>
      </c>
      <c r="E37" t="s">
        <v>80</v>
      </c>
      <c r="F37" t="s">
        <v>81</v>
      </c>
      <c r="G37" t="s">
        <v>82</v>
      </c>
      <c r="H37" t="s">
        <v>62</v>
      </c>
      <c r="I37">
        <f>I35*J37</f>
        <v>54</v>
      </c>
      <c r="J37">
        <v>10</v>
      </c>
      <c r="K37">
        <v>10</v>
      </c>
      <c r="O37">
        <f t="shared" si="14"/>
        <v>10562.52</v>
      </c>
      <c r="P37">
        <f t="shared" si="15"/>
        <v>10562.52</v>
      </c>
      <c r="Q37">
        <f>(ROUND((ROUND(((ET37)*AV37*I37),2)*BB37),2)+ROUND((ROUND(((AE37-(EU37))*AV37*I37),2)*BS37),2))</f>
        <v>0</v>
      </c>
      <c r="R37">
        <f t="shared" si="16"/>
        <v>0</v>
      </c>
      <c r="S37">
        <f t="shared" si="17"/>
        <v>0</v>
      </c>
      <c r="T37">
        <f t="shared" si="18"/>
        <v>0</v>
      </c>
      <c r="U37">
        <f t="shared" si="19"/>
        <v>0</v>
      </c>
      <c r="V37">
        <f t="shared" si="20"/>
        <v>0</v>
      </c>
      <c r="W37">
        <f t="shared" si="21"/>
        <v>0</v>
      </c>
      <c r="X37">
        <f t="shared" si="22"/>
        <v>0</v>
      </c>
      <c r="Y37">
        <f t="shared" si="23"/>
        <v>0</v>
      </c>
      <c r="AA37">
        <v>67204543</v>
      </c>
      <c r="AB37">
        <f t="shared" si="24"/>
        <v>42.43</v>
      </c>
      <c r="AC37">
        <f t="shared" si="48"/>
        <v>42.43</v>
      </c>
      <c r="AD37">
        <f>ROUND((((ET37)-(EU37))+AE37),6)</f>
        <v>0</v>
      </c>
      <c r="AE37">
        <f t="shared" si="49"/>
        <v>0</v>
      </c>
      <c r="AF37">
        <f t="shared" si="49"/>
        <v>0</v>
      </c>
      <c r="AG37">
        <f t="shared" si="25"/>
        <v>0</v>
      </c>
      <c r="AH37">
        <f t="shared" si="50"/>
        <v>0</v>
      </c>
      <c r="AI37">
        <f t="shared" si="50"/>
        <v>0</v>
      </c>
      <c r="AJ37">
        <f t="shared" si="26"/>
        <v>0</v>
      </c>
      <c r="AK37">
        <v>42.43</v>
      </c>
      <c r="AL37">
        <v>42.43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4.6100000000000003</v>
      </c>
      <c r="BD37" t="s">
        <v>5</v>
      </c>
      <c r="BE37" t="s">
        <v>5</v>
      </c>
      <c r="BF37" t="s">
        <v>5</v>
      </c>
      <c r="BG37" t="s">
        <v>5</v>
      </c>
      <c r="BH37">
        <v>3</v>
      </c>
      <c r="BI37">
        <v>1</v>
      </c>
      <c r="BJ37" t="s">
        <v>83</v>
      </c>
      <c r="BM37">
        <v>2146</v>
      </c>
      <c r="BN37">
        <v>0</v>
      </c>
      <c r="BO37" t="s">
        <v>81</v>
      </c>
      <c r="BP37">
        <v>1</v>
      </c>
      <c r="BQ37">
        <v>30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5</v>
      </c>
      <c r="BZ37">
        <v>0</v>
      </c>
      <c r="CA37">
        <v>0</v>
      </c>
      <c r="CB37" t="s">
        <v>5</v>
      </c>
      <c r="CE37">
        <v>30</v>
      </c>
      <c r="CF37">
        <v>0</v>
      </c>
      <c r="CG37">
        <v>0</v>
      </c>
      <c r="CM37">
        <v>0</v>
      </c>
      <c r="CN37" t="s">
        <v>280</v>
      </c>
      <c r="CO37">
        <v>0</v>
      </c>
      <c r="CP37">
        <f t="shared" si="27"/>
        <v>10562.52</v>
      </c>
      <c r="CQ37">
        <f t="shared" si="28"/>
        <v>195.6</v>
      </c>
      <c r="CR37">
        <f>(ROUND((ROUND(((ET37)*AV37*1),2)*BB37),2)+ROUND((ROUND(((AE37-(EU37))*AV37*1),2)*BS37),2))</f>
        <v>0</v>
      </c>
      <c r="CS37">
        <f t="shared" si="29"/>
        <v>0</v>
      </c>
      <c r="CT37">
        <f t="shared" si="30"/>
        <v>0</v>
      </c>
      <c r="CU37">
        <f t="shared" si="31"/>
        <v>0</v>
      </c>
      <c r="CV37">
        <f t="shared" si="32"/>
        <v>0</v>
      </c>
      <c r="CW37">
        <f t="shared" si="33"/>
        <v>0</v>
      </c>
      <c r="CX37">
        <f t="shared" si="34"/>
        <v>0</v>
      </c>
      <c r="CY37">
        <f t="shared" si="35"/>
        <v>0</v>
      </c>
      <c r="CZ37">
        <f t="shared" si="36"/>
        <v>0</v>
      </c>
      <c r="DC37" t="s">
        <v>5</v>
      </c>
      <c r="DD37" t="s">
        <v>5</v>
      </c>
      <c r="DE37" t="s">
        <v>5</v>
      </c>
      <c r="DF37" t="s">
        <v>5</v>
      </c>
      <c r="DG37" t="s">
        <v>5</v>
      </c>
      <c r="DH37" t="s">
        <v>5</v>
      </c>
      <c r="DI37" t="s">
        <v>5</v>
      </c>
      <c r="DJ37" t="s">
        <v>5</v>
      </c>
      <c r="DK37" t="s">
        <v>5</v>
      </c>
      <c r="DL37" t="s">
        <v>5</v>
      </c>
      <c r="DM37" t="s">
        <v>5</v>
      </c>
      <c r="DN37">
        <v>85</v>
      </c>
      <c r="DO37">
        <v>70</v>
      </c>
      <c r="DP37">
        <v>1</v>
      </c>
      <c r="DQ37">
        <v>1</v>
      </c>
      <c r="DU37">
        <v>1010</v>
      </c>
      <c r="DV37" t="s">
        <v>62</v>
      </c>
      <c r="DW37" t="s">
        <v>62</v>
      </c>
      <c r="DX37">
        <v>1</v>
      </c>
      <c r="DZ37" t="s">
        <v>5</v>
      </c>
      <c r="EA37" t="s">
        <v>5</v>
      </c>
      <c r="EB37" t="s">
        <v>5</v>
      </c>
      <c r="EC37" t="s">
        <v>5</v>
      </c>
      <c r="EE37">
        <v>66106858</v>
      </c>
      <c r="EF37">
        <v>30</v>
      </c>
      <c r="EG37" t="s">
        <v>23</v>
      </c>
      <c r="EH37">
        <v>0</v>
      </c>
      <c r="EI37" t="s">
        <v>5</v>
      </c>
      <c r="EJ37">
        <v>1</v>
      </c>
      <c r="EK37">
        <v>2146</v>
      </c>
      <c r="EL37" t="s">
        <v>69</v>
      </c>
      <c r="EM37" t="s">
        <v>70</v>
      </c>
      <c r="EO37" t="s">
        <v>55</v>
      </c>
      <c r="EQ37">
        <v>0</v>
      </c>
      <c r="ER37">
        <v>42.43</v>
      </c>
      <c r="ES37">
        <v>42.43</v>
      </c>
      <c r="ET37">
        <v>0</v>
      </c>
      <c r="EU37">
        <v>0</v>
      </c>
      <c r="EV37">
        <v>0</v>
      </c>
      <c r="EW37">
        <v>0</v>
      </c>
      <c r="EX37">
        <v>0</v>
      </c>
      <c r="FQ37">
        <v>0</v>
      </c>
      <c r="FR37">
        <f t="shared" si="37"/>
        <v>0</v>
      </c>
      <c r="FS37">
        <v>0</v>
      </c>
      <c r="FX37">
        <v>85</v>
      </c>
      <c r="FY37">
        <v>70</v>
      </c>
      <c r="GA37" t="s">
        <v>5</v>
      </c>
      <c r="GD37">
        <v>0</v>
      </c>
      <c r="GF37">
        <v>-282603845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38"/>
        <v>0</v>
      </c>
      <c r="GM37">
        <f t="shared" si="39"/>
        <v>10562.52</v>
      </c>
      <c r="GN37">
        <f t="shared" si="40"/>
        <v>10562.52</v>
      </c>
      <c r="GO37">
        <f t="shared" si="41"/>
        <v>0</v>
      </c>
      <c r="GP37">
        <f t="shared" si="42"/>
        <v>0</v>
      </c>
      <c r="GR37">
        <v>0</v>
      </c>
      <c r="GS37">
        <v>3</v>
      </c>
      <c r="GT37">
        <v>0</v>
      </c>
      <c r="GU37" t="s">
        <v>5</v>
      </c>
      <c r="GV37">
        <f t="shared" si="43"/>
        <v>0</v>
      </c>
      <c r="GW37">
        <v>1</v>
      </c>
      <c r="GX37">
        <f t="shared" si="44"/>
        <v>0</v>
      </c>
      <c r="HA37">
        <v>0</v>
      </c>
      <c r="HB37">
        <v>0</v>
      </c>
      <c r="HC37">
        <f t="shared" si="45"/>
        <v>0</v>
      </c>
      <c r="HE37" t="s">
        <v>5</v>
      </c>
      <c r="HF37" t="s">
        <v>5</v>
      </c>
      <c r="HM37" t="s">
        <v>54</v>
      </c>
      <c r="HN37" t="s">
        <v>5</v>
      </c>
      <c r="HO37" t="s">
        <v>5</v>
      </c>
      <c r="HP37" t="s">
        <v>5</v>
      </c>
      <c r="HQ37" t="s">
        <v>5</v>
      </c>
      <c r="IK37">
        <v>0</v>
      </c>
    </row>
    <row r="38" spans="1:245" x14ac:dyDescent="0.2">
      <c r="A38">
        <v>18</v>
      </c>
      <c r="B38">
        <v>1</v>
      </c>
      <c r="C38">
        <v>49</v>
      </c>
      <c r="E38" t="s">
        <v>84</v>
      </c>
      <c r="F38" t="s">
        <v>85</v>
      </c>
      <c r="G38" t="s">
        <v>86</v>
      </c>
      <c r="H38" t="s">
        <v>62</v>
      </c>
      <c r="I38">
        <f>I35*J38</f>
        <v>27</v>
      </c>
      <c r="J38">
        <v>5</v>
      </c>
      <c r="K38">
        <v>5</v>
      </c>
      <c r="O38">
        <f t="shared" si="14"/>
        <v>505.02</v>
      </c>
      <c r="P38">
        <f t="shared" si="15"/>
        <v>505.02</v>
      </c>
      <c r="Q38">
        <f>(ROUND((ROUND(((ET38)*AV38*I38),2)*BB38),2)+ROUND((ROUND(((AE38-(EU38))*AV38*I38),2)*BS38),2))</f>
        <v>0</v>
      </c>
      <c r="R38">
        <f t="shared" si="16"/>
        <v>0</v>
      </c>
      <c r="S38">
        <f t="shared" si="17"/>
        <v>0</v>
      </c>
      <c r="T38">
        <f t="shared" si="18"/>
        <v>0</v>
      </c>
      <c r="U38">
        <f t="shared" si="19"/>
        <v>0</v>
      </c>
      <c r="V38">
        <f t="shared" si="20"/>
        <v>0</v>
      </c>
      <c r="W38">
        <f t="shared" si="21"/>
        <v>0</v>
      </c>
      <c r="X38">
        <f t="shared" si="22"/>
        <v>0</v>
      </c>
      <c r="Y38">
        <f t="shared" si="23"/>
        <v>0</v>
      </c>
      <c r="AA38">
        <v>67204543</v>
      </c>
      <c r="AB38">
        <f t="shared" si="24"/>
        <v>4.3600000000000003</v>
      </c>
      <c r="AC38">
        <f t="shared" si="48"/>
        <v>4.3600000000000003</v>
      </c>
      <c r="AD38">
        <f>ROUND((((ET38)-(EU38))+AE38),6)</f>
        <v>0</v>
      </c>
      <c r="AE38">
        <f t="shared" si="49"/>
        <v>0</v>
      </c>
      <c r="AF38">
        <f t="shared" si="49"/>
        <v>0</v>
      </c>
      <c r="AG38">
        <f t="shared" si="25"/>
        <v>0</v>
      </c>
      <c r="AH38">
        <f t="shared" si="50"/>
        <v>0</v>
      </c>
      <c r="AI38">
        <f t="shared" si="50"/>
        <v>0</v>
      </c>
      <c r="AJ38">
        <f t="shared" si="26"/>
        <v>0</v>
      </c>
      <c r="AK38">
        <v>4.3600000000000003</v>
      </c>
      <c r="AL38">
        <v>4.3600000000000003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4.29</v>
      </c>
      <c r="BD38" t="s">
        <v>5</v>
      </c>
      <c r="BE38" t="s">
        <v>5</v>
      </c>
      <c r="BF38" t="s">
        <v>5</v>
      </c>
      <c r="BG38" t="s">
        <v>5</v>
      </c>
      <c r="BH38">
        <v>3</v>
      </c>
      <c r="BI38">
        <v>1</v>
      </c>
      <c r="BJ38" t="s">
        <v>87</v>
      </c>
      <c r="BM38">
        <v>2146</v>
      </c>
      <c r="BN38">
        <v>0</v>
      </c>
      <c r="BO38" t="s">
        <v>85</v>
      </c>
      <c r="BP38">
        <v>1</v>
      </c>
      <c r="BQ38">
        <v>30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5</v>
      </c>
      <c r="BZ38">
        <v>0</v>
      </c>
      <c r="CA38">
        <v>0</v>
      </c>
      <c r="CB38" t="s">
        <v>5</v>
      </c>
      <c r="CE38">
        <v>30</v>
      </c>
      <c r="CF38">
        <v>0</v>
      </c>
      <c r="CG38">
        <v>0</v>
      </c>
      <c r="CM38">
        <v>0</v>
      </c>
      <c r="CN38" t="s">
        <v>280</v>
      </c>
      <c r="CO38">
        <v>0</v>
      </c>
      <c r="CP38">
        <f t="shared" si="27"/>
        <v>505.02</v>
      </c>
      <c r="CQ38">
        <f t="shared" si="28"/>
        <v>18.7</v>
      </c>
      <c r="CR38">
        <f>(ROUND((ROUND(((ET38)*AV38*1),2)*BB38),2)+ROUND((ROUND(((AE38-(EU38))*AV38*1),2)*BS38),2))</f>
        <v>0</v>
      </c>
      <c r="CS38">
        <f t="shared" si="29"/>
        <v>0</v>
      </c>
      <c r="CT38">
        <f t="shared" si="30"/>
        <v>0</v>
      </c>
      <c r="CU38">
        <f t="shared" si="31"/>
        <v>0</v>
      </c>
      <c r="CV38">
        <f t="shared" si="32"/>
        <v>0</v>
      </c>
      <c r="CW38">
        <f t="shared" si="33"/>
        <v>0</v>
      </c>
      <c r="CX38">
        <f t="shared" si="34"/>
        <v>0</v>
      </c>
      <c r="CY38">
        <f t="shared" si="35"/>
        <v>0</v>
      </c>
      <c r="CZ38">
        <f t="shared" si="36"/>
        <v>0</v>
      </c>
      <c r="DC38" t="s">
        <v>5</v>
      </c>
      <c r="DD38" t="s">
        <v>5</v>
      </c>
      <c r="DE38" t="s">
        <v>5</v>
      </c>
      <c r="DF38" t="s">
        <v>5</v>
      </c>
      <c r="DG38" t="s">
        <v>5</v>
      </c>
      <c r="DH38" t="s">
        <v>5</v>
      </c>
      <c r="DI38" t="s">
        <v>5</v>
      </c>
      <c r="DJ38" t="s">
        <v>5</v>
      </c>
      <c r="DK38" t="s">
        <v>5</v>
      </c>
      <c r="DL38" t="s">
        <v>5</v>
      </c>
      <c r="DM38" t="s">
        <v>5</v>
      </c>
      <c r="DN38">
        <v>85</v>
      </c>
      <c r="DO38">
        <v>70</v>
      </c>
      <c r="DP38">
        <v>1</v>
      </c>
      <c r="DQ38">
        <v>1</v>
      </c>
      <c r="DU38">
        <v>1010</v>
      </c>
      <c r="DV38" t="s">
        <v>62</v>
      </c>
      <c r="DW38" t="s">
        <v>62</v>
      </c>
      <c r="DX38">
        <v>1</v>
      </c>
      <c r="DZ38" t="s">
        <v>5</v>
      </c>
      <c r="EA38" t="s">
        <v>5</v>
      </c>
      <c r="EB38" t="s">
        <v>5</v>
      </c>
      <c r="EC38" t="s">
        <v>5</v>
      </c>
      <c r="EE38">
        <v>66106858</v>
      </c>
      <c r="EF38">
        <v>30</v>
      </c>
      <c r="EG38" t="s">
        <v>23</v>
      </c>
      <c r="EH38">
        <v>0</v>
      </c>
      <c r="EI38" t="s">
        <v>5</v>
      </c>
      <c r="EJ38">
        <v>1</v>
      </c>
      <c r="EK38">
        <v>2146</v>
      </c>
      <c r="EL38" t="s">
        <v>69</v>
      </c>
      <c r="EM38" t="s">
        <v>70</v>
      </c>
      <c r="EO38" t="s">
        <v>55</v>
      </c>
      <c r="EQ38">
        <v>0</v>
      </c>
      <c r="ER38">
        <v>4.3600000000000003</v>
      </c>
      <c r="ES38">
        <v>4.3600000000000003</v>
      </c>
      <c r="ET38">
        <v>0</v>
      </c>
      <c r="EU38">
        <v>0</v>
      </c>
      <c r="EV38">
        <v>0</v>
      </c>
      <c r="EW38">
        <v>0</v>
      </c>
      <c r="EX38">
        <v>0</v>
      </c>
      <c r="FQ38">
        <v>0</v>
      </c>
      <c r="FR38">
        <f t="shared" si="37"/>
        <v>0</v>
      </c>
      <c r="FS38">
        <v>0</v>
      </c>
      <c r="FX38">
        <v>85</v>
      </c>
      <c r="FY38">
        <v>70</v>
      </c>
      <c r="GA38" t="s">
        <v>5</v>
      </c>
      <c r="GD38">
        <v>0</v>
      </c>
      <c r="GF38">
        <v>1984899682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38"/>
        <v>0</v>
      </c>
      <c r="GM38">
        <f t="shared" si="39"/>
        <v>505.02</v>
      </c>
      <c r="GN38">
        <f t="shared" si="40"/>
        <v>505.02</v>
      </c>
      <c r="GO38">
        <f t="shared" si="41"/>
        <v>0</v>
      </c>
      <c r="GP38">
        <f t="shared" si="42"/>
        <v>0</v>
      </c>
      <c r="GR38">
        <v>0</v>
      </c>
      <c r="GS38">
        <v>3</v>
      </c>
      <c r="GT38">
        <v>0</v>
      </c>
      <c r="GU38" t="s">
        <v>5</v>
      </c>
      <c r="GV38">
        <f t="shared" si="43"/>
        <v>0</v>
      </c>
      <c r="GW38">
        <v>1</v>
      </c>
      <c r="GX38">
        <f t="shared" si="44"/>
        <v>0</v>
      </c>
      <c r="HA38">
        <v>0</v>
      </c>
      <c r="HB38">
        <v>0</v>
      </c>
      <c r="HC38">
        <f t="shared" si="45"/>
        <v>0</v>
      </c>
      <c r="HE38" t="s">
        <v>5</v>
      </c>
      <c r="HF38" t="s">
        <v>5</v>
      </c>
      <c r="HM38" t="s">
        <v>54</v>
      </c>
      <c r="HN38" t="s">
        <v>5</v>
      </c>
      <c r="HO38" t="s">
        <v>5</v>
      </c>
      <c r="HP38" t="s">
        <v>5</v>
      </c>
      <c r="HQ38" t="s">
        <v>5</v>
      </c>
      <c r="IK38">
        <v>0</v>
      </c>
    </row>
    <row r="39" spans="1:245" x14ac:dyDescent="0.2">
      <c r="A39">
        <v>18</v>
      </c>
      <c r="B39">
        <v>1</v>
      </c>
      <c r="C39">
        <v>46</v>
      </c>
      <c r="E39" t="s">
        <v>88</v>
      </c>
      <c r="F39" t="s">
        <v>89</v>
      </c>
      <c r="G39" t="s">
        <v>90</v>
      </c>
      <c r="H39" t="s">
        <v>42</v>
      </c>
      <c r="I39">
        <f>I35*J39</f>
        <v>81</v>
      </c>
      <c r="J39">
        <v>14.999999999999998</v>
      </c>
      <c r="K39">
        <v>15</v>
      </c>
      <c r="O39">
        <f t="shared" si="14"/>
        <v>37104.050000000003</v>
      </c>
      <c r="P39">
        <f t="shared" si="15"/>
        <v>37104.050000000003</v>
      </c>
      <c r="Q39">
        <f>(ROUND((ROUND(((ET39)*AV39*I39),2)*BB39),2)+ROUND((ROUND(((AE39-(EU39))*AV39*I39),2)*BS39),2))</f>
        <v>0</v>
      </c>
      <c r="R39">
        <f t="shared" si="16"/>
        <v>0</v>
      </c>
      <c r="S39">
        <f t="shared" si="17"/>
        <v>0</v>
      </c>
      <c r="T39">
        <f t="shared" si="18"/>
        <v>0</v>
      </c>
      <c r="U39">
        <f t="shared" si="19"/>
        <v>0</v>
      </c>
      <c r="V39">
        <f t="shared" si="20"/>
        <v>0</v>
      </c>
      <c r="W39">
        <f t="shared" si="21"/>
        <v>0</v>
      </c>
      <c r="X39">
        <f t="shared" si="22"/>
        <v>0</v>
      </c>
      <c r="Y39">
        <f t="shared" si="23"/>
        <v>0</v>
      </c>
      <c r="AA39">
        <v>67204543</v>
      </c>
      <c r="AB39">
        <f t="shared" si="24"/>
        <v>149.21</v>
      </c>
      <c r="AC39">
        <f t="shared" si="48"/>
        <v>149.21</v>
      </c>
      <c r="AD39">
        <f>ROUND((((ET39)-(EU39))+AE39),6)</f>
        <v>0</v>
      </c>
      <c r="AE39">
        <f t="shared" si="49"/>
        <v>0</v>
      </c>
      <c r="AF39">
        <f t="shared" si="49"/>
        <v>0</v>
      </c>
      <c r="AG39">
        <f t="shared" si="25"/>
        <v>0</v>
      </c>
      <c r="AH39">
        <f t="shared" si="50"/>
        <v>0</v>
      </c>
      <c r="AI39">
        <f t="shared" si="50"/>
        <v>0</v>
      </c>
      <c r="AJ39">
        <f t="shared" si="26"/>
        <v>0</v>
      </c>
      <c r="AK39">
        <v>149.21</v>
      </c>
      <c r="AL39">
        <v>149.21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3.07</v>
      </c>
      <c r="BD39" t="s">
        <v>5</v>
      </c>
      <c r="BE39" t="s">
        <v>5</v>
      </c>
      <c r="BF39" t="s">
        <v>5</v>
      </c>
      <c r="BG39" t="s">
        <v>5</v>
      </c>
      <c r="BH39">
        <v>3</v>
      </c>
      <c r="BI39">
        <v>1</v>
      </c>
      <c r="BJ39" t="s">
        <v>91</v>
      </c>
      <c r="BM39">
        <v>2146</v>
      </c>
      <c r="BN39">
        <v>0</v>
      </c>
      <c r="BO39" t="s">
        <v>89</v>
      </c>
      <c r="BP39">
        <v>1</v>
      </c>
      <c r="BQ39">
        <v>30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5</v>
      </c>
      <c r="BZ39">
        <v>0</v>
      </c>
      <c r="CA39">
        <v>0</v>
      </c>
      <c r="CB39" t="s">
        <v>5</v>
      </c>
      <c r="CE39">
        <v>30</v>
      </c>
      <c r="CF39">
        <v>0</v>
      </c>
      <c r="CG39">
        <v>0</v>
      </c>
      <c r="CM39">
        <v>0</v>
      </c>
      <c r="CN39" t="s">
        <v>280</v>
      </c>
      <c r="CO39">
        <v>0</v>
      </c>
      <c r="CP39">
        <f t="shared" si="27"/>
        <v>37104.050000000003</v>
      </c>
      <c r="CQ39">
        <f t="shared" si="28"/>
        <v>458.07</v>
      </c>
      <c r="CR39">
        <f>(ROUND((ROUND(((ET39)*AV39*1),2)*BB39),2)+ROUND((ROUND(((AE39-(EU39))*AV39*1),2)*BS39),2))</f>
        <v>0</v>
      </c>
      <c r="CS39">
        <f t="shared" si="29"/>
        <v>0</v>
      </c>
      <c r="CT39">
        <f t="shared" si="30"/>
        <v>0</v>
      </c>
      <c r="CU39">
        <f t="shared" si="31"/>
        <v>0</v>
      </c>
      <c r="CV39">
        <f t="shared" si="32"/>
        <v>0</v>
      </c>
      <c r="CW39">
        <f t="shared" si="33"/>
        <v>0</v>
      </c>
      <c r="CX39">
        <f t="shared" si="34"/>
        <v>0</v>
      </c>
      <c r="CY39">
        <f t="shared" si="35"/>
        <v>0</v>
      </c>
      <c r="CZ39">
        <f t="shared" si="36"/>
        <v>0</v>
      </c>
      <c r="DC39" t="s">
        <v>5</v>
      </c>
      <c r="DD39" t="s">
        <v>5</v>
      </c>
      <c r="DE39" t="s">
        <v>5</v>
      </c>
      <c r="DF39" t="s">
        <v>5</v>
      </c>
      <c r="DG39" t="s">
        <v>5</v>
      </c>
      <c r="DH39" t="s">
        <v>5</v>
      </c>
      <c r="DI39" t="s">
        <v>5</v>
      </c>
      <c r="DJ39" t="s">
        <v>5</v>
      </c>
      <c r="DK39" t="s">
        <v>5</v>
      </c>
      <c r="DL39" t="s">
        <v>5</v>
      </c>
      <c r="DM39" t="s">
        <v>5</v>
      </c>
      <c r="DN39">
        <v>85</v>
      </c>
      <c r="DO39">
        <v>70</v>
      </c>
      <c r="DP39">
        <v>1</v>
      </c>
      <c r="DQ39">
        <v>1</v>
      </c>
      <c r="DU39">
        <v>1005</v>
      </c>
      <c r="DV39" t="s">
        <v>42</v>
      </c>
      <c r="DW39" t="s">
        <v>42</v>
      </c>
      <c r="DX39">
        <v>1</v>
      </c>
      <c r="DZ39" t="s">
        <v>5</v>
      </c>
      <c r="EA39" t="s">
        <v>5</v>
      </c>
      <c r="EB39" t="s">
        <v>5</v>
      </c>
      <c r="EC39" t="s">
        <v>5</v>
      </c>
      <c r="EE39">
        <v>66106858</v>
      </c>
      <c r="EF39">
        <v>30</v>
      </c>
      <c r="EG39" t="s">
        <v>23</v>
      </c>
      <c r="EH39">
        <v>0</v>
      </c>
      <c r="EI39" t="s">
        <v>5</v>
      </c>
      <c r="EJ39">
        <v>1</v>
      </c>
      <c r="EK39">
        <v>2146</v>
      </c>
      <c r="EL39" t="s">
        <v>69</v>
      </c>
      <c r="EM39" t="s">
        <v>70</v>
      </c>
      <c r="EO39" t="s">
        <v>55</v>
      </c>
      <c r="EQ39">
        <v>0</v>
      </c>
      <c r="ER39">
        <v>149.21</v>
      </c>
      <c r="ES39">
        <v>149.21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37"/>
        <v>0</v>
      </c>
      <c r="FS39">
        <v>0</v>
      </c>
      <c r="FX39">
        <v>85</v>
      </c>
      <c r="FY39">
        <v>70</v>
      </c>
      <c r="GA39" t="s">
        <v>5</v>
      </c>
      <c r="GD39">
        <v>0</v>
      </c>
      <c r="GF39">
        <v>936716391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38"/>
        <v>0</v>
      </c>
      <c r="GM39">
        <f t="shared" si="39"/>
        <v>37104.050000000003</v>
      </c>
      <c r="GN39">
        <f t="shared" si="40"/>
        <v>37104.050000000003</v>
      </c>
      <c r="GO39">
        <f t="shared" si="41"/>
        <v>0</v>
      </c>
      <c r="GP39">
        <f t="shared" si="42"/>
        <v>0</v>
      </c>
      <c r="GR39">
        <v>0</v>
      </c>
      <c r="GS39">
        <v>3</v>
      </c>
      <c r="GT39">
        <v>0</v>
      </c>
      <c r="GU39" t="s">
        <v>5</v>
      </c>
      <c r="GV39">
        <f t="shared" si="43"/>
        <v>0</v>
      </c>
      <c r="GW39">
        <v>1</v>
      </c>
      <c r="GX39">
        <f t="shared" si="44"/>
        <v>0</v>
      </c>
      <c r="HA39">
        <v>0</v>
      </c>
      <c r="HB39">
        <v>0</v>
      </c>
      <c r="HC39">
        <f t="shared" si="45"/>
        <v>0</v>
      </c>
      <c r="HE39" t="s">
        <v>5</v>
      </c>
      <c r="HF39" t="s">
        <v>5</v>
      </c>
      <c r="HM39" t="s">
        <v>54</v>
      </c>
      <c r="HN39" t="s">
        <v>5</v>
      </c>
      <c r="HO39" t="s">
        <v>5</v>
      </c>
      <c r="HP39" t="s">
        <v>5</v>
      </c>
      <c r="HQ39" t="s">
        <v>5</v>
      </c>
      <c r="IK39">
        <v>0</v>
      </c>
    </row>
    <row r="40" spans="1:245" x14ac:dyDescent="0.2">
      <c r="A40">
        <v>17</v>
      </c>
      <c r="B40">
        <v>1</v>
      </c>
      <c r="C40">
        <f>ROW(SmtRes!A55)</f>
        <v>55</v>
      </c>
      <c r="D40">
        <f>ROW(EtalonRes!A58)</f>
        <v>58</v>
      </c>
      <c r="E40" t="s">
        <v>92</v>
      </c>
      <c r="F40" t="s">
        <v>93</v>
      </c>
      <c r="G40" t="s">
        <v>94</v>
      </c>
      <c r="H40" t="s">
        <v>18</v>
      </c>
      <c r="I40">
        <f>ROUND(540/100,9)</f>
        <v>5.4</v>
      </c>
      <c r="J40">
        <v>0</v>
      </c>
      <c r="K40">
        <f>ROUND(540/100,9)</f>
        <v>5.4</v>
      </c>
      <c r="O40">
        <f t="shared" si="14"/>
        <v>266275.68</v>
      </c>
      <c r="P40">
        <f t="shared" si="15"/>
        <v>0</v>
      </c>
      <c r="Q40">
        <f>(ROUND((ROUND((((ET40*1.25))*AV40*I40),2)*BB40),2)+ROUND((ROUND(((AE40-((EU40*1.25)))*AV40*I40),2)*BS40),2))</f>
        <v>5442.54</v>
      </c>
      <c r="R40">
        <f t="shared" si="16"/>
        <v>1688.92</v>
      </c>
      <c r="S40">
        <f t="shared" si="17"/>
        <v>260833.14</v>
      </c>
      <c r="T40">
        <f t="shared" si="18"/>
        <v>0</v>
      </c>
      <c r="U40">
        <f t="shared" si="19"/>
        <v>628.76249999999993</v>
      </c>
      <c r="V40">
        <f t="shared" si="20"/>
        <v>0</v>
      </c>
      <c r="W40">
        <f t="shared" si="21"/>
        <v>0</v>
      </c>
      <c r="X40">
        <f t="shared" si="22"/>
        <v>182583.2</v>
      </c>
      <c r="Y40">
        <f t="shared" si="23"/>
        <v>106941.59</v>
      </c>
      <c r="AA40">
        <v>67204543</v>
      </c>
      <c r="AB40">
        <f t="shared" si="24"/>
        <v>1482.2774999999999</v>
      </c>
      <c r="AC40">
        <f t="shared" si="48"/>
        <v>0</v>
      </c>
      <c r="AD40">
        <f>ROUND(((((ET40*1.25))-((EU40*1.25)))+AE40),6)</f>
        <v>82.612499999999997</v>
      </c>
      <c r="AE40">
        <f>ROUND(((EU40*1.25)),6)</f>
        <v>9.0625</v>
      </c>
      <c r="AF40">
        <f>ROUND(((EV40*1.15)),6)</f>
        <v>1399.665</v>
      </c>
      <c r="AG40">
        <f t="shared" si="25"/>
        <v>0</v>
      </c>
      <c r="AH40">
        <f>((EW40*1.15))</f>
        <v>116.43749999999999</v>
      </c>
      <c r="AI40">
        <f>((EX40*1.25))</f>
        <v>0</v>
      </c>
      <c r="AJ40">
        <f t="shared" si="26"/>
        <v>0</v>
      </c>
      <c r="AK40">
        <v>1283.19</v>
      </c>
      <c r="AL40">
        <v>0</v>
      </c>
      <c r="AM40">
        <v>66.09</v>
      </c>
      <c r="AN40">
        <v>7.25</v>
      </c>
      <c r="AO40">
        <v>1217.0999999999999</v>
      </c>
      <c r="AP40">
        <v>0</v>
      </c>
      <c r="AQ40">
        <v>101.25</v>
      </c>
      <c r="AR40">
        <v>0</v>
      </c>
      <c r="AS40">
        <v>0</v>
      </c>
      <c r="AT40">
        <v>70</v>
      </c>
      <c r="AU40">
        <v>41</v>
      </c>
      <c r="AV40">
        <v>1</v>
      </c>
      <c r="AW40">
        <v>1</v>
      </c>
      <c r="AZ40">
        <v>1</v>
      </c>
      <c r="BA40">
        <v>34.51</v>
      </c>
      <c r="BB40">
        <v>12.2</v>
      </c>
      <c r="BC40">
        <v>1</v>
      </c>
      <c r="BD40" t="s">
        <v>5</v>
      </c>
      <c r="BE40" t="s">
        <v>5</v>
      </c>
      <c r="BF40" t="s">
        <v>5</v>
      </c>
      <c r="BG40" t="s">
        <v>5</v>
      </c>
      <c r="BH40">
        <v>0</v>
      </c>
      <c r="BI40">
        <v>1</v>
      </c>
      <c r="BJ40" t="s">
        <v>95</v>
      </c>
      <c r="BM40">
        <v>2146</v>
      </c>
      <c r="BN40">
        <v>0</v>
      </c>
      <c r="BO40" t="s">
        <v>93</v>
      </c>
      <c r="BP40">
        <v>1</v>
      </c>
      <c r="BQ40">
        <v>30</v>
      </c>
      <c r="BR40">
        <v>0</v>
      </c>
      <c r="BS40">
        <v>34.51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5</v>
      </c>
      <c r="BZ40">
        <v>70</v>
      </c>
      <c r="CA40">
        <v>41</v>
      </c>
      <c r="CB40" t="s">
        <v>5</v>
      </c>
      <c r="CE40">
        <v>30</v>
      </c>
      <c r="CF40">
        <v>0</v>
      </c>
      <c r="CG40">
        <v>0</v>
      </c>
      <c r="CM40">
        <v>0</v>
      </c>
      <c r="CN40" t="s">
        <v>28</v>
      </c>
      <c r="CO40">
        <v>0</v>
      </c>
      <c r="CP40">
        <f t="shared" si="27"/>
        <v>266275.68</v>
      </c>
      <c r="CQ40">
        <f t="shared" si="28"/>
        <v>0</v>
      </c>
      <c r="CR40">
        <f>(ROUND((ROUND((((ET40*1.25))*AV40*1),2)*BB40),2)+ROUND((ROUND(((AE40-((EU40*1.25)))*AV40*1),2)*BS40),2))</f>
        <v>1007.84</v>
      </c>
      <c r="CS40">
        <f t="shared" si="29"/>
        <v>312.66000000000003</v>
      </c>
      <c r="CT40">
        <f t="shared" si="30"/>
        <v>48302.61</v>
      </c>
      <c r="CU40">
        <f t="shared" si="31"/>
        <v>0</v>
      </c>
      <c r="CV40">
        <f t="shared" si="32"/>
        <v>116.43749999999999</v>
      </c>
      <c r="CW40">
        <f t="shared" si="33"/>
        <v>0</v>
      </c>
      <c r="CX40">
        <f t="shared" si="34"/>
        <v>0</v>
      </c>
      <c r="CY40">
        <f t="shared" si="35"/>
        <v>182583.198</v>
      </c>
      <c r="CZ40">
        <f t="shared" si="36"/>
        <v>106941.5874</v>
      </c>
      <c r="DC40" t="s">
        <v>5</v>
      </c>
      <c r="DD40" t="s">
        <v>5</v>
      </c>
      <c r="DE40" t="s">
        <v>29</v>
      </c>
      <c r="DF40" t="s">
        <v>29</v>
      </c>
      <c r="DG40" t="s">
        <v>30</v>
      </c>
      <c r="DH40" t="s">
        <v>5</v>
      </c>
      <c r="DI40" t="s">
        <v>30</v>
      </c>
      <c r="DJ40" t="s">
        <v>29</v>
      </c>
      <c r="DK40" t="s">
        <v>5</v>
      </c>
      <c r="DL40" t="s">
        <v>5</v>
      </c>
      <c r="DM40" t="s">
        <v>5</v>
      </c>
      <c r="DN40">
        <v>85</v>
      </c>
      <c r="DO40">
        <v>70</v>
      </c>
      <c r="DP40">
        <v>1</v>
      </c>
      <c r="DQ40">
        <v>1</v>
      </c>
      <c r="DU40">
        <v>1005</v>
      </c>
      <c r="DV40" t="s">
        <v>18</v>
      </c>
      <c r="DW40" t="s">
        <v>18</v>
      </c>
      <c r="DX40">
        <v>100</v>
      </c>
      <c r="DZ40" t="s">
        <v>5</v>
      </c>
      <c r="EA40" t="s">
        <v>5</v>
      </c>
      <c r="EB40" t="s">
        <v>5</v>
      </c>
      <c r="EC40" t="s">
        <v>5</v>
      </c>
      <c r="EE40">
        <v>66106858</v>
      </c>
      <c r="EF40">
        <v>30</v>
      </c>
      <c r="EG40" t="s">
        <v>23</v>
      </c>
      <c r="EH40">
        <v>0</v>
      </c>
      <c r="EI40" t="s">
        <v>5</v>
      </c>
      <c r="EJ40">
        <v>1</v>
      </c>
      <c r="EK40">
        <v>2146</v>
      </c>
      <c r="EL40" t="s">
        <v>69</v>
      </c>
      <c r="EM40" t="s">
        <v>70</v>
      </c>
      <c r="EO40" t="s">
        <v>31</v>
      </c>
      <c r="EQ40">
        <v>0</v>
      </c>
      <c r="ER40">
        <v>1283.19</v>
      </c>
      <c r="ES40">
        <v>0</v>
      </c>
      <c r="ET40">
        <v>66.09</v>
      </c>
      <c r="EU40">
        <v>7.25</v>
      </c>
      <c r="EV40">
        <v>1217.0999999999999</v>
      </c>
      <c r="EW40">
        <v>101.25</v>
      </c>
      <c r="EX40">
        <v>0</v>
      </c>
      <c r="EY40">
        <v>0</v>
      </c>
      <c r="FQ40">
        <v>0</v>
      </c>
      <c r="FR40">
        <f t="shared" si="37"/>
        <v>0</v>
      </c>
      <c r="FS40">
        <v>0</v>
      </c>
      <c r="FX40">
        <v>85</v>
      </c>
      <c r="FY40">
        <v>70</v>
      </c>
      <c r="GA40" t="s">
        <v>5</v>
      </c>
      <c r="GD40">
        <v>0</v>
      </c>
      <c r="GF40">
        <v>601428239</v>
      </c>
      <c r="GG40">
        <v>2</v>
      </c>
      <c r="GH40">
        <v>1</v>
      </c>
      <c r="GI40">
        <v>2</v>
      </c>
      <c r="GJ40">
        <v>0</v>
      </c>
      <c r="GK40">
        <f>ROUND(R40*(R12)/100,2)</f>
        <v>2702.27</v>
      </c>
      <c r="GL40">
        <f t="shared" si="38"/>
        <v>0</v>
      </c>
      <c r="GM40">
        <f t="shared" si="39"/>
        <v>558502.74</v>
      </c>
      <c r="GN40">
        <f t="shared" si="40"/>
        <v>558502.74</v>
      </c>
      <c r="GO40">
        <f t="shared" si="41"/>
        <v>0</v>
      </c>
      <c r="GP40">
        <f t="shared" si="42"/>
        <v>0</v>
      </c>
      <c r="GR40">
        <v>0</v>
      </c>
      <c r="GS40">
        <v>3</v>
      </c>
      <c r="GT40">
        <v>0</v>
      </c>
      <c r="GU40" t="s">
        <v>5</v>
      </c>
      <c r="GV40">
        <f t="shared" si="43"/>
        <v>0</v>
      </c>
      <c r="GW40">
        <v>1</v>
      </c>
      <c r="GX40">
        <f t="shared" si="44"/>
        <v>0</v>
      </c>
      <c r="HA40">
        <v>0</v>
      </c>
      <c r="HB40">
        <v>0</v>
      </c>
      <c r="HC40">
        <f t="shared" si="45"/>
        <v>0</v>
      </c>
      <c r="HE40" t="s">
        <v>5</v>
      </c>
      <c r="HF40" t="s">
        <v>5</v>
      </c>
      <c r="HM40" t="s">
        <v>5</v>
      </c>
      <c r="HN40" t="s">
        <v>5</v>
      </c>
      <c r="HO40" t="s">
        <v>5</v>
      </c>
      <c r="HP40" t="s">
        <v>5</v>
      </c>
      <c r="HQ40" t="s">
        <v>5</v>
      </c>
      <c r="IK40">
        <v>0</v>
      </c>
    </row>
    <row r="41" spans="1:245" x14ac:dyDescent="0.2">
      <c r="A41">
        <v>18</v>
      </c>
      <c r="B41">
        <v>1</v>
      </c>
      <c r="C41">
        <v>55</v>
      </c>
      <c r="E41" t="s">
        <v>96</v>
      </c>
      <c r="F41" t="s">
        <v>40</v>
      </c>
      <c r="G41" t="s">
        <v>97</v>
      </c>
      <c r="H41" t="s">
        <v>42</v>
      </c>
      <c r="I41">
        <f>I40*J41</f>
        <v>540</v>
      </c>
      <c r="J41">
        <v>100</v>
      </c>
      <c r="K41">
        <v>100</v>
      </c>
      <c r="O41">
        <f t="shared" si="14"/>
        <v>6885000</v>
      </c>
      <c r="P41">
        <f t="shared" si="15"/>
        <v>6885000</v>
      </c>
      <c r="Q41">
        <f>(ROUND((ROUND(((ET41)*AV41*I41),2)*BB41),2)+ROUND((ROUND(((AE41-(EU41))*AV41*I41),2)*BS41),2))</f>
        <v>0</v>
      </c>
      <c r="R41">
        <f t="shared" si="16"/>
        <v>0</v>
      </c>
      <c r="S41">
        <f t="shared" si="17"/>
        <v>0</v>
      </c>
      <c r="T41">
        <f t="shared" si="18"/>
        <v>0</v>
      </c>
      <c r="U41">
        <f t="shared" si="19"/>
        <v>0</v>
      </c>
      <c r="V41">
        <f t="shared" si="20"/>
        <v>0</v>
      </c>
      <c r="W41">
        <f t="shared" si="21"/>
        <v>0</v>
      </c>
      <c r="X41">
        <f t="shared" si="22"/>
        <v>0</v>
      </c>
      <c r="Y41">
        <f t="shared" si="23"/>
        <v>0</v>
      </c>
      <c r="AA41">
        <v>67204543</v>
      </c>
      <c r="AB41">
        <f t="shared" si="24"/>
        <v>12750</v>
      </c>
      <c r="AC41">
        <f t="shared" si="48"/>
        <v>12750</v>
      </c>
      <c r="AD41">
        <f>ROUND((((ET41)-(EU41))+AE41),6)</f>
        <v>0</v>
      </c>
      <c r="AE41">
        <f t="shared" ref="AE41:AF44" si="51">ROUND((EU41),6)</f>
        <v>0</v>
      </c>
      <c r="AF41">
        <f t="shared" si="51"/>
        <v>0</v>
      </c>
      <c r="AG41">
        <f t="shared" si="25"/>
        <v>0</v>
      </c>
      <c r="AH41">
        <f t="shared" ref="AH41:AI44" si="52">(EW41)</f>
        <v>0</v>
      </c>
      <c r="AI41">
        <f t="shared" si="52"/>
        <v>0</v>
      </c>
      <c r="AJ41">
        <f t="shared" si="26"/>
        <v>0</v>
      </c>
      <c r="AK41">
        <v>12750</v>
      </c>
      <c r="AL41">
        <v>12750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1</v>
      </c>
      <c r="BD41" t="s">
        <v>5</v>
      </c>
      <c r="BE41" t="s">
        <v>5</v>
      </c>
      <c r="BF41" t="s">
        <v>5</v>
      </c>
      <c r="BG41" t="s">
        <v>5</v>
      </c>
      <c r="BH41">
        <v>3</v>
      </c>
      <c r="BI41">
        <v>1</v>
      </c>
      <c r="BJ41" t="s">
        <v>5</v>
      </c>
      <c r="BM41">
        <v>1150</v>
      </c>
      <c r="BN41">
        <v>0</v>
      </c>
      <c r="BO41" t="s">
        <v>5</v>
      </c>
      <c r="BP41">
        <v>0</v>
      </c>
      <c r="BQ41">
        <v>30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5</v>
      </c>
      <c r="BZ41">
        <v>0</v>
      </c>
      <c r="CA41">
        <v>0</v>
      </c>
      <c r="CB41" t="s">
        <v>5</v>
      </c>
      <c r="CE41">
        <v>30</v>
      </c>
      <c r="CF41">
        <v>0</v>
      </c>
      <c r="CG41">
        <v>0</v>
      </c>
      <c r="CM41">
        <v>0</v>
      </c>
      <c r="CN41" t="s">
        <v>280</v>
      </c>
      <c r="CO41">
        <v>0</v>
      </c>
      <c r="CP41">
        <f t="shared" si="27"/>
        <v>6885000</v>
      </c>
      <c r="CQ41">
        <f t="shared" si="28"/>
        <v>12750</v>
      </c>
      <c r="CR41">
        <f>(ROUND((ROUND(((ET41)*AV41*1),2)*BB41),2)+ROUND((ROUND(((AE41-(EU41))*AV41*1),2)*BS41),2))</f>
        <v>0</v>
      </c>
      <c r="CS41">
        <f t="shared" si="29"/>
        <v>0</v>
      </c>
      <c r="CT41">
        <f t="shared" si="30"/>
        <v>0</v>
      </c>
      <c r="CU41">
        <f t="shared" si="31"/>
        <v>0</v>
      </c>
      <c r="CV41">
        <f t="shared" si="32"/>
        <v>0</v>
      </c>
      <c r="CW41">
        <f t="shared" si="33"/>
        <v>0</v>
      </c>
      <c r="CX41">
        <f t="shared" si="34"/>
        <v>0</v>
      </c>
      <c r="CY41">
        <f t="shared" si="35"/>
        <v>0</v>
      </c>
      <c r="CZ41">
        <f t="shared" si="36"/>
        <v>0</v>
      </c>
      <c r="DC41" t="s">
        <v>5</v>
      </c>
      <c r="DD41" t="s">
        <v>5</v>
      </c>
      <c r="DE41" t="s">
        <v>5</v>
      </c>
      <c r="DF41" t="s">
        <v>5</v>
      </c>
      <c r="DG41" t="s">
        <v>5</v>
      </c>
      <c r="DH41" t="s">
        <v>5</v>
      </c>
      <c r="DI41" t="s">
        <v>5</v>
      </c>
      <c r="DJ41" t="s">
        <v>5</v>
      </c>
      <c r="DK41" t="s">
        <v>5</v>
      </c>
      <c r="DL41" t="s">
        <v>5</v>
      </c>
      <c r="DM41" t="s">
        <v>5</v>
      </c>
      <c r="DN41">
        <v>105</v>
      </c>
      <c r="DO41">
        <v>70</v>
      </c>
      <c r="DP41">
        <v>1</v>
      </c>
      <c r="DQ41">
        <v>1</v>
      </c>
      <c r="DU41">
        <v>1005</v>
      </c>
      <c r="DV41" t="s">
        <v>42</v>
      </c>
      <c r="DW41" t="s">
        <v>42</v>
      </c>
      <c r="DX41">
        <v>1</v>
      </c>
      <c r="DZ41" t="s">
        <v>5</v>
      </c>
      <c r="EA41" t="s">
        <v>5</v>
      </c>
      <c r="EB41" t="s">
        <v>5</v>
      </c>
      <c r="EC41" t="s">
        <v>5</v>
      </c>
      <c r="EE41">
        <v>66105829</v>
      </c>
      <c r="EF41">
        <v>30</v>
      </c>
      <c r="EG41" t="s">
        <v>23</v>
      </c>
      <c r="EH41">
        <v>0</v>
      </c>
      <c r="EI41" t="s">
        <v>5</v>
      </c>
      <c r="EJ41">
        <v>1</v>
      </c>
      <c r="EK41">
        <v>1150</v>
      </c>
      <c r="EL41" t="s">
        <v>24</v>
      </c>
      <c r="EM41" t="s">
        <v>25</v>
      </c>
      <c r="EO41" t="s">
        <v>55</v>
      </c>
      <c r="EQ41">
        <v>0</v>
      </c>
      <c r="ER41">
        <v>12750</v>
      </c>
      <c r="ES41">
        <v>12750</v>
      </c>
      <c r="ET41">
        <v>0</v>
      </c>
      <c r="EU41">
        <v>0</v>
      </c>
      <c r="EV41">
        <v>0</v>
      </c>
      <c r="EW41">
        <v>0</v>
      </c>
      <c r="EX41">
        <v>0</v>
      </c>
      <c r="EZ41">
        <v>5</v>
      </c>
      <c r="FC41">
        <v>1</v>
      </c>
      <c r="FD41">
        <v>18</v>
      </c>
      <c r="FF41">
        <v>15000</v>
      </c>
      <c r="FQ41">
        <v>0</v>
      </c>
      <c r="FR41">
        <f t="shared" si="37"/>
        <v>0</v>
      </c>
      <c r="FS41">
        <v>0</v>
      </c>
      <c r="FX41">
        <v>105</v>
      </c>
      <c r="FY41">
        <v>70</v>
      </c>
      <c r="GA41" t="s">
        <v>98</v>
      </c>
      <c r="GD41">
        <v>0</v>
      </c>
      <c r="GF41">
        <v>-77962236</v>
      </c>
      <c r="GG41">
        <v>2</v>
      </c>
      <c r="GH41">
        <v>3</v>
      </c>
      <c r="GI41">
        <v>-2</v>
      </c>
      <c r="GJ41">
        <v>0</v>
      </c>
      <c r="GK41">
        <f>ROUND(R41*(R12)/100,2)</f>
        <v>0</v>
      </c>
      <c r="GL41">
        <f t="shared" si="38"/>
        <v>0</v>
      </c>
      <c r="GM41">
        <f t="shared" si="39"/>
        <v>6885000</v>
      </c>
      <c r="GN41">
        <f t="shared" si="40"/>
        <v>6885000</v>
      </c>
      <c r="GO41">
        <f t="shared" si="41"/>
        <v>0</v>
      </c>
      <c r="GP41">
        <f t="shared" si="42"/>
        <v>0</v>
      </c>
      <c r="GR41">
        <v>1</v>
      </c>
      <c r="GS41">
        <v>1</v>
      </c>
      <c r="GT41">
        <v>0</v>
      </c>
      <c r="GU41" t="s">
        <v>5</v>
      </c>
      <c r="GV41">
        <f t="shared" si="43"/>
        <v>0</v>
      </c>
      <c r="GW41">
        <v>1</v>
      </c>
      <c r="GX41">
        <f t="shared" si="44"/>
        <v>0</v>
      </c>
      <c r="HA41">
        <v>0</v>
      </c>
      <c r="HB41">
        <v>0</v>
      </c>
      <c r="HC41">
        <f t="shared" si="45"/>
        <v>0</v>
      </c>
      <c r="HE41" t="s">
        <v>44</v>
      </c>
      <c r="HF41" t="s">
        <v>27</v>
      </c>
      <c r="HM41" t="s">
        <v>54</v>
      </c>
      <c r="HN41" t="s">
        <v>5</v>
      </c>
      <c r="HO41" t="s">
        <v>5</v>
      </c>
      <c r="HP41" t="s">
        <v>5</v>
      </c>
      <c r="HQ41" t="s">
        <v>5</v>
      </c>
      <c r="IK41">
        <v>0</v>
      </c>
    </row>
    <row r="42" spans="1:245" x14ac:dyDescent="0.2">
      <c r="A42">
        <v>17</v>
      </c>
      <c r="B42">
        <v>1</v>
      </c>
      <c r="C42">
        <f>ROW(SmtRes!A56)</f>
        <v>56</v>
      </c>
      <c r="D42">
        <f>ROW(EtalonRes!A59)</f>
        <v>59</v>
      </c>
      <c r="E42" t="s">
        <v>99</v>
      </c>
      <c r="F42" t="s">
        <v>100</v>
      </c>
      <c r="G42" t="s">
        <v>101</v>
      </c>
      <c r="H42" t="s">
        <v>102</v>
      </c>
      <c r="I42">
        <v>20.43</v>
      </c>
      <c r="J42">
        <v>0</v>
      </c>
      <c r="K42">
        <v>20.43</v>
      </c>
      <c r="O42">
        <f t="shared" si="14"/>
        <v>2449.0700000000002</v>
      </c>
      <c r="P42">
        <f t="shared" si="15"/>
        <v>0</v>
      </c>
      <c r="Q42">
        <f>(ROUND((ROUND(((ET42)*AV42*I42),2)*BB42),2)+ROUND((ROUND(((AE42-(EU42))*AV42*I42),2)*BS42),2))</f>
        <v>2449.0700000000002</v>
      </c>
      <c r="R42">
        <f t="shared" si="16"/>
        <v>1043.58</v>
      </c>
      <c r="S42">
        <f t="shared" si="17"/>
        <v>0</v>
      </c>
      <c r="T42">
        <f t="shared" si="18"/>
        <v>0</v>
      </c>
      <c r="U42">
        <f t="shared" si="19"/>
        <v>0</v>
      </c>
      <c r="V42">
        <f t="shared" si="20"/>
        <v>0</v>
      </c>
      <c r="W42">
        <f t="shared" si="21"/>
        <v>0</v>
      </c>
      <c r="X42">
        <f t="shared" si="22"/>
        <v>0</v>
      </c>
      <c r="Y42">
        <f t="shared" si="23"/>
        <v>0</v>
      </c>
      <c r="AA42">
        <v>67204543</v>
      </c>
      <c r="AB42">
        <f t="shared" si="24"/>
        <v>8.86</v>
      </c>
      <c r="AC42">
        <f t="shared" si="48"/>
        <v>0</v>
      </c>
      <c r="AD42">
        <f>ROUND((((ET42)-(EU42))+AE42),6)</f>
        <v>8.86</v>
      </c>
      <c r="AE42">
        <f t="shared" si="51"/>
        <v>1.48</v>
      </c>
      <c r="AF42">
        <f t="shared" si="51"/>
        <v>0</v>
      </c>
      <c r="AG42">
        <f t="shared" si="25"/>
        <v>0</v>
      </c>
      <c r="AH42">
        <f t="shared" si="52"/>
        <v>0</v>
      </c>
      <c r="AI42">
        <f t="shared" si="52"/>
        <v>0</v>
      </c>
      <c r="AJ42">
        <f t="shared" si="26"/>
        <v>0</v>
      </c>
      <c r="AK42">
        <v>8.86</v>
      </c>
      <c r="AL42">
        <v>0</v>
      </c>
      <c r="AM42">
        <v>8.86</v>
      </c>
      <c r="AN42">
        <v>1.48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75</v>
      </c>
      <c r="AU42">
        <v>41</v>
      </c>
      <c r="AV42">
        <v>1</v>
      </c>
      <c r="AW42">
        <v>1</v>
      </c>
      <c r="AZ42">
        <v>1</v>
      </c>
      <c r="BA42">
        <v>34.51</v>
      </c>
      <c r="BB42">
        <v>13.53</v>
      </c>
      <c r="BC42">
        <v>1</v>
      </c>
      <c r="BD42" t="s">
        <v>5</v>
      </c>
      <c r="BE42" t="s">
        <v>5</v>
      </c>
      <c r="BF42" t="s">
        <v>5</v>
      </c>
      <c r="BG42" t="s">
        <v>5</v>
      </c>
      <c r="BH42">
        <v>0</v>
      </c>
      <c r="BI42">
        <v>1</v>
      </c>
      <c r="BJ42" t="s">
        <v>103</v>
      </c>
      <c r="BM42">
        <v>658</v>
      </c>
      <c r="BN42">
        <v>0</v>
      </c>
      <c r="BO42" t="s">
        <v>100</v>
      </c>
      <c r="BP42">
        <v>1</v>
      </c>
      <c r="BQ42">
        <v>60</v>
      </c>
      <c r="BR42">
        <v>0</v>
      </c>
      <c r="BS42">
        <v>34.51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5</v>
      </c>
      <c r="BZ42">
        <v>75</v>
      </c>
      <c r="CA42">
        <v>41</v>
      </c>
      <c r="CB42" t="s">
        <v>5</v>
      </c>
      <c r="CE42">
        <v>30</v>
      </c>
      <c r="CF42">
        <v>0</v>
      </c>
      <c r="CG42">
        <v>0</v>
      </c>
      <c r="CM42">
        <v>0</v>
      </c>
      <c r="CN42" t="s">
        <v>5</v>
      </c>
      <c r="CO42">
        <v>0</v>
      </c>
      <c r="CP42">
        <f t="shared" si="27"/>
        <v>2449.0700000000002</v>
      </c>
      <c r="CQ42">
        <f t="shared" si="28"/>
        <v>0</v>
      </c>
      <c r="CR42">
        <f>(ROUND((ROUND(((ET42)*AV42*1),2)*BB42),2)+ROUND((ROUND(((AE42-(EU42))*AV42*1),2)*BS42),2))</f>
        <v>119.88</v>
      </c>
      <c r="CS42">
        <f t="shared" si="29"/>
        <v>51.07</v>
      </c>
      <c r="CT42">
        <f t="shared" si="30"/>
        <v>0</v>
      </c>
      <c r="CU42">
        <f t="shared" si="31"/>
        <v>0</v>
      </c>
      <c r="CV42">
        <f t="shared" si="32"/>
        <v>0</v>
      </c>
      <c r="CW42">
        <f t="shared" si="33"/>
        <v>0</v>
      </c>
      <c r="CX42">
        <f t="shared" si="34"/>
        <v>0</v>
      </c>
      <c r="CY42">
        <f t="shared" si="35"/>
        <v>0</v>
      </c>
      <c r="CZ42">
        <f t="shared" si="36"/>
        <v>0</v>
      </c>
      <c r="DC42" t="s">
        <v>5</v>
      </c>
      <c r="DD42" t="s">
        <v>5</v>
      </c>
      <c r="DE42" t="s">
        <v>5</v>
      </c>
      <c r="DF42" t="s">
        <v>5</v>
      </c>
      <c r="DG42" t="s">
        <v>5</v>
      </c>
      <c r="DH42" t="s">
        <v>5</v>
      </c>
      <c r="DI42" t="s">
        <v>5</v>
      </c>
      <c r="DJ42" t="s">
        <v>5</v>
      </c>
      <c r="DK42" t="s">
        <v>5</v>
      </c>
      <c r="DL42" t="s">
        <v>5</v>
      </c>
      <c r="DM42" t="s">
        <v>5</v>
      </c>
      <c r="DN42">
        <v>91</v>
      </c>
      <c r="DO42">
        <v>70</v>
      </c>
      <c r="DP42">
        <v>1</v>
      </c>
      <c r="DQ42">
        <v>1</v>
      </c>
      <c r="DU42">
        <v>1013</v>
      </c>
      <c r="DV42" t="s">
        <v>102</v>
      </c>
      <c r="DW42" t="s">
        <v>102</v>
      </c>
      <c r="DX42">
        <v>1</v>
      </c>
      <c r="DZ42" t="s">
        <v>5</v>
      </c>
      <c r="EA42" t="s">
        <v>5</v>
      </c>
      <c r="EB42" t="s">
        <v>5</v>
      </c>
      <c r="EC42" t="s">
        <v>5</v>
      </c>
      <c r="EE42">
        <v>66105337</v>
      </c>
      <c r="EF42">
        <v>60</v>
      </c>
      <c r="EG42" t="s">
        <v>104</v>
      </c>
      <c r="EH42">
        <v>0</v>
      </c>
      <c r="EI42" t="s">
        <v>5</v>
      </c>
      <c r="EJ42">
        <v>1</v>
      </c>
      <c r="EK42">
        <v>658</v>
      </c>
      <c r="EL42" t="s">
        <v>105</v>
      </c>
      <c r="EM42" t="s">
        <v>106</v>
      </c>
      <c r="EO42" t="s">
        <v>5</v>
      </c>
      <c r="EQ42">
        <v>0</v>
      </c>
      <c r="ER42">
        <v>8.86</v>
      </c>
      <c r="ES42">
        <v>0</v>
      </c>
      <c r="ET42">
        <v>8.86</v>
      </c>
      <c r="EU42">
        <v>1.48</v>
      </c>
      <c r="EV42">
        <v>0</v>
      </c>
      <c r="EW42">
        <v>0</v>
      </c>
      <c r="EX42">
        <v>0</v>
      </c>
      <c r="EY42">
        <v>0</v>
      </c>
      <c r="FQ42">
        <v>0</v>
      </c>
      <c r="FR42">
        <f t="shared" si="37"/>
        <v>0</v>
      </c>
      <c r="FS42">
        <v>0</v>
      </c>
      <c r="FX42">
        <v>91</v>
      </c>
      <c r="FY42">
        <v>70</v>
      </c>
      <c r="GA42" t="s">
        <v>5</v>
      </c>
      <c r="GD42">
        <v>0</v>
      </c>
      <c r="GF42">
        <v>1053397080</v>
      </c>
      <c r="GG42">
        <v>2</v>
      </c>
      <c r="GH42">
        <v>1</v>
      </c>
      <c r="GI42">
        <v>2</v>
      </c>
      <c r="GJ42">
        <v>0</v>
      </c>
      <c r="GK42">
        <f>ROUND(R42*(R12)/100,2)</f>
        <v>1669.73</v>
      </c>
      <c r="GL42">
        <f t="shared" si="38"/>
        <v>0</v>
      </c>
      <c r="GM42">
        <f t="shared" si="39"/>
        <v>4118.8</v>
      </c>
      <c r="GN42">
        <f t="shared" si="40"/>
        <v>4118.8</v>
      </c>
      <c r="GO42">
        <f t="shared" si="41"/>
        <v>0</v>
      </c>
      <c r="GP42">
        <f t="shared" si="42"/>
        <v>0</v>
      </c>
      <c r="GR42">
        <v>0</v>
      </c>
      <c r="GS42">
        <v>3</v>
      </c>
      <c r="GT42">
        <v>0</v>
      </c>
      <c r="GU42" t="s">
        <v>5</v>
      </c>
      <c r="GV42">
        <f t="shared" si="43"/>
        <v>0</v>
      </c>
      <c r="GW42">
        <v>1</v>
      </c>
      <c r="GX42">
        <f t="shared" si="44"/>
        <v>0</v>
      </c>
      <c r="HA42">
        <v>0</v>
      </c>
      <c r="HB42">
        <v>0</v>
      </c>
      <c r="HC42">
        <f t="shared" si="45"/>
        <v>0</v>
      </c>
      <c r="HE42" t="s">
        <v>5</v>
      </c>
      <c r="HF42" t="s">
        <v>5</v>
      </c>
      <c r="HM42" t="s">
        <v>5</v>
      </c>
      <c r="HN42" t="s">
        <v>5</v>
      </c>
      <c r="HO42" t="s">
        <v>5</v>
      </c>
      <c r="HP42" t="s">
        <v>5</v>
      </c>
      <c r="HQ42" t="s">
        <v>5</v>
      </c>
      <c r="IK42">
        <v>0</v>
      </c>
    </row>
    <row r="43" spans="1:245" x14ac:dyDescent="0.2">
      <c r="A43">
        <v>17</v>
      </c>
      <c r="B43">
        <v>1</v>
      </c>
      <c r="C43">
        <f>ROW(SmtRes!A57)</f>
        <v>57</v>
      </c>
      <c r="D43">
        <f>ROW(EtalonRes!A60)</f>
        <v>60</v>
      </c>
      <c r="E43" t="s">
        <v>107</v>
      </c>
      <c r="F43" t="s">
        <v>108</v>
      </c>
      <c r="G43" t="s">
        <v>109</v>
      </c>
      <c r="H43" t="s">
        <v>110</v>
      </c>
      <c r="I43">
        <v>20.43</v>
      </c>
      <c r="J43">
        <v>0</v>
      </c>
      <c r="K43">
        <v>20.43</v>
      </c>
      <c r="O43">
        <f t="shared" si="14"/>
        <v>11642.43</v>
      </c>
      <c r="P43">
        <f t="shared" si="15"/>
        <v>0</v>
      </c>
      <c r="Q43">
        <f>(ROUND((ROUND(((ET43)*AV43*I43),2)*BB43),2)+ROUND((ROUND(((AE43-(EU43))*AV43*I43),2)*BS43),2))</f>
        <v>11642.43</v>
      </c>
      <c r="R43">
        <f t="shared" si="16"/>
        <v>0</v>
      </c>
      <c r="S43">
        <f t="shared" si="17"/>
        <v>0</v>
      </c>
      <c r="T43">
        <f t="shared" si="18"/>
        <v>0</v>
      </c>
      <c r="U43">
        <f t="shared" si="19"/>
        <v>0</v>
      </c>
      <c r="V43">
        <f t="shared" si="20"/>
        <v>0</v>
      </c>
      <c r="W43">
        <f t="shared" si="21"/>
        <v>0</v>
      </c>
      <c r="X43">
        <f t="shared" si="22"/>
        <v>0</v>
      </c>
      <c r="Y43">
        <f t="shared" si="23"/>
        <v>0</v>
      </c>
      <c r="AA43">
        <v>67204543</v>
      </c>
      <c r="AB43">
        <f t="shared" si="24"/>
        <v>36.39</v>
      </c>
      <c r="AC43">
        <f t="shared" si="48"/>
        <v>0</v>
      </c>
      <c r="AD43">
        <f>ROUND((((ET43)-(EU43))+AE43),6)</f>
        <v>36.39</v>
      </c>
      <c r="AE43">
        <f t="shared" si="51"/>
        <v>0</v>
      </c>
      <c r="AF43">
        <f t="shared" si="51"/>
        <v>0</v>
      </c>
      <c r="AG43">
        <f t="shared" si="25"/>
        <v>0</v>
      </c>
      <c r="AH43">
        <f t="shared" si="52"/>
        <v>0</v>
      </c>
      <c r="AI43">
        <f t="shared" si="52"/>
        <v>0</v>
      </c>
      <c r="AJ43">
        <f t="shared" si="26"/>
        <v>0</v>
      </c>
      <c r="AK43">
        <v>36.39</v>
      </c>
      <c r="AL43">
        <v>0</v>
      </c>
      <c r="AM43">
        <v>36.39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95</v>
      </c>
      <c r="AU43">
        <v>65</v>
      </c>
      <c r="AV43">
        <v>1</v>
      </c>
      <c r="AW43">
        <v>1</v>
      </c>
      <c r="AZ43">
        <v>1</v>
      </c>
      <c r="BA43">
        <v>1</v>
      </c>
      <c r="BB43">
        <v>15.66</v>
      </c>
      <c r="BC43">
        <v>1</v>
      </c>
      <c r="BD43" t="s">
        <v>5</v>
      </c>
      <c r="BE43" t="s">
        <v>5</v>
      </c>
      <c r="BF43" t="s">
        <v>5</v>
      </c>
      <c r="BG43" t="s">
        <v>5</v>
      </c>
      <c r="BH43">
        <v>0</v>
      </c>
      <c r="BI43">
        <v>4</v>
      </c>
      <c r="BJ43" t="s">
        <v>111</v>
      </c>
      <c r="BM43">
        <v>1113</v>
      </c>
      <c r="BN43">
        <v>0</v>
      </c>
      <c r="BO43" t="s">
        <v>108</v>
      </c>
      <c r="BP43">
        <v>1</v>
      </c>
      <c r="BQ43">
        <v>150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5</v>
      </c>
      <c r="BZ43">
        <v>95</v>
      </c>
      <c r="CA43">
        <v>65</v>
      </c>
      <c r="CB43" t="s">
        <v>5</v>
      </c>
      <c r="CE43">
        <v>30</v>
      </c>
      <c r="CF43">
        <v>0</v>
      </c>
      <c r="CG43">
        <v>0</v>
      </c>
      <c r="CM43">
        <v>0</v>
      </c>
      <c r="CN43" t="s">
        <v>5</v>
      </c>
      <c r="CO43">
        <v>0</v>
      </c>
      <c r="CP43">
        <f t="shared" si="27"/>
        <v>11642.43</v>
      </c>
      <c r="CQ43">
        <f t="shared" si="28"/>
        <v>0</v>
      </c>
      <c r="CR43">
        <f>(ROUND((ROUND(((ET43)*AV43*1),2)*BB43),2)+ROUND((ROUND(((AE43-(EU43))*AV43*1),2)*BS43),2))</f>
        <v>569.87</v>
      </c>
      <c r="CS43">
        <f t="shared" si="29"/>
        <v>0</v>
      </c>
      <c r="CT43">
        <f t="shared" si="30"/>
        <v>0</v>
      </c>
      <c r="CU43">
        <f t="shared" si="31"/>
        <v>0</v>
      </c>
      <c r="CV43">
        <f t="shared" si="32"/>
        <v>0</v>
      </c>
      <c r="CW43">
        <f t="shared" si="33"/>
        <v>0</v>
      </c>
      <c r="CX43">
        <f t="shared" si="34"/>
        <v>0</v>
      </c>
      <c r="CY43">
        <f t="shared" si="35"/>
        <v>0</v>
      </c>
      <c r="CZ43">
        <f t="shared" si="36"/>
        <v>0</v>
      </c>
      <c r="DC43" t="s">
        <v>5</v>
      </c>
      <c r="DD43" t="s">
        <v>5</v>
      </c>
      <c r="DE43" t="s">
        <v>5</v>
      </c>
      <c r="DF43" t="s">
        <v>5</v>
      </c>
      <c r="DG43" t="s">
        <v>5</v>
      </c>
      <c r="DH43" t="s">
        <v>5</v>
      </c>
      <c r="DI43" t="s">
        <v>5</v>
      </c>
      <c r="DJ43" t="s">
        <v>5</v>
      </c>
      <c r="DK43" t="s">
        <v>5</v>
      </c>
      <c r="DL43" t="s">
        <v>5</v>
      </c>
      <c r="DM43" t="s">
        <v>5</v>
      </c>
      <c r="DN43">
        <v>0</v>
      </c>
      <c r="DO43">
        <v>0</v>
      </c>
      <c r="DP43">
        <v>1</v>
      </c>
      <c r="DQ43">
        <v>1</v>
      </c>
      <c r="DU43">
        <v>1009</v>
      </c>
      <c r="DV43" t="s">
        <v>110</v>
      </c>
      <c r="DW43" t="s">
        <v>110</v>
      </c>
      <c r="DX43">
        <v>1000</v>
      </c>
      <c r="DZ43" t="s">
        <v>5</v>
      </c>
      <c r="EA43" t="s">
        <v>5</v>
      </c>
      <c r="EB43" t="s">
        <v>5</v>
      </c>
      <c r="EC43" t="s">
        <v>5</v>
      </c>
      <c r="EE43">
        <v>66105792</v>
      </c>
      <c r="EF43">
        <v>150</v>
      </c>
      <c r="EG43" t="s">
        <v>112</v>
      </c>
      <c r="EH43">
        <v>0</v>
      </c>
      <c r="EI43" t="s">
        <v>5</v>
      </c>
      <c r="EJ43">
        <v>4</v>
      </c>
      <c r="EK43">
        <v>1113</v>
      </c>
      <c r="EL43" t="s">
        <v>113</v>
      </c>
      <c r="EM43" t="s">
        <v>114</v>
      </c>
      <c r="EO43" t="s">
        <v>5</v>
      </c>
      <c r="EQ43">
        <v>0</v>
      </c>
      <c r="ER43">
        <v>36.39</v>
      </c>
      <c r="ES43">
        <v>0</v>
      </c>
      <c r="ET43">
        <v>36.39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37"/>
        <v>0</v>
      </c>
      <c r="FS43">
        <v>0</v>
      </c>
      <c r="FX43">
        <v>0</v>
      </c>
      <c r="FY43">
        <v>0</v>
      </c>
      <c r="GA43" t="s">
        <v>5</v>
      </c>
      <c r="GD43">
        <v>0</v>
      </c>
      <c r="GF43">
        <v>-2047740715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38"/>
        <v>0</v>
      </c>
      <c r="GM43">
        <f t="shared" si="39"/>
        <v>11642.43</v>
      </c>
      <c r="GN43">
        <f t="shared" si="40"/>
        <v>0</v>
      </c>
      <c r="GO43">
        <f t="shared" si="41"/>
        <v>0</v>
      </c>
      <c r="GP43">
        <f t="shared" si="42"/>
        <v>11642.43</v>
      </c>
      <c r="GR43">
        <v>0</v>
      </c>
      <c r="GS43">
        <v>3</v>
      </c>
      <c r="GT43">
        <v>0</v>
      </c>
      <c r="GU43" t="s">
        <v>5</v>
      </c>
      <c r="GV43">
        <f t="shared" si="43"/>
        <v>0</v>
      </c>
      <c r="GW43">
        <v>1</v>
      </c>
      <c r="GX43">
        <f t="shared" si="44"/>
        <v>0</v>
      </c>
      <c r="HA43">
        <v>0</v>
      </c>
      <c r="HB43">
        <v>0</v>
      </c>
      <c r="HC43">
        <f t="shared" si="45"/>
        <v>0</v>
      </c>
      <c r="HE43" t="s">
        <v>5</v>
      </c>
      <c r="HF43" t="s">
        <v>5</v>
      </c>
      <c r="HM43" t="s">
        <v>5</v>
      </c>
      <c r="HN43" t="s">
        <v>5</v>
      </c>
      <c r="HO43" t="s">
        <v>5</v>
      </c>
      <c r="HP43" t="s">
        <v>5</v>
      </c>
      <c r="HQ43" t="s">
        <v>5</v>
      </c>
      <c r="IK43">
        <v>0</v>
      </c>
    </row>
    <row r="44" spans="1:245" x14ac:dyDescent="0.2">
      <c r="A44">
        <v>17</v>
      </c>
      <c r="B44">
        <v>1</v>
      </c>
      <c r="C44">
        <f>ROW(SmtRes!A58)</f>
        <v>58</v>
      </c>
      <c r="D44">
        <f>ROW(EtalonRes!A61)</f>
        <v>61</v>
      </c>
      <c r="E44" t="s">
        <v>115</v>
      </c>
      <c r="F44" t="s">
        <v>116</v>
      </c>
      <c r="G44" t="s">
        <v>117</v>
      </c>
      <c r="H44" t="s">
        <v>102</v>
      </c>
      <c r="I44">
        <v>20.43</v>
      </c>
      <c r="J44">
        <v>0</v>
      </c>
      <c r="K44">
        <v>20.43</v>
      </c>
      <c r="O44">
        <f t="shared" si="14"/>
        <v>28061.26</v>
      </c>
      <c r="P44">
        <f t="shared" si="15"/>
        <v>0</v>
      </c>
      <c r="Q44">
        <f>(ROUND((ROUND(((ET44)*AV44*I44),2)*BB44),2)+ROUND((ROUND(((AE44-(EU44))*AV44*I44),2)*BS44),2))</f>
        <v>28061.26</v>
      </c>
      <c r="R44">
        <f t="shared" si="16"/>
        <v>0</v>
      </c>
      <c r="S44">
        <f t="shared" si="17"/>
        <v>0</v>
      </c>
      <c r="T44">
        <f t="shared" si="18"/>
        <v>0</v>
      </c>
      <c r="U44">
        <f t="shared" si="19"/>
        <v>0</v>
      </c>
      <c r="V44">
        <f t="shared" si="20"/>
        <v>0</v>
      </c>
      <c r="W44">
        <f t="shared" si="21"/>
        <v>0</v>
      </c>
      <c r="X44">
        <f t="shared" si="22"/>
        <v>0</v>
      </c>
      <c r="Y44">
        <f t="shared" si="23"/>
        <v>0</v>
      </c>
      <c r="AA44">
        <v>67204543</v>
      </c>
      <c r="AB44">
        <f t="shared" si="24"/>
        <v>31.67</v>
      </c>
      <c r="AC44">
        <f t="shared" si="48"/>
        <v>0</v>
      </c>
      <c r="AD44">
        <f>ROUND((((ET44)-(EU44))+AE44),6)</f>
        <v>31.67</v>
      </c>
      <c r="AE44">
        <f t="shared" si="51"/>
        <v>0</v>
      </c>
      <c r="AF44">
        <f t="shared" si="51"/>
        <v>0</v>
      </c>
      <c r="AG44">
        <f t="shared" si="25"/>
        <v>0</v>
      </c>
      <c r="AH44">
        <f t="shared" si="52"/>
        <v>0</v>
      </c>
      <c r="AI44">
        <f t="shared" si="52"/>
        <v>0</v>
      </c>
      <c r="AJ44">
        <f t="shared" si="26"/>
        <v>0</v>
      </c>
      <c r="AK44">
        <v>31.67</v>
      </c>
      <c r="AL44">
        <v>0</v>
      </c>
      <c r="AM44">
        <v>31.67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95</v>
      </c>
      <c r="AU44">
        <v>65</v>
      </c>
      <c r="AV44">
        <v>1</v>
      </c>
      <c r="AW44">
        <v>1</v>
      </c>
      <c r="AZ44">
        <v>1</v>
      </c>
      <c r="BA44">
        <v>1</v>
      </c>
      <c r="BB44">
        <v>43.37</v>
      </c>
      <c r="BC44">
        <v>1</v>
      </c>
      <c r="BD44" t="s">
        <v>5</v>
      </c>
      <c r="BE44" t="s">
        <v>5</v>
      </c>
      <c r="BF44" t="s">
        <v>5</v>
      </c>
      <c r="BG44" t="s">
        <v>5</v>
      </c>
      <c r="BH44">
        <v>0</v>
      </c>
      <c r="BI44">
        <v>4</v>
      </c>
      <c r="BJ44" t="s">
        <v>118</v>
      </c>
      <c r="BM44">
        <v>1113</v>
      </c>
      <c r="BN44">
        <v>0</v>
      </c>
      <c r="BO44" t="s">
        <v>116</v>
      </c>
      <c r="BP44">
        <v>1</v>
      </c>
      <c r="BQ44">
        <v>150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5</v>
      </c>
      <c r="BZ44">
        <v>95</v>
      </c>
      <c r="CA44">
        <v>65</v>
      </c>
      <c r="CB44" t="s">
        <v>5</v>
      </c>
      <c r="CE44">
        <v>30</v>
      </c>
      <c r="CF44">
        <v>0</v>
      </c>
      <c r="CG44">
        <v>0</v>
      </c>
      <c r="CM44">
        <v>0</v>
      </c>
      <c r="CN44" t="s">
        <v>5</v>
      </c>
      <c r="CO44">
        <v>0</v>
      </c>
      <c r="CP44">
        <f t="shared" si="27"/>
        <v>28061.26</v>
      </c>
      <c r="CQ44">
        <f t="shared" si="28"/>
        <v>0</v>
      </c>
      <c r="CR44">
        <f>(ROUND((ROUND(((ET44)*AV44*1),2)*BB44),2)+ROUND((ROUND(((AE44-(EU44))*AV44*1),2)*BS44),2))</f>
        <v>1373.53</v>
      </c>
      <c r="CS44">
        <f t="shared" si="29"/>
        <v>0</v>
      </c>
      <c r="CT44">
        <f t="shared" si="30"/>
        <v>0</v>
      </c>
      <c r="CU44">
        <f t="shared" si="31"/>
        <v>0</v>
      </c>
      <c r="CV44">
        <f t="shared" si="32"/>
        <v>0</v>
      </c>
      <c r="CW44">
        <f t="shared" si="33"/>
        <v>0</v>
      </c>
      <c r="CX44">
        <f t="shared" si="34"/>
        <v>0</v>
      </c>
      <c r="CY44">
        <f t="shared" si="35"/>
        <v>0</v>
      </c>
      <c r="CZ44">
        <f t="shared" si="36"/>
        <v>0</v>
      </c>
      <c r="DC44" t="s">
        <v>5</v>
      </c>
      <c r="DD44" t="s">
        <v>5</v>
      </c>
      <c r="DE44" t="s">
        <v>5</v>
      </c>
      <c r="DF44" t="s">
        <v>5</v>
      </c>
      <c r="DG44" t="s">
        <v>5</v>
      </c>
      <c r="DH44" t="s">
        <v>5</v>
      </c>
      <c r="DI44" t="s">
        <v>5</v>
      </c>
      <c r="DJ44" t="s">
        <v>5</v>
      </c>
      <c r="DK44" t="s">
        <v>5</v>
      </c>
      <c r="DL44" t="s">
        <v>5</v>
      </c>
      <c r="DM44" t="s">
        <v>5</v>
      </c>
      <c r="DN44">
        <v>0</v>
      </c>
      <c r="DO44">
        <v>0</v>
      </c>
      <c r="DP44">
        <v>1</v>
      </c>
      <c r="DQ44">
        <v>1</v>
      </c>
      <c r="DU44">
        <v>1013</v>
      </c>
      <c r="DV44" t="s">
        <v>102</v>
      </c>
      <c r="DW44" t="s">
        <v>102</v>
      </c>
      <c r="DX44">
        <v>1</v>
      </c>
      <c r="DZ44" t="s">
        <v>5</v>
      </c>
      <c r="EA44" t="s">
        <v>5</v>
      </c>
      <c r="EB44" t="s">
        <v>5</v>
      </c>
      <c r="EC44" t="s">
        <v>5</v>
      </c>
      <c r="EE44">
        <v>66105792</v>
      </c>
      <c r="EF44">
        <v>150</v>
      </c>
      <c r="EG44" t="s">
        <v>112</v>
      </c>
      <c r="EH44">
        <v>0</v>
      </c>
      <c r="EI44" t="s">
        <v>5</v>
      </c>
      <c r="EJ44">
        <v>4</v>
      </c>
      <c r="EK44">
        <v>1113</v>
      </c>
      <c r="EL44" t="s">
        <v>113</v>
      </c>
      <c r="EM44" t="s">
        <v>114</v>
      </c>
      <c r="EO44" t="s">
        <v>5</v>
      </c>
      <c r="EQ44">
        <v>0</v>
      </c>
      <c r="ER44">
        <v>31.67</v>
      </c>
      <c r="ES44">
        <v>0</v>
      </c>
      <c r="ET44">
        <v>31.67</v>
      </c>
      <c r="EU44">
        <v>0</v>
      </c>
      <c r="EV44">
        <v>0</v>
      </c>
      <c r="EW44">
        <v>0</v>
      </c>
      <c r="EX44">
        <v>0</v>
      </c>
      <c r="EY44">
        <v>0</v>
      </c>
      <c r="FQ44">
        <v>0</v>
      </c>
      <c r="FR44">
        <f t="shared" si="37"/>
        <v>0</v>
      </c>
      <c r="FS44">
        <v>0</v>
      </c>
      <c r="FX44">
        <v>0</v>
      </c>
      <c r="FY44">
        <v>0</v>
      </c>
      <c r="GA44" t="s">
        <v>5</v>
      </c>
      <c r="GD44">
        <v>0</v>
      </c>
      <c r="GF44">
        <v>-2099459916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38"/>
        <v>0</v>
      </c>
      <c r="GM44">
        <f t="shared" si="39"/>
        <v>28061.26</v>
      </c>
      <c r="GN44">
        <f t="shared" si="40"/>
        <v>0</v>
      </c>
      <c r="GO44">
        <f t="shared" si="41"/>
        <v>0</v>
      </c>
      <c r="GP44">
        <f t="shared" si="42"/>
        <v>28061.26</v>
      </c>
      <c r="GR44">
        <v>0</v>
      </c>
      <c r="GS44">
        <v>3</v>
      </c>
      <c r="GT44">
        <v>0</v>
      </c>
      <c r="GU44" t="s">
        <v>5</v>
      </c>
      <c r="GV44">
        <f t="shared" si="43"/>
        <v>0</v>
      </c>
      <c r="GW44">
        <v>1</v>
      </c>
      <c r="GX44">
        <f t="shared" si="44"/>
        <v>0</v>
      </c>
      <c r="HA44">
        <v>0</v>
      </c>
      <c r="HB44">
        <v>0</v>
      </c>
      <c r="HC44">
        <f t="shared" si="45"/>
        <v>0</v>
      </c>
      <c r="HE44" t="s">
        <v>5</v>
      </c>
      <c r="HF44" t="s">
        <v>5</v>
      </c>
      <c r="HM44" t="s">
        <v>5</v>
      </c>
      <c r="HN44" t="s">
        <v>5</v>
      </c>
      <c r="HO44" t="s">
        <v>5</v>
      </c>
      <c r="HP44" t="s">
        <v>5</v>
      </c>
      <c r="HQ44" t="s">
        <v>5</v>
      </c>
      <c r="IK44">
        <v>0</v>
      </c>
    </row>
    <row r="46" spans="1:245" x14ac:dyDescent="0.2">
      <c r="A46" s="2">
        <v>51</v>
      </c>
      <c r="B46" s="2">
        <f>B20</f>
        <v>1</v>
      </c>
      <c r="C46" s="2">
        <f>A20</f>
        <v>3</v>
      </c>
      <c r="D46" s="2">
        <f>ROW(A20)</f>
        <v>20</v>
      </c>
      <c r="E46" s="2"/>
      <c r="F46" s="2" t="str">
        <f>IF(F20&lt;&gt;"",F20,"")</f>
        <v/>
      </c>
      <c r="G46" s="2" t="str">
        <f>IF(G20&lt;&gt;"",G20,"")</f>
        <v>Новая локальная смета</v>
      </c>
      <c r="H46" s="2">
        <v>0</v>
      </c>
      <c r="I46" s="2"/>
      <c r="J46" s="2"/>
      <c r="K46" s="2"/>
      <c r="L46" s="2"/>
      <c r="M46" s="2"/>
      <c r="N46" s="2"/>
      <c r="O46" s="2">
        <f t="shared" ref="O46:T46" si="53">ROUND(AB46,2)</f>
        <v>20043253.07</v>
      </c>
      <c r="P46" s="2">
        <f t="shared" si="53"/>
        <v>18568550.32</v>
      </c>
      <c r="Q46" s="2">
        <f t="shared" si="53"/>
        <v>94214.399999999994</v>
      </c>
      <c r="R46" s="2">
        <f t="shared" si="53"/>
        <v>19385.64</v>
      </c>
      <c r="S46" s="2">
        <f t="shared" si="53"/>
        <v>1380488.35</v>
      </c>
      <c r="T46" s="2">
        <f t="shared" si="53"/>
        <v>0</v>
      </c>
      <c r="U46" s="2">
        <f>AH46</f>
        <v>3384.9217799999997</v>
      </c>
      <c r="V46" s="2">
        <f>AI46</f>
        <v>0</v>
      </c>
      <c r="W46" s="2">
        <f>ROUND(AJ46,2)</f>
        <v>0</v>
      </c>
      <c r="X46" s="2">
        <f>ROUND(AK46,2)</f>
        <v>1084468.3799999999</v>
      </c>
      <c r="Y46" s="2">
        <f>ROUND(AL46,2)</f>
        <v>566000.23</v>
      </c>
      <c r="Z46" s="2"/>
      <c r="AA46" s="2"/>
      <c r="AB46" s="2">
        <f>ROUND(SUMIF(AA24:AA44,"=67204543",O24:O44),2)</f>
        <v>20043253.07</v>
      </c>
      <c r="AC46" s="2">
        <f>ROUND(SUMIF(AA24:AA44,"=67204543",P24:P44),2)</f>
        <v>18568550.32</v>
      </c>
      <c r="AD46" s="2">
        <f>ROUND(SUMIF(AA24:AA44,"=67204543",Q24:Q44),2)</f>
        <v>94214.399999999994</v>
      </c>
      <c r="AE46" s="2">
        <f>ROUND(SUMIF(AA24:AA44,"=67204543",R24:R44),2)</f>
        <v>19385.64</v>
      </c>
      <c r="AF46" s="2">
        <f>ROUND(SUMIF(AA24:AA44,"=67204543",S24:S44),2)</f>
        <v>1380488.35</v>
      </c>
      <c r="AG46" s="2">
        <f>ROUND(SUMIF(AA24:AA44,"=67204543",T24:T44),2)</f>
        <v>0</v>
      </c>
      <c r="AH46" s="2">
        <f>SUMIF(AA24:AA44,"=67204543",U24:U44)</f>
        <v>3384.9217799999997</v>
      </c>
      <c r="AI46" s="2">
        <f>SUMIF(AA24:AA44,"=67204543",V24:V44)</f>
        <v>0</v>
      </c>
      <c r="AJ46" s="2">
        <f>ROUND(SUMIF(AA24:AA44,"=67204543",W24:W44),2)</f>
        <v>0</v>
      </c>
      <c r="AK46" s="2">
        <f>ROUND(SUMIF(AA24:AA44,"=67204543",X24:X44),2)</f>
        <v>1084468.3799999999</v>
      </c>
      <c r="AL46" s="2">
        <f>ROUND(SUMIF(AA24:AA44,"=67204543",Y24:Y44),2)</f>
        <v>566000.23</v>
      </c>
      <c r="AM46" s="2"/>
      <c r="AN46" s="2"/>
      <c r="AO46" s="2">
        <f t="shared" ref="AO46:BD46" si="54">ROUND(BX46,2)</f>
        <v>0</v>
      </c>
      <c r="AP46" s="2">
        <f t="shared" si="54"/>
        <v>0</v>
      </c>
      <c r="AQ46" s="2">
        <f t="shared" si="54"/>
        <v>0</v>
      </c>
      <c r="AR46" s="2">
        <f t="shared" si="54"/>
        <v>21724738.699999999</v>
      </c>
      <c r="AS46" s="2">
        <f t="shared" si="54"/>
        <v>21685035.010000002</v>
      </c>
      <c r="AT46" s="2">
        <f t="shared" si="54"/>
        <v>0</v>
      </c>
      <c r="AU46" s="2">
        <f t="shared" si="54"/>
        <v>39703.69</v>
      </c>
      <c r="AV46" s="2">
        <f t="shared" si="54"/>
        <v>18568550.32</v>
      </c>
      <c r="AW46" s="2">
        <f t="shared" si="54"/>
        <v>18568550.32</v>
      </c>
      <c r="AX46" s="2">
        <f t="shared" si="54"/>
        <v>0</v>
      </c>
      <c r="AY46" s="2">
        <f t="shared" si="54"/>
        <v>18568550.32</v>
      </c>
      <c r="AZ46" s="2">
        <f t="shared" si="54"/>
        <v>0</v>
      </c>
      <c r="BA46" s="2">
        <f t="shared" si="54"/>
        <v>0</v>
      </c>
      <c r="BB46" s="2">
        <f t="shared" si="54"/>
        <v>0</v>
      </c>
      <c r="BC46" s="2">
        <f t="shared" si="54"/>
        <v>0</v>
      </c>
      <c r="BD46" s="2">
        <f t="shared" si="54"/>
        <v>0</v>
      </c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>
        <f>ROUND(SUMIF(AA24:AA44,"=67204543",FQ24:FQ44),2)</f>
        <v>0</v>
      </c>
      <c r="BY46" s="2">
        <f>ROUND(SUMIF(AA24:AA44,"=67204543",FR24:FR44),2)</f>
        <v>0</v>
      </c>
      <c r="BZ46" s="2">
        <f>ROUND(SUMIF(AA24:AA44,"=67204543",GL24:GL44),2)</f>
        <v>0</v>
      </c>
      <c r="CA46" s="2">
        <f>ROUND(SUMIF(AA24:AA44,"=67204543",GM24:GM44),2)</f>
        <v>21724738.699999999</v>
      </c>
      <c r="CB46" s="2">
        <f>ROUND(SUMIF(AA24:AA44,"=67204543",GN24:GN44),2)</f>
        <v>21685035.010000002</v>
      </c>
      <c r="CC46" s="2">
        <f>ROUND(SUMIF(AA24:AA44,"=67204543",GO24:GO44),2)</f>
        <v>0</v>
      </c>
      <c r="CD46" s="2">
        <f>ROUND(SUMIF(AA24:AA44,"=67204543",GP24:GP44),2)</f>
        <v>39703.69</v>
      </c>
      <c r="CE46" s="2">
        <f>AC46-BX46</f>
        <v>18568550.32</v>
      </c>
      <c r="CF46" s="2">
        <f>AC46-BY46</f>
        <v>18568550.32</v>
      </c>
      <c r="CG46" s="2">
        <f>BX46-BZ46</f>
        <v>0</v>
      </c>
      <c r="CH46" s="2">
        <f>AC46-BX46-BY46+BZ46</f>
        <v>18568550.32</v>
      </c>
      <c r="CI46" s="2">
        <f>BY46-BZ46</f>
        <v>0</v>
      </c>
      <c r="CJ46" s="2">
        <f>ROUND(SUMIF(AA24:AA44,"=67204543",GX24:GX44),2)</f>
        <v>0</v>
      </c>
      <c r="CK46" s="2">
        <f>ROUND(SUMIF(AA24:AA44,"=67204543",GY24:GY44),2)</f>
        <v>0</v>
      </c>
      <c r="CL46" s="2">
        <f>ROUND(SUMIF(AA24:AA44,"=67204543",GZ24:GZ44),2)</f>
        <v>0</v>
      </c>
      <c r="CM46" s="2">
        <f>ROUND(SUMIF(AA24:AA44,"=67204543",HD24:HD44),2)</f>
        <v>0</v>
      </c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>
        <v>0</v>
      </c>
    </row>
    <row r="48" spans="1:245" x14ac:dyDescent="0.2">
      <c r="A48" s="4">
        <v>50</v>
      </c>
      <c r="B48" s="4">
        <v>0</v>
      </c>
      <c r="C48" s="4">
        <v>0</v>
      </c>
      <c r="D48" s="4">
        <v>1</v>
      </c>
      <c r="E48" s="4">
        <v>201</v>
      </c>
      <c r="F48" s="4">
        <f>ROUND(Source!O46,O48)</f>
        <v>20043253.07</v>
      </c>
      <c r="G48" s="4" t="s">
        <v>119</v>
      </c>
      <c r="H48" s="4" t="s">
        <v>120</v>
      </c>
      <c r="I48" s="4"/>
      <c r="J48" s="4"/>
      <c r="K48" s="4">
        <v>201</v>
      </c>
      <c r="L48" s="4">
        <v>1</v>
      </c>
      <c r="M48" s="4">
        <v>3</v>
      </c>
      <c r="N48" s="4" t="s">
        <v>5</v>
      </c>
      <c r="O48" s="4">
        <v>2</v>
      </c>
      <c r="P48" s="4"/>
      <c r="Q48" s="4"/>
      <c r="R48" s="4"/>
      <c r="S48" s="4"/>
      <c r="T48" s="4"/>
      <c r="U48" s="4"/>
      <c r="V48" s="4"/>
      <c r="W48" s="4">
        <v>20043253.07</v>
      </c>
      <c r="X48" s="4">
        <v>1</v>
      </c>
      <c r="Y48" s="4">
        <v>20043253.07</v>
      </c>
      <c r="Z48" s="4"/>
      <c r="AA48" s="4"/>
      <c r="AB48" s="4"/>
    </row>
    <row r="49" spans="1:28" x14ac:dyDescent="0.2">
      <c r="A49" s="4">
        <v>50</v>
      </c>
      <c r="B49" s="4">
        <v>0</v>
      </c>
      <c r="C49" s="4">
        <v>0</v>
      </c>
      <c r="D49" s="4">
        <v>1</v>
      </c>
      <c r="E49" s="4">
        <v>202</v>
      </c>
      <c r="F49" s="4">
        <f>ROUND(Source!P46,O49)</f>
        <v>18568550.32</v>
      </c>
      <c r="G49" s="4" t="s">
        <v>121</v>
      </c>
      <c r="H49" s="4" t="s">
        <v>122</v>
      </c>
      <c r="I49" s="4"/>
      <c r="J49" s="4"/>
      <c r="K49" s="4">
        <v>202</v>
      </c>
      <c r="L49" s="4">
        <v>2</v>
      </c>
      <c r="M49" s="4">
        <v>3</v>
      </c>
      <c r="N49" s="4" t="s">
        <v>5</v>
      </c>
      <c r="O49" s="4">
        <v>2</v>
      </c>
      <c r="P49" s="4"/>
      <c r="Q49" s="4"/>
      <c r="R49" s="4"/>
      <c r="S49" s="4"/>
      <c r="T49" s="4"/>
      <c r="U49" s="4"/>
      <c r="V49" s="4"/>
      <c r="W49" s="4">
        <v>18568550.32</v>
      </c>
      <c r="X49" s="4">
        <v>1</v>
      </c>
      <c r="Y49" s="4">
        <v>18568550.32</v>
      </c>
      <c r="Z49" s="4"/>
      <c r="AA49" s="4"/>
      <c r="AB49" s="4"/>
    </row>
    <row r="50" spans="1:28" x14ac:dyDescent="0.2">
      <c r="A50" s="4">
        <v>50</v>
      </c>
      <c r="B50" s="4">
        <v>0</v>
      </c>
      <c r="C50" s="4">
        <v>0</v>
      </c>
      <c r="D50" s="4">
        <v>1</v>
      </c>
      <c r="E50" s="4">
        <v>222</v>
      </c>
      <c r="F50" s="4">
        <f>ROUND(Source!AO46,O50)</f>
        <v>0</v>
      </c>
      <c r="G50" s="4" t="s">
        <v>123</v>
      </c>
      <c r="H50" s="4" t="s">
        <v>124</v>
      </c>
      <c r="I50" s="4"/>
      <c r="J50" s="4"/>
      <c r="K50" s="4">
        <v>222</v>
      </c>
      <c r="L50" s="4">
        <v>3</v>
      </c>
      <c r="M50" s="4">
        <v>3</v>
      </c>
      <c r="N50" s="4" t="s">
        <v>5</v>
      </c>
      <c r="O50" s="4">
        <v>2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8" x14ac:dyDescent="0.2">
      <c r="A51" s="4">
        <v>50</v>
      </c>
      <c r="B51" s="4">
        <v>0</v>
      </c>
      <c r="C51" s="4">
        <v>0</v>
      </c>
      <c r="D51" s="4">
        <v>1</v>
      </c>
      <c r="E51" s="4">
        <v>225</v>
      </c>
      <c r="F51" s="4">
        <f>ROUND(Source!AV46,O51)</f>
        <v>18568550.32</v>
      </c>
      <c r="G51" s="4" t="s">
        <v>125</v>
      </c>
      <c r="H51" s="4" t="s">
        <v>126</v>
      </c>
      <c r="I51" s="4"/>
      <c r="J51" s="4"/>
      <c r="K51" s="4">
        <v>225</v>
      </c>
      <c r="L51" s="4">
        <v>4</v>
      </c>
      <c r="M51" s="4">
        <v>3</v>
      </c>
      <c r="N51" s="4" t="s">
        <v>5</v>
      </c>
      <c r="O51" s="4">
        <v>2</v>
      </c>
      <c r="P51" s="4"/>
      <c r="Q51" s="4"/>
      <c r="R51" s="4"/>
      <c r="S51" s="4"/>
      <c r="T51" s="4"/>
      <c r="U51" s="4"/>
      <c r="V51" s="4"/>
      <c r="W51" s="4">
        <v>18568550.32</v>
      </c>
      <c r="X51" s="4">
        <v>1</v>
      </c>
      <c r="Y51" s="4">
        <v>18568550.32</v>
      </c>
      <c r="Z51" s="4"/>
      <c r="AA51" s="4"/>
      <c r="AB51" s="4"/>
    </row>
    <row r="52" spans="1:28" x14ac:dyDescent="0.2">
      <c r="A52" s="4">
        <v>50</v>
      </c>
      <c r="B52" s="4">
        <v>0</v>
      </c>
      <c r="C52" s="4">
        <v>0</v>
      </c>
      <c r="D52" s="4">
        <v>1</v>
      </c>
      <c r="E52" s="4">
        <v>226</v>
      </c>
      <c r="F52" s="4">
        <f>ROUND(Source!AW46,O52)</f>
        <v>18568550.32</v>
      </c>
      <c r="G52" s="4" t="s">
        <v>127</v>
      </c>
      <c r="H52" s="4" t="s">
        <v>128</v>
      </c>
      <c r="I52" s="4"/>
      <c r="J52" s="4"/>
      <c r="K52" s="4">
        <v>226</v>
      </c>
      <c r="L52" s="4">
        <v>5</v>
      </c>
      <c r="M52" s="4">
        <v>3</v>
      </c>
      <c r="N52" s="4" t="s">
        <v>5</v>
      </c>
      <c r="O52" s="4">
        <v>2</v>
      </c>
      <c r="P52" s="4"/>
      <c r="Q52" s="4"/>
      <c r="R52" s="4"/>
      <c r="S52" s="4"/>
      <c r="T52" s="4"/>
      <c r="U52" s="4"/>
      <c r="V52" s="4"/>
      <c r="W52" s="4">
        <v>18568550.32</v>
      </c>
      <c r="X52" s="4">
        <v>1</v>
      </c>
      <c r="Y52" s="4">
        <v>18568550.32</v>
      </c>
      <c r="Z52" s="4"/>
      <c r="AA52" s="4"/>
      <c r="AB52" s="4"/>
    </row>
    <row r="53" spans="1:28" x14ac:dyDescent="0.2">
      <c r="A53" s="4">
        <v>50</v>
      </c>
      <c r="B53" s="4">
        <v>0</v>
      </c>
      <c r="C53" s="4">
        <v>0</v>
      </c>
      <c r="D53" s="4">
        <v>1</v>
      </c>
      <c r="E53" s="4">
        <v>227</v>
      </c>
      <c r="F53" s="4">
        <f>ROUND(Source!AX46,O53)</f>
        <v>0</v>
      </c>
      <c r="G53" s="4" t="s">
        <v>129</v>
      </c>
      <c r="H53" s="4" t="s">
        <v>130</v>
      </c>
      <c r="I53" s="4"/>
      <c r="J53" s="4"/>
      <c r="K53" s="4">
        <v>227</v>
      </c>
      <c r="L53" s="4">
        <v>6</v>
      </c>
      <c r="M53" s="4">
        <v>3</v>
      </c>
      <c r="N53" s="4" t="s">
        <v>5</v>
      </c>
      <c r="O53" s="4">
        <v>2</v>
      </c>
      <c r="P53" s="4"/>
      <c r="Q53" s="4"/>
      <c r="R53" s="4"/>
      <c r="S53" s="4"/>
      <c r="T53" s="4"/>
      <c r="U53" s="4"/>
      <c r="V53" s="4"/>
      <c r="W53" s="4">
        <v>0</v>
      </c>
      <c r="X53" s="4">
        <v>1</v>
      </c>
      <c r="Y53" s="4">
        <v>0</v>
      </c>
      <c r="Z53" s="4"/>
      <c r="AA53" s="4"/>
      <c r="AB53" s="4"/>
    </row>
    <row r="54" spans="1:28" x14ac:dyDescent="0.2">
      <c r="A54" s="4">
        <v>50</v>
      </c>
      <c r="B54" s="4">
        <v>0</v>
      </c>
      <c r="C54" s="4">
        <v>0</v>
      </c>
      <c r="D54" s="4">
        <v>1</v>
      </c>
      <c r="E54" s="4">
        <v>228</v>
      </c>
      <c r="F54" s="4">
        <f>ROUND(Source!AY46,O54)</f>
        <v>18568550.32</v>
      </c>
      <c r="G54" s="4" t="s">
        <v>131</v>
      </c>
      <c r="H54" s="4" t="s">
        <v>132</v>
      </c>
      <c r="I54" s="4"/>
      <c r="J54" s="4"/>
      <c r="K54" s="4">
        <v>228</v>
      </c>
      <c r="L54" s="4">
        <v>7</v>
      </c>
      <c r="M54" s="4">
        <v>3</v>
      </c>
      <c r="N54" s="4" t="s">
        <v>5</v>
      </c>
      <c r="O54" s="4">
        <v>2</v>
      </c>
      <c r="P54" s="4"/>
      <c r="Q54" s="4"/>
      <c r="R54" s="4"/>
      <c r="S54" s="4"/>
      <c r="T54" s="4"/>
      <c r="U54" s="4"/>
      <c r="V54" s="4"/>
      <c r="W54" s="4">
        <v>18568550.32</v>
      </c>
      <c r="X54" s="4">
        <v>1</v>
      </c>
      <c r="Y54" s="4">
        <v>18568550.32</v>
      </c>
      <c r="Z54" s="4"/>
      <c r="AA54" s="4"/>
      <c r="AB54" s="4"/>
    </row>
    <row r="55" spans="1:28" x14ac:dyDescent="0.2">
      <c r="A55" s="4">
        <v>50</v>
      </c>
      <c r="B55" s="4">
        <v>0</v>
      </c>
      <c r="C55" s="4">
        <v>0</v>
      </c>
      <c r="D55" s="4">
        <v>1</v>
      </c>
      <c r="E55" s="4">
        <v>216</v>
      </c>
      <c r="F55" s="4">
        <f>ROUND(Source!AP46,O55)</f>
        <v>0</v>
      </c>
      <c r="G55" s="4" t="s">
        <v>133</v>
      </c>
      <c r="H55" s="4" t="s">
        <v>134</v>
      </c>
      <c r="I55" s="4"/>
      <c r="J55" s="4"/>
      <c r="K55" s="4">
        <v>216</v>
      </c>
      <c r="L55" s="4">
        <v>8</v>
      </c>
      <c r="M55" s="4">
        <v>3</v>
      </c>
      <c r="N55" s="4" t="s">
        <v>5</v>
      </c>
      <c r="O55" s="4">
        <v>2</v>
      </c>
      <c r="P55" s="4"/>
      <c r="Q55" s="4"/>
      <c r="R55" s="4"/>
      <c r="S55" s="4"/>
      <c r="T55" s="4"/>
      <c r="U55" s="4"/>
      <c r="V55" s="4"/>
      <c r="W55" s="4">
        <v>0</v>
      </c>
      <c r="X55" s="4">
        <v>1</v>
      </c>
      <c r="Y55" s="4">
        <v>0</v>
      </c>
      <c r="Z55" s="4"/>
      <c r="AA55" s="4"/>
      <c r="AB55" s="4"/>
    </row>
    <row r="56" spans="1:28" x14ac:dyDescent="0.2">
      <c r="A56" s="4">
        <v>50</v>
      </c>
      <c r="B56" s="4">
        <v>0</v>
      </c>
      <c r="C56" s="4">
        <v>0</v>
      </c>
      <c r="D56" s="4">
        <v>1</v>
      </c>
      <c r="E56" s="4">
        <v>223</v>
      </c>
      <c r="F56" s="4">
        <f>ROUND(Source!AQ46,O56)</f>
        <v>0</v>
      </c>
      <c r="G56" s="4" t="s">
        <v>135</v>
      </c>
      <c r="H56" s="4" t="s">
        <v>136</v>
      </c>
      <c r="I56" s="4"/>
      <c r="J56" s="4"/>
      <c r="K56" s="4">
        <v>223</v>
      </c>
      <c r="L56" s="4">
        <v>9</v>
      </c>
      <c r="M56" s="4">
        <v>3</v>
      </c>
      <c r="N56" s="4" t="s">
        <v>5</v>
      </c>
      <c r="O56" s="4">
        <v>2</v>
      </c>
      <c r="P56" s="4"/>
      <c r="Q56" s="4"/>
      <c r="R56" s="4"/>
      <c r="S56" s="4"/>
      <c r="T56" s="4"/>
      <c r="U56" s="4"/>
      <c r="V56" s="4"/>
      <c r="W56" s="4">
        <v>0</v>
      </c>
      <c r="X56" s="4">
        <v>1</v>
      </c>
      <c r="Y56" s="4">
        <v>0</v>
      </c>
      <c r="Z56" s="4"/>
      <c r="AA56" s="4"/>
      <c r="AB56" s="4"/>
    </row>
    <row r="57" spans="1:28" x14ac:dyDescent="0.2">
      <c r="A57" s="4">
        <v>50</v>
      </c>
      <c r="B57" s="4">
        <v>0</v>
      </c>
      <c r="C57" s="4">
        <v>0</v>
      </c>
      <c r="D57" s="4">
        <v>1</v>
      </c>
      <c r="E57" s="4">
        <v>229</v>
      </c>
      <c r="F57" s="4">
        <f>ROUND(Source!AZ46,O57)</f>
        <v>0</v>
      </c>
      <c r="G57" s="4" t="s">
        <v>137</v>
      </c>
      <c r="H57" s="4" t="s">
        <v>138</v>
      </c>
      <c r="I57" s="4"/>
      <c r="J57" s="4"/>
      <c r="K57" s="4">
        <v>229</v>
      </c>
      <c r="L57" s="4">
        <v>10</v>
      </c>
      <c r="M57" s="4">
        <v>3</v>
      </c>
      <c r="N57" s="4" t="s">
        <v>5</v>
      </c>
      <c r="O57" s="4">
        <v>2</v>
      </c>
      <c r="P57" s="4"/>
      <c r="Q57" s="4"/>
      <c r="R57" s="4"/>
      <c r="S57" s="4"/>
      <c r="T57" s="4"/>
      <c r="U57" s="4"/>
      <c r="V57" s="4"/>
      <c r="W57" s="4">
        <v>0</v>
      </c>
      <c r="X57" s="4">
        <v>1</v>
      </c>
      <c r="Y57" s="4">
        <v>0</v>
      </c>
      <c r="Z57" s="4"/>
      <c r="AA57" s="4"/>
      <c r="AB57" s="4"/>
    </row>
    <row r="58" spans="1:28" x14ac:dyDescent="0.2">
      <c r="A58" s="4">
        <v>50</v>
      </c>
      <c r="B58" s="4">
        <v>0</v>
      </c>
      <c r="C58" s="4">
        <v>0</v>
      </c>
      <c r="D58" s="4">
        <v>1</v>
      </c>
      <c r="E58" s="4">
        <v>203</v>
      </c>
      <c r="F58" s="4">
        <f>ROUND(Source!Q46,O58)</f>
        <v>94214.399999999994</v>
      </c>
      <c r="G58" s="4" t="s">
        <v>139</v>
      </c>
      <c r="H58" s="4" t="s">
        <v>140</v>
      </c>
      <c r="I58" s="4"/>
      <c r="J58" s="4"/>
      <c r="K58" s="4">
        <v>203</v>
      </c>
      <c r="L58" s="4">
        <v>11</v>
      </c>
      <c r="M58" s="4">
        <v>3</v>
      </c>
      <c r="N58" s="4" t="s">
        <v>5</v>
      </c>
      <c r="O58" s="4">
        <v>2</v>
      </c>
      <c r="P58" s="4"/>
      <c r="Q58" s="4"/>
      <c r="R58" s="4"/>
      <c r="S58" s="4"/>
      <c r="T58" s="4"/>
      <c r="U58" s="4"/>
      <c r="V58" s="4"/>
      <c r="W58" s="4">
        <v>94214.399999999994</v>
      </c>
      <c r="X58" s="4">
        <v>1</v>
      </c>
      <c r="Y58" s="4">
        <v>94214.399999999994</v>
      </c>
      <c r="Z58" s="4"/>
      <c r="AA58" s="4"/>
      <c r="AB58" s="4"/>
    </row>
    <row r="59" spans="1:28" x14ac:dyDescent="0.2">
      <c r="A59" s="4">
        <v>50</v>
      </c>
      <c r="B59" s="4">
        <v>0</v>
      </c>
      <c r="C59" s="4">
        <v>0</v>
      </c>
      <c r="D59" s="4">
        <v>1</v>
      </c>
      <c r="E59" s="4">
        <v>231</v>
      </c>
      <c r="F59" s="4">
        <f>ROUND(Source!BB46,O59)</f>
        <v>0</v>
      </c>
      <c r="G59" s="4" t="s">
        <v>141</v>
      </c>
      <c r="H59" s="4" t="s">
        <v>142</v>
      </c>
      <c r="I59" s="4"/>
      <c r="J59" s="4"/>
      <c r="K59" s="4">
        <v>231</v>
      </c>
      <c r="L59" s="4">
        <v>12</v>
      </c>
      <c r="M59" s="4">
        <v>3</v>
      </c>
      <c r="N59" s="4" t="s">
        <v>5</v>
      </c>
      <c r="O59" s="4">
        <v>2</v>
      </c>
      <c r="P59" s="4"/>
      <c r="Q59" s="4"/>
      <c r="R59" s="4"/>
      <c r="S59" s="4"/>
      <c r="T59" s="4"/>
      <c r="U59" s="4"/>
      <c r="V59" s="4"/>
      <c r="W59" s="4">
        <v>0</v>
      </c>
      <c r="X59" s="4">
        <v>1</v>
      </c>
      <c r="Y59" s="4">
        <v>0</v>
      </c>
      <c r="Z59" s="4"/>
      <c r="AA59" s="4"/>
      <c r="AB59" s="4"/>
    </row>
    <row r="60" spans="1:28" x14ac:dyDescent="0.2">
      <c r="A60" s="4">
        <v>50</v>
      </c>
      <c r="B60" s="4">
        <v>0</v>
      </c>
      <c r="C60" s="4">
        <v>0</v>
      </c>
      <c r="D60" s="4">
        <v>1</v>
      </c>
      <c r="E60" s="4">
        <v>204</v>
      </c>
      <c r="F60" s="4">
        <f>ROUND(Source!R46,O60)</f>
        <v>19385.64</v>
      </c>
      <c r="G60" s="4" t="s">
        <v>143</v>
      </c>
      <c r="H60" s="4" t="s">
        <v>144</v>
      </c>
      <c r="I60" s="4"/>
      <c r="J60" s="4"/>
      <c r="K60" s="4">
        <v>204</v>
      </c>
      <c r="L60" s="4">
        <v>13</v>
      </c>
      <c r="M60" s="4">
        <v>3</v>
      </c>
      <c r="N60" s="4" t="s">
        <v>5</v>
      </c>
      <c r="O60" s="4">
        <v>2</v>
      </c>
      <c r="P60" s="4"/>
      <c r="Q60" s="4"/>
      <c r="R60" s="4"/>
      <c r="S60" s="4"/>
      <c r="T60" s="4"/>
      <c r="U60" s="4"/>
      <c r="V60" s="4"/>
      <c r="W60" s="4">
        <v>19385.64</v>
      </c>
      <c r="X60" s="4">
        <v>1</v>
      </c>
      <c r="Y60" s="4">
        <v>19385.64</v>
      </c>
      <c r="Z60" s="4"/>
      <c r="AA60" s="4"/>
      <c r="AB60" s="4"/>
    </row>
    <row r="61" spans="1:28" x14ac:dyDescent="0.2">
      <c r="A61" s="4">
        <v>50</v>
      </c>
      <c r="B61" s="4">
        <v>0</v>
      </c>
      <c r="C61" s="4">
        <v>0</v>
      </c>
      <c r="D61" s="4">
        <v>1</v>
      </c>
      <c r="E61" s="4">
        <v>205</v>
      </c>
      <c r="F61" s="4">
        <f>ROUND(Source!S46,O61)</f>
        <v>1380488.35</v>
      </c>
      <c r="G61" s="4" t="s">
        <v>145</v>
      </c>
      <c r="H61" s="4" t="s">
        <v>146</v>
      </c>
      <c r="I61" s="4"/>
      <c r="J61" s="4"/>
      <c r="K61" s="4">
        <v>205</v>
      </c>
      <c r="L61" s="4">
        <v>14</v>
      </c>
      <c r="M61" s="4">
        <v>3</v>
      </c>
      <c r="N61" s="4" t="s">
        <v>5</v>
      </c>
      <c r="O61" s="4">
        <v>2</v>
      </c>
      <c r="P61" s="4"/>
      <c r="Q61" s="4"/>
      <c r="R61" s="4"/>
      <c r="S61" s="4"/>
      <c r="T61" s="4"/>
      <c r="U61" s="4"/>
      <c r="V61" s="4"/>
      <c r="W61" s="4">
        <v>1380488.35</v>
      </c>
      <c r="X61" s="4">
        <v>1</v>
      </c>
      <c r="Y61" s="4">
        <v>1380488.35</v>
      </c>
      <c r="Z61" s="4"/>
      <c r="AA61" s="4"/>
      <c r="AB61" s="4"/>
    </row>
    <row r="62" spans="1:28" x14ac:dyDescent="0.2">
      <c r="A62" s="4">
        <v>50</v>
      </c>
      <c r="B62" s="4">
        <v>0</v>
      </c>
      <c r="C62" s="4">
        <v>0</v>
      </c>
      <c r="D62" s="4">
        <v>1</v>
      </c>
      <c r="E62" s="4">
        <v>232</v>
      </c>
      <c r="F62" s="4">
        <f>ROUND(Source!BC46,O62)</f>
        <v>0</v>
      </c>
      <c r="G62" s="4" t="s">
        <v>147</v>
      </c>
      <c r="H62" s="4" t="s">
        <v>148</v>
      </c>
      <c r="I62" s="4"/>
      <c r="J62" s="4"/>
      <c r="K62" s="4">
        <v>232</v>
      </c>
      <c r="L62" s="4">
        <v>15</v>
      </c>
      <c r="M62" s="4">
        <v>3</v>
      </c>
      <c r="N62" s="4" t="s">
        <v>5</v>
      </c>
      <c r="O62" s="4">
        <v>2</v>
      </c>
      <c r="P62" s="4"/>
      <c r="Q62" s="4"/>
      <c r="R62" s="4"/>
      <c r="S62" s="4"/>
      <c r="T62" s="4"/>
      <c r="U62" s="4"/>
      <c r="V62" s="4"/>
      <c r="W62" s="4">
        <v>0</v>
      </c>
      <c r="X62" s="4">
        <v>1</v>
      </c>
      <c r="Y62" s="4">
        <v>0</v>
      </c>
      <c r="Z62" s="4"/>
      <c r="AA62" s="4"/>
      <c r="AB62" s="4"/>
    </row>
    <row r="63" spans="1:28" x14ac:dyDescent="0.2">
      <c r="A63" s="4">
        <v>50</v>
      </c>
      <c r="B63" s="4">
        <v>0</v>
      </c>
      <c r="C63" s="4">
        <v>0</v>
      </c>
      <c r="D63" s="4">
        <v>1</v>
      </c>
      <c r="E63" s="4">
        <v>214</v>
      </c>
      <c r="F63" s="4">
        <f>ROUND(Source!AS46,O63)</f>
        <v>21685035.010000002</v>
      </c>
      <c r="G63" s="4" t="s">
        <v>149</v>
      </c>
      <c r="H63" s="4" t="s">
        <v>150</v>
      </c>
      <c r="I63" s="4"/>
      <c r="J63" s="4"/>
      <c r="K63" s="4">
        <v>214</v>
      </c>
      <c r="L63" s="4">
        <v>16</v>
      </c>
      <c r="M63" s="4">
        <v>3</v>
      </c>
      <c r="N63" s="4" t="s">
        <v>5</v>
      </c>
      <c r="O63" s="4">
        <v>2</v>
      </c>
      <c r="P63" s="4"/>
      <c r="Q63" s="4"/>
      <c r="R63" s="4"/>
      <c r="S63" s="4"/>
      <c r="T63" s="4"/>
      <c r="U63" s="4"/>
      <c r="V63" s="4"/>
      <c r="W63" s="4">
        <v>21685035.010000002</v>
      </c>
      <c r="X63" s="4">
        <v>1</v>
      </c>
      <c r="Y63" s="4">
        <v>21685035.010000002</v>
      </c>
      <c r="Z63" s="4"/>
      <c r="AA63" s="4"/>
      <c r="AB63" s="4"/>
    </row>
    <row r="64" spans="1:28" x14ac:dyDescent="0.2">
      <c r="A64" s="4">
        <v>50</v>
      </c>
      <c r="B64" s="4">
        <v>0</v>
      </c>
      <c r="C64" s="4">
        <v>0</v>
      </c>
      <c r="D64" s="4">
        <v>1</v>
      </c>
      <c r="E64" s="4">
        <v>215</v>
      </c>
      <c r="F64" s="4">
        <f>ROUND(Source!AT46,O64)</f>
        <v>0</v>
      </c>
      <c r="G64" s="4" t="s">
        <v>151</v>
      </c>
      <c r="H64" s="4" t="s">
        <v>152</v>
      </c>
      <c r="I64" s="4"/>
      <c r="J64" s="4"/>
      <c r="K64" s="4">
        <v>215</v>
      </c>
      <c r="L64" s="4">
        <v>17</v>
      </c>
      <c r="M64" s="4">
        <v>3</v>
      </c>
      <c r="N64" s="4" t="s">
        <v>5</v>
      </c>
      <c r="O64" s="4">
        <v>2</v>
      </c>
      <c r="P64" s="4"/>
      <c r="Q64" s="4"/>
      <c r="R64" s="4"/>
      <c r="S64" s="4"/>
      <c r="T64" s="4"/>
      <c r="U64" s="4"/>
      <c r="V64" s="4"/>
      <c r="W64" s="4">
        <v>0</v>
      </c>
      <c r="X64" s="4">
        <v>1</v>
      </c>
      <c r="Y64" s="4">
        <v>0</v>
      </c>
      <c r="Z64" s="4"/>
      <c r="AA64" s="4"/>
      <c r="AB64" s="4"/>
    </row>
    <row r="65" spans="1:206" x14ac:dyDescent="0.2">
      <c r="A65" s="4">
        <v>50</v>
      </c>
      <c r="B65" s="4">
        <v>0</v>
      </c>
      <c r="C65" s="4">
        <v>0</v>
      </c>
      <c r="D65" s="4">
        <v>1</v>
      </c>
      <c r="E65" s="4">
        <v>217</v>
      </c>
      <c r="F65" s="4">
        <f>ROUND(Source!AU46,O65)</f>
        <v>39703.69</v>
      </c>
      <c r="G65" s="4" t="s">
        <v>153</v>
      </c>
      <c r="H65" s="4" t="s">
        <v>154</v>
      </c>
      <c r="I65" s="4"/>
      <c r="J65" s="4"/>
      <c r="K65" s="4">
        <v>217</v>
      </c>
      <c r="L65" s="4">
        <v>18</v>
      </c>
      <c r="M65" s="4">
        <v>3</v>
      </c>
      <c r="N65" s="4" t="s">
        <v>5</v>
      </c>
      <c r="O65" s="4">
        <v>2</v>
      </c>
      <c r="P65" s="4"/>
      <c r="Q65" s="4"/>
      <c r="R65" s="4"/>
      <c r="S65" s="4"/>
      <c r="T65" s="4"/>
      <c r="U65" s="4"/>
      <c r="V65" s="4"/>
      <c r="W65" s="4">
        <v>39703.69</v>
      </c>
      <c r="X65" s="4">
        <v>1</v>
      </c>
      <c r="Y65" s="4">
        <v>39703.69</v>
      </c>
      <c r="Z65" s="4"/>
      <c r="AA65" s="4"/>
      <c r="AB65" s="4"/>
    </row>
    <row r="66" spans="1:206" x14ac:dyDescent="0.2">
      <c r="A66" s="4">
        <v>50</v>
      </c>
      <c r="B66" s="4">
        <v>0</v>
      </c>
      <c r="C66" s="4">
        <v>0</v>
      </c>
      <c r="D66" s="4">
        <v>1</v>
      </c>
      <c r="E66" s="4">
        <v>230</v>
      </c>
      <c r="F66" s="4">
        <f>ROUND(Source!BA46,O66)</f>
        <v>0</v>
      </c>
      <c r="G66" s="4" t="s">
        <v>155</v>
      </c>
      <c r="H66" s="4" t="s">
        <v>156</v>
      </c>
      <c r="I66" s="4"/>
      <c r="J66" s="4"/>
      <c r="K66" s="4">
        <v>230</v>
      </c>
      <c r="L66" s="4">
        <v>19</v>
      </c>
      <c r="M66" s="4">
        <v>3</v>
      </c>
      <c r="N66" s="4" t="s">
        <v>5</v>
      </c>
      <c r="O66" s="4">
        <v>2</v>
      </c>
      <c r="P66" s="4"/>
      <c r="Q66" s="4"/>
      <c r="R66" s="4"/>
      <c r="S66" s="4"/>
      <c r="T66" s="4"/>
      <c r="U66" s="4"/>
      <c r="V66" s="4"/>
      <c r="W66" s="4">
        <v>0</v>
      </c>
      <c r="X66" s="4">
        <v>1</v>
      </c>
      <c r="Y66" s="4">
        <v>0</v>
      </c>
      <c r="Z66" s="4"/>
      <c r="AA66" s="4"/>
      <c r="AB66" s="4"/>
    </row>
    <row r="67" spans="1:206" x14ac:dyDescent="0.2">
      <c r="A67" s="4">
        <v>50</v>
      </c>
      <c r="B67" s="4">
        <v>0</v>
      </c>
      <c r="C67" s="4">
        <v>0</v>
      </c>
      <c r="D67" s="4">
        <v>1</v>
      </c>
      <c r="E67" s="4">
        <v>206</v>
      </c>
      <c r="F67" s="4">
        <f>ROUND(Source!T46,O67)</f>
        <v>0</v>
      </c>
      <c r="G67" s="4" t="s">
        <v>157</v>
      </c>
      <c r="H67" s="4" t="s">
        <v>158</v>
      </c>
      <c r="I67" s="4"/>
      <c r="J67" s="4"/>
      <c r="K67" s="4">
        <v>206</v>
      </c>
      <c r="L67" s="4">
        <v>20</v>
      </c>
      <c r="M67" s="4">
        <v>3</v>
      </c>
      <c r="N67" s="4" t="s">
        <v>5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207</v>
      </c>
      <c r="F68" s="4">
        <f>Source!U46</f>
        <v>3384.9217799999997</v>
      </c>
      <c r="G68" s="4" t="s">
        <v>159</v>
      </c>
      <c r="H68" s="4" t="s">
        <v>160</v>
      </c>
      <c r="I68" s="4"/>
      <c r="J68" s="4"/>
      <c r="K68" s="4">
        <v>207</v>
      </c>
      <c r="L68" s="4">
        <v>21</v>
      </c>
      <c r="M68" s="4">
        <v>3</v>
      </c>
      <c r="N68" s="4" t="s">
        <v>5</v>
      </c>
      <c r="O68" s="4">
        <v>-1</v>
      </c>
      <c r="P68" s="4"/>
      <c r="Q68" s="4"/>
      <c r="R68" s="4"/>
      <c r="S68" s="4"/>
      <c r="T68" s="4"/>
      <c r="U68" s="4"/>
      <c r="V68" s="4"/>
      <c r="W68" s="4">
        <v>3384.9217800000006</v>
      </c>
      <c r="X68" s="4">
        <v>1</v>
      </c>
      <c r="Y68" s="4">
        <v>3384.9217800000006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208</v>
      </c>
      <c r="F69" s="4">
        <f>Source!V46</f>
        <v>0</v>
      </c>
      <c r="G69" s="4" t="s">
        <v>161</v>
      </c>
      <c r="H69" s="4" t="s">
        <v>162</v>
      </c>
      <c r="I69" s="4"/>
      <c r="J69" s="4"/>
      <c r="K69" s="4">
        <v>208</v>
      </c>
      <c r="L69" s="4">
        <v>22</v>
      </c>
      <c r="M69" s="4">
        <v>3</v>
      </c>
      <c r="N69" s="4" t="s">
        <v>5</v>
      </c>
      <c r="O69" s="4">
        <v>-1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209</v>
      </c>
      <c r="F70" s="4">
        <f>ROUND(Source!W46,O70)</f>
        <v>0</v>
      </c>
      <c r="G70" s="4" t="s">
        <v>163</v>
      </c>
      <c r="H70" s="4" t="s">
        <v>164</v>
      </c>
      <c r="I70" s="4"/>
      <c r="J70" s="4"/>
      <c r="K70" s="4">
        <v>209</v>
      </c>
      <c r="L70" s="4">
        <v>23</v>
      </c>
      <c r="M70" s="4">
        <v>3</v>
      </c>
      <c r="N70" s="4" t="s">
        <v>5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233</v>
      </c>
      <c r="F71" s="4">
        <f>ROUND(Source!BD46,O71)</f>
        <v>0</v>
      </c>
      <c r="G71" s="4" t="s">
        <v>165</v>
      </c>
      <c r="H71" s="4" t="s">
        <v>166</v>
      </c>
      <c r="I71" s="4"/>
      <c r="J71" s="4"/>
      <c r="K71" s="4">
        <v>233</v>
      </c>
      <c r="L71" s="4">
        <v>24</v>
      </c>
      <c r="M71" s="4">
        <v>3</v>
      </c>
      <c r="N71" s="4" t="s">
        <v>5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210</v>
      </c>
      <c r="F72" s="4">
        <f>ROUND(Source!X46,O72)</f>
        <v>1084468.3799999999</v>
      </c>
      <c r="G72" s="4" t="s">
        <v>167</v>
      </c>
      <c r="H72" s="4" t="s">
        <v>168</v>
      </c>
      <c r="I72" s="4"/>
      <c r="J72" s="4"/>
      <c r="K72" s="4">
        <v>210</v>
      </c>
      <c r="L72" s="4">
        <v>25</v>
      </c>
      <c r="M72" s="4">
        <v>3</v>
      </c>
      <c r="N72" s="4" t="s">
        <v>5</v>
      </c>
      <c r="O72" s="4">
        <v>2</v>
      </c>
      <c r="P72" s="4"/>
      <c r="Q72" s="4"/>
      <c r="R72" s="4"/>
      <c r="S72" s="4"/>
      <c r="T72" s="4"/>
      <c r="U72" s="4"/>
      <c r="V72" s="4"/>
      <c r="W72" s="4">
        <v>1084468.3799999999</v>
      </c>
      <c r="X72" s="4">
        <v>1</v>
      </c>
      <c r="Y72" s="4">
        <v>1084468.3799999999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211</v>
      </c>
      <c r="F73" s="4">
        <f>ROUND(Source!Y46,O73)</f>
        <v>566000.23</v>
      </c>
      <c r="G73" s="4" t="s">
        <v>169</v>
      </c>
      <c r="H73" s="4" t="s">
        <v>170</v>
      </c>
      <c r="I73" s="4"/>
      <c r="J73" s="4"/>
      <c r="K73" s="4">
        <v>211</v>
      </c>
      <c r="L73" s="4">
        <v>26</v>
      </c>
      <c r="M73" s="4">
        <v>3</v>
      </c>
      <c r="N73" s="4" t="s">
        <v>5</v>
      </c>
      <c r="O73" s="4">
        <v>2</v>
      </c>
      <c r="P73" s="4"/>
      <c r="Q73" s="4"/>
      <c r="R73" s="4"/>
      <c r="S73" s="4"/>
      <c r="T73" s="4"/>
      <c r="U73" s="4"/>
      <c r="V73" s="4"/>
      <c r="W73" s="4">
        <v>566000.23</v>
      </c>
      <c r="X73" s="4">
        <v>1</v>
      </c>
      <c r="Y73" s="4">
        <v>566000.23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224</v>
      </c>
      <c r="F74" s="4">
        <f>ROUND(Source!AR46,O74)</f>
        <v>21724738.699999999</v>
      </c>
      <c r="G74" s="4" t="s">
        <v>171</v>
      </c>
      <c r="H74" s="4" t="s">
        <v>172</v>
      </c>
      <c r="I74" s="4"/>
      <c r="J74" s="4"/>
      <c r="K74" s="4">
        <v>224</v>
      </c>
      <c r="L74" s="4">
        <v>27</v>
      </c>
      <c r="M74" s="4">
        <v>3</v>
      </c>
      <c r="N74" s="4" t="s">
        <v>5</v>
      </c>
      <c r="O74" s="4">
        <v>2</v>
      </c>
      <c r="P74" s="4"/>
      <c r="Q74" s="4"/>
      <c r="R74" s="4"/>
      <c r="S74" s="4"/>
      <c r="T74" s="4"/>
      <c r="U74" s="4"/>
      <c r="V74" s="4"/>
      <c r="W74" s="4">
        <v>21724738.699999999</v>
      </c>
      <c r="X74" s="4">
        <v>1</v>
      </c>
      <c r="Y74" s="4">
        <v>21724738.699999999</v>
      </c>
      <c r="Z74" s="4"/>
      <c r="AA74" s="4"/>
      <c r="AB74" s="4"/>
    </row>
    <row r="76" spans="1:206" x14ac:dyDescent="0.2">
      <c r="A76" s="2">
        <v>51</v>
      </c>
      <c r="B76" s="2">
        <f>B12</f>
        <v>116</v>
      </c>
      <c r="C76" s="2">
        <f>A12</f>
        <v>1</v>
      </c>
      <c r="D76" s="2">
        <f>ROW(A12)</f>
        <v>12</v>
      </c>
      <c r="E76" s="2"/>
      <c r="F76" s="2" t="str">
        <f>IF(F12&lt;&gt;"",F12,"")</f>
        <v>4/4</v>
      </c>
      <c r="G76" s="2" t="str">
        <f>IF(G12&lt;&gt;"",G12,"")</f>
        <v>Окна и балконы</v>
      </c>
      <c r="H76" s="2">
        <v>0</v>
      </c>
      <c r="I76" s="2"/>
      <c r="J76" s="2"/>
      <c r="K76" s="2"/>
      <c r="L76" s="2"/>
      <c r="M76" s="2"/>
      <c r="N76" s="2"/>
      <c r="O76" s="2">
        <f t="shared" ref="O76:T76" si="55">ROUND(O46,2)</f>
        <v>20043253.07</v>
      </c>
      <c r="P76" s="2">
        <f t="shared" si="55"/>
        <v>18568550.32</v>
      </c>
      <c r="Q76" s="2">
        <f t="shared" si="55"/>
        <v>94214.399999999994</v>
      </c>
      <c r="R76" s="2">
        <f t="shared" si="55"/>
        <v>19385.64</v>
      </c>
      <c r="S76" s="2">
        <f t="shared" si="55"/>
        <v>1380488.35</v>
      </c>
      <c r="T76" s="2">
        <f t="shared" si="55"/>
        <v>0</v>
      </c>
      <c r="U76" s="2">
        <f>U46</f>
        <v>3384.9217799999997</v>
      </c>
      <c r="V76" s="2">
        <f>V46</f>
        <v>0</v>
      </c>
      <c r="W76" s="2">
        <f>ROUND(W46,2)</f>
        <v>0</v>
      </c>
      <c r="X76" s="2">
        <f>ROUND(X46,2)</f>
        <v>1084468.3799999999</v>
      </c>
      <c r="Y76" s="2">
        <f>ROUND(Y46,2)</f>
        <v>566000.23</v>
      </c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>
        <f t="shared" ref="AO76:BD76" si="56">ROUND(AO46,2)</f>
        <v>0</v>
      </c>
      <c r="AP76" s="2">
        <f t="shared" si="56"/>
        <v>0</v>
      </c>
      <c r="AQ76" s="2">
        <f t="shared" si="56"/>
        <v>0</v>
      </c>
      <c r="AR76" s="2">
        <f t="shared" si="56"/>
        <v>21724738.699999999</v>
      </c>
      <c r="AS76" s="2">
        <f t="shared" si="56"/>
        <v>21685035.010000002</v>
      </c>
      <c r="AT76" s="2">
        <f t="shared" si="56"/>
        <v>0</v>
      </c>
      <c r="AU76" s="2">
        <f t="shared" si="56"/>
        <v>39703.69</v>
      </c>
      <c r="AV76" s="2">
        <f t="shared" si="56"/>
        <v>18568550.32</v>
      </c>
      <c r="AW76" s="2">
        <f t="shared" si="56"/>
        <v>18568550.32</v>
      </c>
      <c r="AX76" s="2">
        <f t="shared" si="56"/>
        <v>0</v>
      </c>
      <c r="AY76" s="2">
        <f t="shared" si="56"/>
        <v>18568550.32</v>
      </c>
      <c r="AZ76" s="2">
        <f t="shared" si="56"/>
        <v>0</v>
      </c>
      <c r="BA76" s="2">
        <f t="shared" si="56"/>
        <v>0</v>
      </c>
      <c r="BB76" s="2">
        <f t="shared" si="56"/>
        <v>0</v>
      </c>
      <c r="BC76" s="2">
        <f t="shared" si="56"/>
        <v>0</v>
      </c>
      <c r="BD76" s="2">
        <f t="shared" si="56"/>
        <v>0</v>
      </c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>
        <v>0</v>
      </c>
    </row>
    <row r="78" spans="1:206" x14ac:dyDescent="0.2">
      <c r="A78" s="4">
        <v>50</v>
      </c>
      <c r="B78" s="4">
        <v>0</v>
      </c>
      <c r="C78" s="4">
        <v>0</v>
      </c>
      <c r="D78" s="4">
        <v>1</v>
      </c>
      <c r="E78" s="4">
        <v>201</v>
      </c>
      <c r="F78" s="4">
        <f>ROUND(Source!O76,O78)</f>
        <v>20043253.07</v>
      </c>
      <c r="G78" s="4" t="s">
        <v>119</v>
      </c>
      <c r="H78" s="4" t="s">
        <v>120</v>
      </c>
      <c r="I78" s="4"/>
      <c r="J78" s="4"/>
      <c r="K78" s="4">
        <v>201</v>
      </c>
      <c r="L78" s="4">
        <v>1</v>
      </c>
      <c r="M78" s="4">
        <v>3</v>
      </c>
      <c r="N78" s="4" t="s">
        <v>5</v>
      </c>
      <c r="O78" s="4">
        <v>2</v>
      </c>
      <c r="P78" s="4"/>
      <c r="Q78" s="4"/>
      <c r="R78" s="4"/>
      <c r="S78" s="4"/>
      <c r="T78" s="4"/>
      <c r="U78" s="4"/>
      <c r="V78" s="4"/>
      <c r="W78" s="4">
        <v>20043253.07</v>
      </c>
      <c r="X78" s="4">
        <v>1</v>
      </c>
      <c r="Y78" s="4">
        <v>20043253.07</v>
      </c>
      <c r="Z78" s="4"/>
      <c r="AA78" s="4"/>
      <c r="AB78" s="4"/>
    </row>
    <row r="79" spans="1:206" x14ac:dyDescent="0.2">
      <c r="A79" s="4">
        <v>50</v>
      </c>
      <c r="B79" s="4">
        <v>0</v>
      </c>
      <c r="C79" s="4">
        <v>0</v>
      </c>
      <c r="D79" s="4">
        <v>1</v>
      </c>
      <c r="E79" s="4">
        <v>202</v>
      </c>
      <c r="F79" s="4">
        <f>ROUND(Source!P76,O79)</f>
        <v>18568550.32</v>
      </c>
      <c r="G79" s="4" t="s">
        <v>121</v>
      </c>
      <c r="H79" s="4" t="s">
        <v>122</v>
      </c>
      <c r="I79" s="4"/>
      <c r="J79" s="4"/>
      <c r="K79" s="4">
        <v>202</v>
      </c>
      <c r="L79" s="4">
        <v>2</v>
      </c>
      <c r="M79" s="4">
        <v>3</v>
      </c>
      <c r="N79" s="4" t="s">
        <v>5</v>
      </c>
      <c r="O79" s="4">
        <v>2</v>
      </c>
      <c r="P79" s="4"/>
      <c r="Q79" s="4"/>
      <c r="R79" s="4"/>
      <c r="S79" s="4"/>
      <c r="T79" s="4"/>
      <c r="U79" s="4"/>
      <c r="V79" s="4"/>
      <c r="W79" s="4">
        <v>18568550.32</v>
      </c>
      <c r="X79" s="4">
        <v>1</v>
      </c>
      <c r="Y79" s="4">
        <v>18568550.32</v>
      </c>
      <c r="Z79" s="4"/>
      <c r="AA79" s="4"/>
      <c r="AB79" s="4"/>
    </row>
    <row r="80" spans="1:206" x14ac:dyDescent="0.2">
      <c r="A80" s="4">
        <v>50</v>
      </c>
      <c r="B80" s="4">
        <v>0</v>
      </c>
      <c r="C80" s="4">
        <v>0</v>
      </c>
      <c r="D80" s="4">
        <v>1</v>
      </c>
      <c r="E80" s="4">
        <v>222</v>
      </c>
      <c r="F80" s="4">
        <f>ROUND(Source!AO76,O80)</f>
        <v>0</v>
      </c>
      <c r="G80" s="4" t="s">
        <v>123</v>
      </c>
      <c r="H80" s="4" t="s">
        <v>124</v>
      </c>
      <c r="I80" s="4"/>
      <c r="J80" s="4"/>
      <c r="K80" s="4">
        <v>222</v>
      </c>
      <c r="L80" s="4">
        <v>3</v>
      </c>
      <c r="M80" s="4">
        <v>3</v>
      </c>
      <c r="N80" s="4" t="s">
        <v>5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225</v>
      </c>
      <c r="F81" s="4">
        <f>ROUND(Source!AV76,O81)</f>
        <v>18568550.32</v>
      </c>
      <c r="G81" s="4" t="s">
        <v>125</v>
      </c>
      <c r="H81" s="4" t="s">
        <v>126</v>
      </c>
      <c r="I81" s="4"/>
      <c r="J81" s="4"/>
      <c r="K81" s="4">
        <v>225</v>
      </c>
      <c r="L81" s="4">
        <v>4</v>
      </c>
      <c r="M81" s="4">
        <v>3</v>
      </c>
      <c r="N81" s="4" t="s">
        <v>5</v>
      </c>
      <c r="O81" s="4">
        <v>2</v>
      </c>
      <c r="P81" s="4"/>
      <c r="Q81" s="4"/>
      <c r="R81" s="4"/>
      <c r="S81" s="4"/>
      <c r="T81" s="4"/>
      <c r="U81" s="4"/>
      <c r="V81" s="4"/>
      <c r="W81" s="4">
        <v>18568550.32</v>
      </c>
      <c r="X81" s="4">
        <v>1</v>
      </c>
      <c r="Y81" s="4">
        <v>18568550.32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226</v>
      </c>
      <c r="F82" s="4">
        <f>ROUND(Source!AW76,O82)</f>
        <v>18568550.32</v>
      </c>
      <c r="G82" s="4" t="s">
        <v>127</v>
      </c>
      <c r="H82" s="4" t="s">
        <v>128</v>
      </c>
      <c r="I82" s="4"/>
      <c r="J82" s="4"/>
      <c r="K82" s="4">
        <v>226</v>
      </c>
      <c r="L82" s="4">
        <v>5</v>
      </c>
      <c r="M82" s="4">
        <v>3</v>
      </c>
      <c r="N82" s="4" t="s">
        <v>5</v>
      </c>
      <c r="O82" s="4">
        <v>2</v>
      </c>
      <c r="P82" s="4"/>
      <c r="Q82" s="4"/>
      <c r="R82" s="4"/>
      <c r="S82" s="4"/>
      <c r="T82" s="4"/>
      <c r="U82" s="4"/>
      <c r="V82" s="4"/>
      <c r="W82" s="4">
        <v>18568550.32</v>
      </c>
      <c r="X82" s="4">
        <v>1</v>
      </c>
      <c r="Y82" s="4">
        <v>18568550.32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227</v>
      </c>
      <c r="F83" s="4">
        <f>ROUND(Source!AX76,O83)</f>
        <v>0</v>
      </c>
      <c r="G83" s="4" t="s">
        <v>129</v>
      </c>
      <c r="H83" s="4" t="s">
        <v>130</v>
      </c>
      <c r="I83" s="4"/>
      <c r="J83" s="4"/>
      <c r="K83" s="4">
        <v>227</v>
      </c>
      <c r="L83" s="4">
        <v>6</v>
      </c>
      <c r="M83" s="4">
        <v>3</v>
      </c>
      <c r="N83" s="4" t="s">
        <v>5</v>
      </c>
      <c r="O83" s="4">
        <v>2</v>
      </c>
      <c r="P83" s="4"/>
      <c r="Q83" s="4"/>
      <c r="R83" s="4"/>
      <c r="S83" s="4"/>
      <c r="T83" s="4"/>
      <c r="U83" s="4"/>
      <c r="V83" s="4"/>
      <c r="W83" s="4">
        <v>0</v>
      </c>
      <c r="X83" s="4">
        <v>1</v>
      </c>
      <c r="Y83" s="4">
        <v>0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228</v>
      </c>
      <c r="F84" s="4">
        <f>ROUND(Source!AY76,O84)</f>
        <v>18568550.32</v>
      </c>
      <c r="G84" s="4" t="s">
        <v>131</v>
      </c>
      <c r="H84" s="4" t="s">
        <v>132</v>
      </c>
      <c r="I84" s="4"/>
      <c r="J84" s="4"/>
      <c r="K84" s="4">
        <v>228</v>
      </c>
      <c r="L84" s="4">
        <v>7</v>
      </c>
      <c r="M84" s="4">
        <v>3</v>
      </c>
      <c r="N84" s="4" t="s">
        <v>5</v>
      </c>
      <c r="O84" s="4">
        <v>2</v>
      </c>
      <c r="P84" s="4"/>
      <c r="Q84" s="4"/>
      <c r="R84" s="4"/>
      <c r="S84" s="4"/>
      <c r="T84" s="4"/>
      <c r="U84" s="4"/>
      <c r="V84" s="4"/>
      <c r="W84" s="4">
        <v>18568550.32</v>
      </c>
      <c r="X84" s="4">
        <v>1</v>
      </c>
      <c r="Y84" s="4">
        <v>18568550.32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216</v>
      </c>
      <c r="F85" s="4">
        <f>ROUND(Source!AP76,O85)</f>
        <v>0</v>
      </c>
      <c r="G85" s="4" t="s">
        <v>133</v>
      </c>
      <c r="H85" s="4" t="s">
        <v>134</v>
      </c>
      <c r="I85" s="4"/>
      <c r="J85" s="4"/>
      <c r="K85" s="4">
        <v>216</v>
      </c>
      <c r="L85" s="4">
        <v>8</v>
      </c>
      <c r="M85" s="4">
        <v>3</v>
      </c>
      <c r="N85" s="4" t="s">
        <v>5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223</v>
      </c>
      <c r="F86" s="4">
        <f>ROUND(Source!AQ76,O86)</f>
        <v>0</v>
      </c>
      <c r="G86" s="4" t="s">
        <v>135</v>
      </c>
      <c r="H86" s="4" t="s">
        <v>136</v>
      </c>
      <c r="I86" s="4"/>
      <c r="J86" s="4"/>
      <c r="K86" s="4">
        <v>223</v>
      </c>
      <c r="L86" s="4">
        <v>9</v>
      </c>
      <c r="M86" s="4">
        <v>3</v>
      </c>
      <c r="N86" s="4" t="s">
        <v>5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229</v>
      </c>
      <c r="F87" s="4">
        <f>ROUND(Source!AZ76,O87)</f>
        <v>0</v>
      </c>
      <c r="G87" s="4" t="s">
        <v>137</v>
      </c>
      <c r="H87" s="4" t="s">
        <v>138</v>
      </c>
      <c r="I87" s="4"/>
      <c r="J87" s="4"/>
      <c r="K87" s="4">
        <v>229</v>
      </c>
      <c r="L87" s="4">
        <v>10</v>
      </c>
      <c r="M87" s="4">
        <v>3</v>
      </c>
      <c r="N87" s="4" t="s">
        <v>5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203</v>
      </c>
      <c r="F88" s="4">
        <f>ROUND(Source!Q76,O88)</f>
        <v>94214.399999999994</v>
      </c>
      <c r="G88" s="4" t="s">
        <v>139</v>
      </c>
      <c r="H88" s="4" t="s">
        <v>140</v>
      </c>
      <c r="I88" s="4"/>
      <c r="J88" s="4"/>
      <c r="K88" s="4">
        <v>203</v>
      </c>
      <c r="L88" s="4">
        <v>11</v>
      </c>
      <c r="M88" s="4">
        <v>3</v>
      </c>
      <c r="N88" s="4" t="s">
        <v>5</v>
      </c>
      <c r="O88" s="4">
        <v>2</v>
      </c>
      <c r="P88" s="4"/>
      <c r="Q88" s="4"/>
      <c r="R88" s="4"/>
      <c r="S88" s="4"/>
      <c r="T88" s="4"/>
      <c r="U88" s="4"/>
      <c r="V88" s="4"/>
      <c r="W88" s="4">
        <v>94214.399999999994</v>
      </c>
      <c r="X88" s="4">
        <v>1</v>
      </c>
      <c r="Y88" s="4">
        <v>94214.399999999994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231</v>
      </c>
      <c r="F89" s="4">
        <f>ROUND(Source!BB76,O89)</f>
        <v>0</v>
      </c>
      <c r="G89" s="4" t="s">
        <v>141</v>
      </c>
      <c r="H89" s="4" t="s">
        <v>142</v>
      </c>
      <c r="I89" s="4"/>
      <c r="J89" s="4"/>
      <c r="K89" s="4">
        <v>231</v>
      </c>
      <c r="L89" s="4">
        <v>12</v>
      </c>
      <c r="M89" s="4">
        <v>3</v>
      </c>
      <c r="N89" s="4" t="s">
        <v>5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204</v>
      </c>
      <c r="F90" s="4">
        <f>ROUND(Source!R76,O90)</f>
        <v>19385.64</v>
      </c>
      <c r="G90" s="4" t="s">
        <v>143</v>
      </c>
      <c r="H90" s="4" t="s">
        <v>144</v>
      </c>
      <c r="I90" s="4"/>
      <c r="J90" s="4"/>
      <c r="K90" s="4">
        <v>204</v>
      </c>
      <c r="L90" s="4">
        <v>13</v>
      </c>
      <c r="M90" s="4">
        <v>3</v>
      </c>
      <c r="N90" s="4" t="s">
        <v>5</v>
      </c>
      <c r="O90" s="4">
        <v>2</v>
      </c>
      <c r="P90" s="4"/>
      <c r="Q90" s="4"/>
      <c r="R90" s="4"/>
      <c r="S90" s="4"/>
      <c r="T90" s="4"/>
      <c r="U90" s="4"/>
      <c r="V90" s="4"/>
      <c r="W90" s="4">
        <v>19385.64</v>
      </c>
      <c r="X90" s="4">
        <v>1</v>
      </c>
      <c r="Y90" s="4">
        <v>19385.64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205</v>
      </c>
      <c r="F91" s="4">
        <f>ROUND(Source!S76,O91)</f>
        <v>1380488.35</v>
      </c>
      <c r="G91" s="4" t="s">
        <v>145</v>
      </c>
      <c r="H91" s="4" t="s">
        <v>146</v>
      </c>
      <c r="I91" s="4"/>
      <c r="J91" s="4"/>
      <c r="K91" s="4">
        <v>205</v>
      </c>
      <c r="L91" s="4">
        <v>14</v>
      </c>
      <c r="M91" s="4">
        <v>3</v>
      </c>
      <c r="N91" s="4" t="s">
        <v>5</v>
      </c>
      <c r="O91" s="4">
        <v>2</v>
      </c>
      <c r="P91" s="4"/>
      <c r="Q91" s="4"/>
      <c r="R91" s="4"/>
      <c r="S91" s="4"/>
      <c r="T91" s="4"/>
      <c r="U91" s="4"/>
      <c r="V91" s="4"/>
      <c r="W91" s="4">
        <v>1380488.35</v>
      </c>
      <c r="X91" s="4">
        <v>1</v>
      </c>
      <c r="Y91" s="4">
        <v>1380488.35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232</v>
      </c>
      <c r="F92" s="4">
        <f>ROUND(Source!BC76,O92)</f>
        <v>0</v>
      </c>
      <c r="G92" s="4" t="s">
        <v>147</v>
      </c>
      <c r="H92" s="4" t="s">
        <v>148</v>
      </c>
      <c r="I92" s="4"/>
      <c r="J92" s="4"/>
      <c r="K92" s="4">
        <v>232</v>
      </c>
      <c r="L92" s="4">
        <v>15</v>
      </c>
      <c r="M92" s="4">
        <v>3</v>
      </c>
      <c r="N92" s="4" t="s">
        <v>5</v>
      </c>
      <c r="O92" s="4">
        <v>2</v>
      </c>
      <c r="P92" s="4"/>
      <c r="Q92" s="4"/>
      <c r="R92" s="4"/>
      <c r="S92" s="4"/>
      <c r="T92" s="4"/>
      <c r="U92" s="4"/>
      <c r="V92" s="4"/>
      <c r="W92" s="4">
        <v>0</v>
      </c>
      <c r="X92" s="4">
        <v>1</v>
      </c>
      <c r="Y92" s="4">
        <v>0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214</v>
      </c>
      <c r="F93" s="4">
        <f>ROUND(Source!AS76,O93)</f>
        <v>21685035.010000002</v>
      </c>
      <c r="G93" s="4" t="s">
        <v>149</v>
      </c>
      <c r="H93" s="4" t="s">
        <v>150</v>
      </c>
      <c r="I93" s="4"/>
      <c r="J93" s="4"/>
      <c r="K93" s="4">
        <v>214</v>
      </c>
      <c r="L93" s="4">
        <v>16</v>
      </c>
      <c r="M93" s="4">
        <v>3</v>
      </c>
      <c r="N93" s="4" t="s">
        <v>5</v>
      </c>
      <c r="O93" s="4">
        <v>2</v>
      </c>
      <c r="P93" s="4"/>
      <c r="Q93" s="4"/>
      <c r="R93" s="4"/>
      <c r="S93" s="4"/>
      <c r="T93" s="4"/>
      <c r="U93" s="4"/>
      <c r="V93" s="4"/>
      <c r="W93" s="4">
        <v>21685035.010000002</v>
      </c>
      <c r="X93" s="4">
        <v>1</v>
      </c>
      <c r="Y93" s="4">
        <v>21685035.010000002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215</v>
      </c>
      <c r="F94" s="4">
        <f>ROUND(Source!AT76,O94)</f>
        <v>0</v>
      </c>
      <c r="G94" s="4" t="s">
        <v>151</v>
      </c>
      <c r="H94" s="4" t="s">
        <v>152</v>
      </c>
      <c r="I94" s="4"/>
      <c r="J94" s="4"/>
      <c r="K94" s="4">
        <v>215</v>
      </c>
      <c r="L94" s="4">
        <v>17</v>
      </c>
      <c r="M94" s="4">
        <v>3</v>
      </c>
      <c r="N94" s="4" t="s">
        <v>5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217</v>
      </c>
      <c r="F95" s="4">
        <f>ROUND(Source!AU76,O95)</f>
        <v>39703.69</v>
      </c>
      <c r="G95" s="4" t="s">
        <v>153</v>
      </c>
      <c r="H95" s="4" t="s">
        <v>154</v>
      </c>
      <c r="I95" s="4"/>
      <c r="J95" s="4"/>
      <c r="K95" s="4">
        <v>217</v>
      </c>
      <c r="L95" s="4">
        <v>18</v>
      </c>
      <c r="M95" s="4">
        <v>3</v>
      </c>
      <c r="N95" s="4" t="s">
        <v>5</v>
      </c>
      <c r="O95" s="4">
        <v>2</v>
      </c>
      <c r="P95" s="4"/>
      <c r="Q95" s="4"/>
      <c r="R95" s="4"/>
      <c r="S95" s="4"/>
      <c r="T95" s="4"/>
      <c r="U95" s="4"/>
      <c r="V95" s="4"/>
      <c r="W95" s="4">
        <v>39703.69</v>
      </c>
      <c r="X95" s="4">
        <v>1</v>
      </c>
      <c r="Y95" s="4">
        <v>39703.69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230</v>
      </c>
      <c r="F96" s="4">
        <f>ROUND(Source!BA76,O96)</f>
        <v>0</v>
      </c>
      <c r="G96" s="4" t="s">
        <v>155</v>
      </c>
      <c r="H96" s="4" t="s">
        <v>156</v>
      </c>
      <c r="I96" s="4"/>
      <c r="J96" s="4"/>
      <c r="K96" s="4">
        <v>230</v>
      </c>
      <c r="L96" s="4">
        <v>19</v>
      </c>
      <c r="M96" s="4">
        <v>3</v>
      </c>
      <c r="N96" s="4" t="s">
        <v>5</v>
      </c>
      <c r="O96" s="4">
        <v>2</v>
      </c>
      <c r="P96" s="4"/>
      <c r="Q96" s="4"/>
      <c r="R96" s="4"/>
      <c r="S96" s="4"/>
      <c r="T96" s="4"/>
      <c r="U96" s="4"/>
      <c r="V96" s="4"/>
      <c r="W96" s="4">
        <v>0</v>
      </c>
      <c r="X96" s="4">
        <v>1</v>
      </c>
      <c r="Y96" s="4">
        <v>0</v>
      </c>
      <c r="Z96" s="4"/>
      <c r="AA96" s="4"/>
      <c r="AB96" s="4"/>
    </row>
    <row r="97" spans="1:28" x14ac:dyDescent="0.2">
      <c r="A97" s="4">
        <v>50</v>
      </c>
      <c r="B97" s="4">
        <v>0</v>
      </c>
      <c r="C97" s="4">
        <v>0</v>
      </c>
      <c r="D97" s="4">
        <v>1</v>
      </c>
      <c r="E97" s="4">
        <v>206</v>
      </c>
      <c r="F97" s="4">
        <f>ROUND(Source!T76,O97)</f>
        <v>0</v>
      </c>
      <c r="G97" s="4" t="s">
        <v>157</v>
      </c>
      <c r="H97" s="4" t="s">
        <v>158</v>
      </c>
      <c r="I97" s="4"/>
      <c r="J97" s="4"/>
      <c r="K97" s="4">
        <v>206</v>
      </c>
      <c r="L97" s="4">
        <v>20</v>
      </c>
      <c r="M97" s="4">
        <v>3</v>
      </c>
      <c r="N97" s="4" t="s">
        <v>5</v>
      </c>
      <c r="O97" s="4">
        <v>2</v>
      </c>
      <c r="P97" s="4"/>
      <c r="Q97" s="4"/>
      <c r="R97" s="4"/>
      <c r="S97" s="4"/>
      <c r="T97" s="4"/>
      <c r="U97" s="4"/>
      <c r="V97" s="4"/>
      <c r="W97" s="4">
        <v>0</v>
      </c>
      <c r="X97" s="4">
        <v>1</v>
      </c>
      <c r="Y97" s="4">
        <v>0</v>
      </c>
      <c r="Z97" s="4"/>
      <c r="AA97" s="4"/>
      <c r="AB97" s="4"/>
    </row>
    <row r="98" spans="1:28" x14ac:dyDescent="0.2">
      <c r="A98" s="4">
        <v>50</v>
      </c>
      <c r="B98" s="4">
        <v>0</v>
      </c>
      <c r="C98" s="4">
        <v>0</v>
      </c>
      <c r="D98" s="4">
        <v>1</v>
      </c>
      <c r="E98" s="4">
        <v>207</v>
      </c>
      <c r="F98" s="4">
        <f>Source!U76</f>
        <v>3384.9217799999997</v>
      </c>
      <c r="G98" s="4" t="s">
        <v>159</v>
      </c>
      <c r="H98" s="4" t="s">
        <v>160</v>
      </c>
      <c r="I98" s="4"/>
      <c r="J98" s="4"/>
      <c r="K98" s="4">
        <v>207</v>
      </c>
      <c r="L98" s="4">
        <v>21</v>
      </c>
      <c r="M98" s="4">
        <v>3</v>
      </c>
      <c r="N98" s="4" t="s">
        <v>5</v>
      </c>
      <c r="O98" s="4">
        <v>-1</v>
      </c>
      <c r="P98" s="4"/>
      <c r="Q98" s="4"/>
      <c r="R98" s="4"/>
      <c r="S98" s="4"/>
      <c r="T98" s="4"/>
      <c r="U98" s="4"/>
      <c r="V98" s="4"/>
      <c r="W98" s="4">
        <v>3384.9217800000006</v>
      </c>
      <c r="X98" s="4">
        <v>1</v>
      </c>
      <c r="Y98" s="4">
        <v>3384.9217800000006</v>
      </c>
      <c r="Z98" s="4"/>
      <c r="AA98" s="4"/>
      <c r="AB98" s="4"/>
    </row>
    <row r="99" spans="1:28" x14ac:dyDescent="0.2">
      <c r="A99" s="4">
        <v>50</v>
      </c>
      <c r="B99" s="4">
        <v>0</v>
      </c>
      <c r="C99" s="4">
        <v>0</v>
      </c>
      <c r="D99" s="4">
        <v>1</v>
      </c>
      <c r="E99" s="4">
        <v>208</v>
      </c>
      <c r="F99" s="4">
        <f>Source!V76</f>
        <v>0</v>
      </c>
      <c r="G99" s="4" t="s">
        <v>161</v>
      </c>
      <c r="H99" s="4" t="s">
        <v>162</v>
      </c>
      <c r="I99" s="4"/>
      <c r="J99" s="4"/>
      <c r="K99" s="4">
        <v>208</v>
      </c>
      <c r="L99" s="4">
        <v>22</v>
      </c>
      <c r="M99" s="4">
        <v>3</v>
      </c>
      <c r="N99" s="4" t="s">
        <v>5</v>
      </c>
      <c r="O99" s="4">
        <v>-1</v>
      </c>
      <c r="P99" s="4"/>
      <c r="Q99" s="4"/>
      <c r="R99" s="4"/>
      <c r="S99" s="4"/>
      <c r="T99" s="4"/>
      <c r="U99" s="4"/>
      <c r="V99" s="4"/>
      <c r="W99" s="4">
        <v>0</v>
      </c>
      <c r="X99" s="4">
        <v>1</v>
      </c>
      <c r="Y99" s="4">
        <v>0</v>
      </c>
      <c r="Z99" s="4"/>
      <c r="AA99" s="4"/>
      <c r="AB99" s="4"/>
    </row>
    <row r="100" spans="1:28" x14ac:dyDescent="0.2">
      <c r="A100" s="4">
        <v>50</v>
      </c>
      <c r="B100" s="4">
        <v>0</v>
      </c>
      <c r="C100" s="4">
        <v>0</v>
      </c>
      <c r="D100" s="4">
        <v>1</v>
      </c>
      <c r="E100" s="4">
        <v>209</v>
      </c>
      <c r="F100" s="4">
        <f>ROUND(Source!W76,O100)</f>
        <v>0</v>
      </c>
      <c r="G100" s="4" t="s">
        <v>163</v>
      </c>
      <c r="H100" s="4" t="s">
        <v>164</v>
      </c>
      <c r="I100" s="4"/>
      <c r="J100" s="4"/>
      <c r="K100" s="4">
        <v>209</v>
      </c>
      <c r="L100" s="4">
        <v>23</v>
      </c>
      <c r="M100" s="4">
        <v>3</v>
      </c>
      <c r="N100" s="4" t="s">
        <v>5</v>
      </c>
      <c r="O100" s="4">
        <v>2</v>
      </c>
      <c r="P100" s="4"/>
      <c r="Q100" s="4"/>
      <c r="R100" s="4"/>
      <c r="S100" s="4"/>
      <c r="T100" s="4"/>
      <c r="U100" s="4"/>
      <c r="V100" s="4"/>
      <c r="W100" s="4">
        <v>0</v>
      </c>
      <c r="X100" s="4">
        <v>1</v>
      </c>
      <c r="Y100" s="4">
        <v>0</v>
      </c>
      <c r="Z100" s="4"/>
      <c r="AA100" s="4"/>
      <c r="AB100" s="4"/>
    </row>
    <row r="101" spans="1:28" x14ac:dyDescent="0.2">
      <c r="A101" s="4">
        <v>50</v>
      </c>
      <c r="B101" s="4">
        <v>0</v>
      </c>
      <c r="C101" s="4">
        <v>0</v>
      </c>
      <c r="D101" s="4">
        <v>1</v>
      </c>
      <c r="E101" s="4">
        <v>233</v>
      </c>
      <c r="F101" s="4">
        <f>ROUND(Source!BD76,O101)</f>
        <v>0</v>
      </c>
      <c r="G101" s="4" t="s">
        <v>165</v>
      </c>
      <c r="H101" s="4" t="s">
        <v>166</v>
      </c>
      <c r="I101" s="4"/>
      <c r="J101" s="4"/>
      <c r="K101" s="4">
        <v>233</v>
      </c>
      <c r="L101" s="4">
        <v>24</v>
      </c>
      <c r="M101" s="4">
        <v>3</v>
      </c>
      <c r="N101" s="4" t="s">
        <v>5</v>
      </c>
      <c r="O101" s="4">
        <v>2</v>
      </c>
      <c r="P101" s="4"/>
      <c r="Q101" s="4"/>
      <c r="R101" s="4"/>
      <c r="S101" s="4"/>
      <c r="T101" s="4"/>
      <c r="U101" s="4"/>
      <c r="V101" s="4"/>
      <c r="W101" s="4">
        <v>0</v>
      </c>
      <c r="X101" s="4">
        <v>1</v>
      </c>
      <c r="Y101" s="4">
        <v>0</v>
      </c>
      <c r="Z101" s="4"/>
      <c r="AA101" s="4"/>
      <c r="AB101" s="4"/>
    </row>
    <row r="102" spans="1:28" x14ac:dyDescent="0.2">
      <c r="A102" s="4">
        <v>50</v>
      </c>
      <c r="B102" s="4">
        <v>0</v>
      </c>
      <c r="C102" s="4">
        <v>0</v>
      </c>
      <c r="D102" s="4">
        <v>1</v>
      </c>
      <c r="E102" s="4">
        <v>210</v>
      </c>
      <c r="F102" s="4">
        <f>ROUND(Source!X76,O102)</f>
        <v>1084468.3799999999</v>
      </c>
      <c r="G102" s="4" t="s">
        <v>167</v>
      </c>
      <c r="H102" s="4" t="s">
        <v>168</v>
      </c>
      <c r="I102" s="4"/>
      <c r="J102" s="4"/>
      <c r="K102" s="4">
        <v>210</v>
      </c>
      <c r="L102" s="4">
        <v>25</v>
      </c>
      <c r="M102" s="4">
        <v>3</v>
      </c>
      <c r="N102" s="4" t="s">
        <v>5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1084468.3799999999</v>
      </c>
      <c r="X102" s="4">
        <v>1</v>
      </c>
      <c r="Y102" s="4">
        <v>1084468.3799999999</v>
      </c>
      <c r="Z102" s="4"/>
      <c r="AA102" s="4"/>
      <c r="AB102" s="4"/>
    </row>
    <row r="103" spans="1:28" x14ac:dyDescent="0.2">
      <c r="A103" s="4">
        <v>50</v>
      </c>
      <c r="B103" s="4">
        <v>0</v>
      </c>
      <c r="C103" s="4">
        <v>0</v>
      </c>
      <c r="D103" s="4">
        <v>1</v>
      </c>
      <c r="E103" s="4">
        <v>211</v>
      </c>
      <c r="F103" s="4">
        <f>ROUND(Source!Y76,O103)</f>
        <v>566000.23</v>
      </c>
      <c r="G103" s="4" t="s">
        <v>169</v>
      </c>
      <c r="H103" s="4" t="s">
        <v>170</v>
      </c>
      <c r="I103" s="4"/>
      <c r="J103" s="4"/>
      <c r="K103" s="4">
        <v>211</v>
      </c>
      <c r="L103" s="4">
        <v>26</v>
      </c>
      <c r="M103" s="4">
        <v>3</v>
      </c>
      <c r="N103" s="4" t="s">
        <v>5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566000.23</v>
      </c>
      <c r="X103" s="4">
        <v>1</v>
      </c>
      <c r="Y103" s="4">
        <v>566000.23</v>
      </c>
      <c r="Z103" s="4"/>
      <c r="AA103" s="4"/>
      <c r="AB103" s="4"/>
    </row>
    <row r="104" spans="1:28" x14ac:dyDescent="0.2">
      <c r="A104" s="4">
        <v>50</v>
      </c>
      <c r="B104" s="4">
        <v>0</v>
      </c>
      <c r="C104" s="4">
        <v>0</v>
      </c>
      <c r="D104" s="4">
        <v>1</v>
      </c>
      <c r="E104" s="4">
        <v>0</v>
      </c>
      <c r="F104" s="4">
        <f>ROUND(Source!AR76,O104)</f>
        <v>21724738.699999999</v>
      </c>
      <c r="G104" s="4" t="s">
        <v>171</v>
      </c>
      <c r="H104" s="4" t="s">
        <v>172</v>
      </c>
      <c r="I104" s="4"/>
      <c r="J104" s="4"/>
      <c r="K104" s="4">
        <v>224</v>
      </c>
      <c r="L104" s="4">
        <v>27</v>
      </c>
      <c r="M104" s="4">
        <v>3</v>
      </c>
      <c r="N104" s="4" t="s">
        <v>5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21724738.699999999</v>
      </c>
      <c r="X104" s="4">
        <v>1</v>
      </c>
      <c r="Y104" s="4">
        <v>21724738.699999999</v>
      </c>
      <c r="Z104" s="4"/>
      <c r="AA104" s="4"/>
      <c r="AB104" s="4"/>
    </row>
    <row r="105" spans="1:28" x14ac:dyDescent="0.2">
      <c r="A105" s="4">
        <v>50</v>
      </c>
      <c r="B105" s="4">
        <v>1</v>
      </c>
      <c r="C105" s="4">
        <v>0</v>
      </c>
      <c r="D105" s="4">
        <v>2</v>
      </c>
      <c r="E105" s="4">
        <v>0</v>
      </c>
      <c r="F105" s="4">
        <f>ROUND(F104*0.2,O105)</f>
        <v>4344947.74</v>
      </c>
      <c r="G105" s="4" t="s">
        <v>173</v>
      </c>
      <c r="H105" s="4" t="s">
        <v>174</v>
      </c>
      <c r="I105" s="4"/>
      <c r="J105" s="4"/>
      <c r="K105" s="4">
        <v>212</v>
      </c>
      <c r="L105" s="4">
        <v>28</v>
      </c>
      <c r="M105" s="4">
        <v>0</v>
      </c>
      <c r="N105" s="4" t="s">
        <v>5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4344947.74</v>
      </c>
      <c r="X105" s="4">
        <v>1</v>
      </c>
      <c r="Y105" s="4">
        <v>4344947.74</v>
      </c>
      <c r="Z105" s="4"/>
      <c r="AA105" s="4"/>
      <c r="AB105" s="4"/>
    </row>
    <row r="106" spans="1:28" x14ac:dyDescent="0.2">
      <c r="A106" s="4">
        <v>50</v>
      </c>
      <c r="B106" s="4">
        <v>1</v>
      </c>
      <c r="C106" s="4">
        <v>0</v>
      </c>
      <c r="D106" s="4">
        <v>2</v>
      </c>
      <c r="E106" s="4">
        <v>224</v>
      </c>
      <c r="F106" s="4">
        <f>ROUND(F105+F104,O106)</f>
        <v>26069686.440000001</v>
      </c>
      <c r="G106" s="4" t="s">
        <v>175</v>
      </c>
      <c r="H106" s="4" t="s">
        <v>176</v>
      </c>
      <c r="I106" s="4"/>
      <c r="J106" s="4"/>
      <c r="K106" s="4">
        <v>212</v>
      </c>
      <c r="L106" s="4">
        <v>29</v>
      </c>
      <c r="M106" s="4">
        <v>0</v>
      </c>
      <c r="N106" s="4" t="s">
        <v>5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26069686.440000001</v>
      </c>
      <c r="X106" s="4">
        <v>1</v>
      </c>
      <c r="Y106" s="4">
        <v>26069686.440000001</v>
      </c>
      <c r="Z106" s="4"/>
      <c r="AA106" s="4"/>
      <c r="AB106" s="4"/>
    </row>
    <row r="108" spans="1:28" x14ac:dyDescent="0.2">
      <c r="A108" s="5">
        <v>61</v>
      </c>
      <c r="B108" s="5"/>
      <c r="C108" s="5"/>
      <c r="D108" s="5"/>
      <c r="E108" s="5"/>
      <c r="F108" s="5">
        <v>12</v>
      </c>
      <c r="G108" s="5" t="s">
        <v>177</v>
      </c>
      <c r="H108" s="5" t="s">
        <v>178</v>
      </c>
    </row>
    <row r="109" spans="1:28" x14ac:dyDescent="0.2">
      <c r="A109" s="5">
        <v>61</v>
      </c>
      <c r="B109" s="5"/>
      <c r="C109" s="5"/>
      <c r="D109" s="5"/>
      <c r="E109" s="5"/>
      <c r="F109" s="5">
        <v>0</v>
      </c>
      <c r="G109" s="5" t="s">
        <v>179</v>
      </c>
      <c r="H109" s="5" t="s">
        <v>178</v>
      </c>
    </row>
    <row r="112" spans="1:28" x14ac:dyDescent="0.2">
      <c r="A112">
        <v>70</v>
      </c>
      <c r="B112">
        <v>1</v>
      </c>
      <c r="D112">
        <v>1</v>
      </c>
      <c r="E112" t="s">
        <v>180</v>
      </c>
      <c r="F112" t="s">
        <v>181</v>
      </c>
      <c r="G112">
        <v>0</v>
      </c>
      <c r="H112">
        <v>0</v>
      </c>
      <c r="I112" t="s">
        <v>5</v>
      </c>
      <c r="J112">
        <v>0</v>
      </c>
      <c r="K112">
        <v>0</v>
      </c>
      <c r="L112" t="s">
        <v>5</v>
      </c>
      <c r="M112" t="s">
        <v>5</v>
      </c>
      <c r="N112">
        <v>0</v>
      </c>
      <c r="P112" t="s">
        <v>5</v>
      </c>
    </row>
    <row r="114" spans="1:50" x14ac:dyDescent="0.2">
      <c r="A114">
        <v>-1</v>
      </c>
    </row>
    <row r="116" spans="1:50" x14ac:dyDescent="0.2">
      <c r="A116" s="3">
        <v>75</v>
      </c>
      <c r="B116" s="3" t="s">
        <v>182</v>
      </c>
      <c r="C116" s="3">
        <v>2024</v>
      </c>
      <c r="D116" s="3">
        <v>0</v>
      </c>
      <c r="E116" s="3">
        <v>7</v>
      </c>
      <c r="F116" s="3"/>
      <c r="G116" s="3">
        <v>0</v>
      </c>
      <c r="H116" s="3">
        <v>2</v>
      </c>
      <c r="I116" s="3">
        <v>1</v>
      </c>
      <c r="J116" s="3">
        <v>1</v>
      </c>
      <c r="K116" s="3">
        <v>95</v>
      </c>
      <c r="L116" s="3">
        <v>65</v>
      </c>
      <c r="M116" s="3">
        <v>0</v>
      </c>
      <c r="N116" s="3">
        <v>67204543</v>
      </c>
      <c r="O116" s="3">
        <v>1</v>
      </c>
    </row>
    <row r="117" spans="1:50" x14ac:dyDescent="0.2">
      <c r="A117" s="6">
        <v>1</v>
      </c>
      <c r="B117" s="6" t="s">
        <v>183</v>
      </c>
      <c r="C117" s="6" t="s">
        <v>184</v>
      </c>
      <c r="D117" s="6">
        <v>2024</v>
      </c>
      <c r="E117" s="6">
        <v>7</v>
      </c>
      <c r="F117" s="6">
        <v>1</v>
      </c>
      <c r="G117" s="6">
        <v>1</v>
      </c>
      <c r="H117" s="6">
        <v>0</v>
      </c>
      <c r="I117" s="6">
        <v>2</v>
      </c>
      <c r="J117" s="6">
        <v>1</v>
      </c>
      <c r="K117" s="6">
        <v>1</v>
      </c>
      <c r="L117" s="6">
        <v>1</v>
      </c>
      <c r="M117" s="6">
        <v>1</v>
      </c>
      <c r="N117" s="6">
        <v>1</v>
      </c>
      <c r="O117" s="6">
        <v>1</v>
      </c>
      <c r="P117" s="6">
        <v>1</v>
      </c>
      <c r="Q117" s="6">
        <v>1</v>
      </c>
      <c r="R117" s="6" t="s">
        <v>5</v>
      </c>
      <c r="S117" s="6" t="s">
        <v>5</v>
      </c>
      <c r="T117" s="6" t="s">
        <v>5</v>
      </c>
      <c r="U117" s="6" t="s">
        <v>5</v>
      </c>
      <c r="V117" s="6" t="s">
        <v>5</v>
      </c>
      <c r="W117" s="6" t="s">
        <v>5</v>
      </c>
      <c r="X117" s="6" t="s">
        <v>5</v>
      </c>
      <c r="Y117" s="6" t="s">
        <v>5</v>
      </c>
      <c r="Z117" s="6" t="s">
        <v>5</v>
      </c>
      <c r="AA117" s="6" t="s">
        <v>185</v>
      </c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>
        <v>67204544</v>
      </c>
      <c r="AO117" s="6"/>
      <c r="AP117" s="6"/>
      <c r="AQ117" s="6"/>
      <c r="AR117" s="6"/>
      <c r="AS117" s="6"/>
      <c r="AT117" s="6"/>
      <c r="AU117" s="6"/>
      <c r="AV117" s="6"/>
      <c r="AW117" s="6"/>
      <c r="AX117" s="6"/>
    </row>
    <row r="118" spans="1:50" x14ac:dyDescent="0.2">
      <c r="A118" s="6">
        <v>1</v>
      </c>
      <c r="B118" s="6" t="s">
        <v>183</v>
      </c>
      <c r="C118" s="6" t="s">
        <v>186</v>
      </c>
      <c r="D118" s="6">
        <v>2024</v>
      </c>
      <c r="E118" s="6">
        <v>7</v>
      </c>
      <c r="F118" s="6">
        <v>1</v>
      </c>
      <c r="G118" s="6">
        <v>1</v>
      </c>
      <c r="H118" s="6">
        <v>0</v>
      </c>
      <c r="I118" s="6">
        <v>2</v>
      </c>
      <c r="J118" s="6">
        <v>1</v>
      </c>
      <c r="K118" s="6">
        <v>1</v>
      </c>
      <c r="L118" s="6">
        <v>1</v>
      </c>
      <c r="M118" s="6">
        <v>1</v>
      </c>
      <c r="N118" s="6">
        <v>1</v>
      </c>
      <c r="O118" s="6">
        <v>1</v>
      </c>
      <c r="P118" s="6">
        <v>1</v>
      </c>
      <c r="Q118" s="6">
        <v>1</v>
      </c>
      <c r="R118" s="6" t="s">
        <v>5</v>
      </c>
      <c r="S118" s="6" t="s">
        <v>5</v>
      </c>
      <c r="T118" s="6" t="s">
        <v>5</v>
      </c>
      <c r="U118" s="6" t="s">
        <v>5</v>
      </c>
      <c r="V118" s="6" t="s">
        <v>5</v>
      </c>
      <c r="W118" s="6" t="s">
        <v>5</v>
      </c>
      <c r="X118" s="6" t="s">
        <v>5</v>
      </c>
      <c r="Y118" s="6" t="s">
        <v>5</v>
      </c>
      <c r="Z118" s="6" t="s">
        <v>5</v>
      </c>
      <c r="AA118" s="6" t="s">
        <v>5</v>
      </c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>
        <v>67204545</v>
      </c>
      <c r="AO118" s="6"/>
      <c r="AP118" s="6"/>
      <c r="AQ118" s="6"/>
      <c r="AR118" s="6"/>
      <c r="AS118" s="6"/>
      <c r="AT118" s="6"/>
      <c r="AU118" s="6"/>
      <c r="AV118" s="6"/>
      <c r="AW118" s="6"/>
      <c r="AX118" s="6"/>
    </row>
    <row r="122" spans="1:50" x14ac:dyDescent="0.2">
      <c r="A122">
        <v>65</v>
      </c>
      <c r="C122">
        <v>1</v>
      </c>
      <c r="D122">
        <v>0</v>
      </c>
      <c r="E12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55"/>
  <sheetViews>
    <sheetView workbookViewId="0">
      <selection activeCell="L1" sqref="L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187</v>
      </c>
      <c r="F1">
        <v>0</v>
      </c>
      <c r="G1">
        <v>0</v>
      </c>
      <c r="H1">
        <v>0</v>
      </c>
      <c r="I1" t="s">
        <v>2</v>
      </c>
      <c r="K1">
        <v>1</v>
      </c>
      <c r="M1">
        <v>10</v>
      </c>
      <c r="N1">
        <v>11</v>
      </c>
      <c r="O1">
        <v>9</v>
      </c>
      <c r="P1">
        <v>0</v>
      </c>
      <c r="Q1">
        <v>1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3</v>
      </c>
      <c r="G12" s="1" t="s">
        <v>4</v>
      </c>
      <c r="H12" s="1" t="s">
        <v>5</v>
      </c>
      <c r="I12" s="1">
        <v>0</v>
      </c>
      <c r="J12" s="1" t="s">
        <v>5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160</v>
      </c>
      <c r="S12" s="1"/>
      <c r="T12" s="1">
        <v>1</v>
      </c>
      <c r="U12" s="1" t="s">
        <v>5</v>
      </c>
      <c r="V12" s="1">
        <v>0</v>
      </c>
      <c r="W12" s="1" t="s">
        <v>5</v>
      </c>
      <c r="X12" s="1" t="s">
        <v>5</v>
      </c>
      <c r="Y12" s="1" t="s">
        <v>5</v>
      </c>
      <c r="Z12" s="1" t="s">
        <v>5</v>
      </c>
      <c r="AA12" s="1" t="s">
        <v>5</v>
      </c>
      <c r="AB12" s="1" t="s">
        <v>5</v>
      </c>
      <c r="AC12" s="1" t="s">
        <v>5</v>
      </c>
      <c r="AD12" s="1" t="s">
        <v>5</v>
      </c>
      <c r="AE12" s="1" t="s">
        <v>5</v>
      </c>
      <c r="AF12" s="1" t="s">
        <v>5</v>
      </c>
      <c r="AG12" s="1" t="s">
        <v>5</v>
      </c>
      <c r="AH12" s="1" t="s">
        <v>5</v>
      </c>
      <c r="AI12" s="1" t="s">
        <v>5</v>
      </c>
      <c r="AJ12" s="1" t="s">
        <v>5</v>
      </c>
      <c r="AK12" s="1"/>
      <c r="AL12" s="1" t="s">
        <v>5</v>
      </c>
      <c r="AM12" s="1" t="s">
        <v>5</v>
      </c>
      <c r="AN12" s="1" t="s">
        <v>5</v>
      </c>
      <c r="AO12" s="1"/>
      <c r="AP12" s="1" t="s">
        <v>5</v>
      </c>
      <c r="AQ12" s="1" t="s">
        <v>5</v>
      </c>
      <c r="AR12" s="1" t="s">
        <v>5</v>
      </c>
      <c r="AS12" s="1"/>
      <c r="AT12" s="1"/>
      <c r="AU12" s="1"/>
      <c r="AV12" s="1"/>
      <c r="AW12" s="1"/>
      <c r="AX12" s="1" t="s">
        <v>5</v>
      </c>
      <c r="AY12" s="1" t="s">
        <v>5</v>
      </c>
      <c r="AZ12" s="1" t="s">
        <v>5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16785416</v>
      </c>
      <c r="CI12" s="1" t="s">
        <v>5</v>
      </c>
      <c r="CJ12" s="1" t="s">
        <v>5</v>
      </c>
      <c r="CK12" s="1">
        <v>73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73</v>
      </c>
      <c r="CV12" s="1"/>
      <c r="CW12" s="1"/>
      <c r="CX12" s="1"/>
      <c r="CY12" s="1">
        <v>0</v>
      </c>
      <c r="CZ12" s="1" t="s">
        <v>5</v>
      </c>
      <c r="DA12" s="1" t="s">
        <v>5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67204543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7">
        <v>3</v>
      </c>
      <c r="B16" s="7">
        <v>0</v>
      </c>
      <c r="C16" s="7" t="s">
        <v>14</v>
      </c>
      <c r="D16" s="7" t="s">
        <v>14</v>
      </c>
      <c r="E16" s="8">
        <f>ROUND((Source!F63)/1000,2)</f>
        <v>21685.040000000001</v>
      </c>
      <c r="F16" s="8">
        <f>ROUND((Source!F64)/1000,2)</f>
        <v>0</v>
      </c>
      <c r="G16" s="8">
        <f>ROUND((Source!F55)/1000,2)</f>
        <v>0</v>
      </c>
      <c r="H16" s="8">
        <f>ROUND((Source!F65)/1000+(Source!F66)/1000,2)</f>
        <v>39.700000000000003</v>
      </c>
      <c r="I16" s="8">
        <f>E16+F16+G16+H16</f>
        <v>21724.74</v>
      </c>
      <c r="J16" s="8">
        <f>ROUND((Source!F61+Source!F60)/1000,2)</f>
        <v>1399.87</v>
      </c>
      <c r="AI16" s="7">
        <v>0</v>
      </c>
      <c r="AJ16" s="7">
        <v>0</v>
      </c>
      <c r="AK16" s="7" t="s">
        <v>5</v>
      </c>
      <c r="AL16" s="7" t="s">
        <v>5</v>
      </c>
      <c r="AM16" s="7" t="s">
        <v>5</v>
      </c>
      <c r="AN16" s="7">
        <v>0</v>
      </c>
      <c r="AO16" s="7" t="s">
        <v>5</v>
      </c>
      <c r="AP16" s="7" t="s">
        <v>5</v>
      </c>
      <c r="AT16" s="8">
        <v>20043253.07</v>
      </c>
      <c r="AU16" s="8">
        <v>18568550.32</v>
      </c>
      <c r="AV16" s="8">
        <v>0</v>
      </c>
      <c r="AW16" s="8">
        <v>0</v>
      </c>
      <c r="AX16" s="8">
        <v>0</v>
      </c>
      <c r="AY16" s="8">
        <v>94214.399999999994</v>
      </c>
      <c r="AZ16" s="8">
        <v>19385.64</v>
      </c>
      <c r="BA16" s="8">
        <v>1380488.35</v>
      </c>
      <c r="BB16" s="8">
        <v>21685035.010000002</v>
      </c>
      <c r="BC16" s="8">
        <v>0</v>
      </c>
      <c r="BD16" s="8">
        <v>39703.69</v>
      </c>
      <c r="BE16" s="8">
        <v>0</v>
      </c>
      <c r="BF16" s="8">
        <v>3384.9217800000006</v>
      </c>
      <c r="BG16" s="8">
        <v>0</v>
      </c>
      <c r="BH16" s="8">
        <v>0</v>
      </c>
      <c r="BI16" s="8">
        <v>1084468.3799999999</v>
      </c>
      <c r="BJ16" s="8">
        <v>566000.23</v>
      </c>
      <c r="BK16" s="8">
        <v>21724738.699999999</v>
      </c>
    </row>
    <row r="18" spans="1:19" x14ac:dyDescent="0.2">
      <c r="A18">
        <v>51</v>
      </c>
      <c r="E18" s="5">
        <f>SUMIF(A16:A17,3,E16:E17)</f>
        <v>21685.040000000001</v>
      </c>
      <c r="F18" s="5">
        <f>SUMIF(A16:A17,3,F16:F17)</f>
        <v>0</v>
      </c>
      <c r="G18" s="5">
        <f>SUMIF(A16:A17,3,G16:G17)</f>
        <v>0</v>
      </c>
      <c r="H18" s="5">
        <f>SUMIF(A16:A17,3,H16:H17)</f>
        <v>39.700000000000003</v>
      </c>
      <c r="I18" s="5">
        <f>SUMIF(A16:A17,3,I16:I17)</f>
        <v>21724.74</v>
      </c>
      <c r="J18" s="5">
        <f>SUMIF(A16:A17,3,J16:J17)</f>
        <v>1399.87</v>
      </c>
      <c r="K18" s="5"/>
      <c r="L18" s="5"/>
      <c r="M18" s="5"/>
      <c r="N18" s="5"/>
      <c r="O18" s="5"/>
      <c r="P18" s="5"/>
      <c r="Q18" s="5"/>
      <c r="R18" s="5"/>
      <c r="S18" s="5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20043253.07</v>
      </c>
      <c r="G20" s="4" t="s">
        <v>119</v>
      </c>
      <c r="H20" s="4" t="s">
        <v>120</v>
      </c>
      <c r="I20" s="4"/>
      <c r="J20" s="4"/>
      <c r="K20" s="4">
        <v>201</v>
      </c>
      <c r="L20" s="4">
        <v>1</v>
      </c>
      <c r="M20" s="4">
        <v>3</v>
      </c>
      <c r="N20" s="4" t="s">
        <v>5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18568550.32</v>
      </c>
      <c r="G21" s="4" t="s">
        <v>121</v>
      </c>
      <c r="H21" s="4" t="s">
        <v>122</v>
      </c>
      <c r="I21" s="4"/>
      <c r="J21" s="4"/>
      <c r="K21" s="4">
        <v>202</v>
      </c>
      <c r="L21" s="4">
        <v>2</v>
      </c>
      <c r="M21" s="4">
        <v>3</v>
      </c>
      <c r="N21" s="4" t="s">
        <v>5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123</v>
      </c>
      <c r="H22" s="4" t="s">
        <v>124</v>
      </c>
      <c r="I22" s="4"/>
      <c r="J22" s="4"/>
      <c r="K22" s="4">
        <v>222</v>
      </c>
      <c r="L22" s="4">
        <v>3</v>
      </c>
      <c r="M22" s="4">
        <v>3</v>
      </c>
      <c r="N22" s="4" t="s">
        <v>5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18568550.32</v>
      </c>
      <c r="G23" s="4" t="s">
        <v>125</v>
      </c>
      <c r="H23" s="4" t="s">
        <v>126</v>
      </c>
      <c r="I23" s="4"/>
      <c r="J23" s="4"/>
      <c r="K23" s="4">
        <v>225</v>
      </c>
      <c r="L23" s="4">
        <v>4</v>
      </c>
      <c r="M23" s="4">
        <v>3</v>
      </c>
      <c r="N23" s="4" t="s">
        <v>5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18568550.32</v>
      </c>
      <c r="G24" s="4" t="s">
        <v>127</v>
      </c>
      <c r="H24" s="4" t="s">
        <v>128</v>
      </c>
      <c r="I24" s="4"/>
      <c r="J24" s="4"/>
      <c r="K24" s="4">
        <v>226</v>
      </c>
      <c r="L24" s="4">
        <v>5</v>
      </c>
      <c r="M24" s="4">
        <v>3</v>
      </c>
      <c r="N24" s="4" t="s">
        <v>5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129</v>
      </c>
      <c r="H25" s="4" t="s">
        <v>130</v>
      </c>
      <c r="I25" s="4"/>
      <c r="J25" s="4"/>
      <c r="K25" s="4">
        <v>227</v>
      </c>
      <c r="L25" s="4">
        <v>6</v>
      </c>
      <c r="M25" s="4">
        <v>3</v>
      </c>
      <c r="N25" s="4" t="s">
        <v>5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18568550.32</v>
      </c>
      <c r="G26" s="4" t="s">
        <v>131</v>
      </c>
      <c r="H26" s="4" t="s">
        <v>132</v>
      </c>
      <c r="I26" s="4"/>
      <c r="J26" s="4"/>
      <c r="K26" s="4">
        <v>228</v>
      </c>
      <c r="L26" s="4">
        <v>7</v>
      </c>
      <c r="M26" s="4">
        <v>3</v>
      </c>
      <c r="N26" s="4" t="s">
        <v>5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133</v>
      </c>
      <c r="H27" s="4" t="s">
        <v>134</v>
      </c>
      <c r="I27" s="4"/>
      <c r="J27" s="4"/>
      <c r="K27" s="4">
        <v>216</v>
      </c>
      <c r="L27" s="4">
        <v>8</v>
      </c>
      <c r="M27" s="4">
        <v>3</v>
      </c>
      <c r="N27" s="4" t="s">
        <v>5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135</v>
      </c>
      <c r="H28" s="4" t="s">
        <v>136</v>
      </c>
      <c r="I28" s="4"/>
      <c r="J28" s="4"/>
      <c r="K28" s="4">
        <v>223</v>
      </c>
      <c r="L28" s="4">
        <v>9</v>
      </c>
      <c r="M28" s="4">
        <v>3</v>
      </c>
      <c r="N28" s="4" t="s">
        <v>5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137</v>
      </c>
      <c r="H29" s="4" t="s">
        <v>138</v>
      </c>
      <c r="I29" s="4"/>
      <c r="J29" s="4"/>
      <c r="K29" s="4">
        <v>229</v>
      </c>
      <c r="L29" s="4">
        <v>10</v>
      </c>
      <c r="M29" s="4">
        <v>3</v>
      </c>
      <c r="N29" s="4" t="s">
        <v>5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94214.399999999994</v>
      </c>
      <c r="G30" s="4" t="s">
        <v>139</v>
      </c>
      <c r="H30" s="4" t="s">
        <v>140</v>
      </c>
      <c r="I30" s="4"/>
      <c r="J30" s="4"/>
      <c r="K30" s="4">
        <v>203</v>
      </c>
      <c r="L30" s="4">
        <v>11</v>
      </c>
      <c r="M30" s="4">
        <v>3</v>
      </c>
      <c r="N30" s="4" t="s">
        <v>5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141</v>
      </c>
      <c r="H31" s="4" t="s">
        <v>142</v>
      </c>
      <c r="I31" s="4"/>
      <c r="J31" s="4"/>
      <c r="K31" s="4">
        <v>231</v>
      </c>
      <c r="L31" s="4">
        <v>12</v>
      </c>
      <c r="M31" s="4">
        <v>3</v>
      </c>
      <c r="N31" s="4" t="s">
        <v>5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19385.64</v>
      </c>
      <c r="G32" s="4" t="s">
        <v>143</v>
      </c>
      <c r="H32" s="4" t="s">
        <v>144</v>
      </c>
      <c r="I32" s="4"/>
      <c r="J32" s="4"/>
      <c r="K32" s="4">
        <v>204</v>
      </c>
      <c r="L32" s="4">
        <v>13</v>
      </c>
      <c r="M32" s="4">
        <v>3</v>
      </c>
      <c r="N32" s="4" t="s">
        <v>5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1380488.35</v>
      </c>
      <c r="G33" s="4" t="s">
        <v>145</v>
      </c>
      <c r="H33" s="4" t="s">
        <v>146</v>
      </c>
      <c r="I33" s="4"/>
      <c r="J33" s="4"/>
      <c r="K33" s="4">
        <v>205</v>
      </c>
      <c r="L33" s="4">
        <v>14</v>
      </c>
      <c r="M33" s="4">
        <v>3</v>
      </c>
      <c r="N33" s="4" t="s">
        <v>5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147</v>
      </c>
      <c r="H34" s="4" t="s">
        <v>148</v>
      </c>
      <c r="I34" s="4"/>
      <c r="J34" s="4"/>
      <c r="K34" s="4">
        <v>232</v>
      </c>
      <c r="L34" s="4">
        <v>15</v>
      </c>
      <c r="M34" s="4">
        <v>3</v>
      </c>
      <c r="N34" s="4" t="s">
        <v>5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21685035.010000002</v>
      </c>
      <c r="G35" s="4" t="s">
        <v>149</v>
      </c>
      <c r="H35" s="4" t="s">
        <v>150</v>
      </c>
      <c r="I35" s="4"/>
      <c r="J35" s="4"/>
      <c r="K35" s="4">
        <v>214</v>
      </c>
      <c r="L35" s="4">
        <v>16</v>
      </c>
      <c r="M35" s="4">
        <v>3</v>
      </c>
      <c r="N35" s="4" t="s">
        <v>5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151</v>
      </c>
      <c r="H36" s="4" t="s">
        <v>152</v>
      </c>
      <c r="I36" s="4"/>
      <c r="J36" s="4"/>
      <c r="K36" s="4">
        <v>215</v>
      </c>
      <c r="L36" s="4">
        <v>17</v>
      </c>
      <c r="M36" s="4">
        <v>3</v>
      </c>
      <c r="N36" s="4" t="s">
        <v>5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39703.69</v>
      </c>
      <c r="G37" s="4" t="s">
        <v>153</v>
      </c>
      <c r="H37" s="4" t="s">
        <v>154</v>
      </c>
      <c r="I37" s="4"/>
      <c r="J37" s="4"/>
      <c r="K37" s="4">
        <v>217</v>
      </c>
      <c r="L37" s="4">
        <v>18</v>
      </c>
      <c r="M37" s="4">
        <v>3</v>
      </c>
      <c r="N37" s="4" t="s">
        <v>5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155</v>
      </c>
      <c r="H38" s="4" t="s">
        <v>156</v>
      </c>
      <c r="I38" s="4"/>
      <c r="J38" s="4"/>
      <c r="K38" s="4">
        <v>230</v>
      </c>
      <c r="L38" s="4">
        <v>19</v>
      </c>
      <c r="M38" s="4">
        <v>3</v>
      </c>
      <c r="N38" s="4" t="s">
        <v>5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157</v>
      </c>
      <c r="H39" s="4" t="s">
        <v>158</v>
      </c>
      <c r="I39" s="4"/>
      <c r="J39" s="4"/>
      <c r="K39" s="4">
        <v>206</v>
      </c>
      <c r="L39" s="4">
        <v>20</v>
      </c>
      <c r="M39" s="4">
        <v>3</v>
      </c>
      <c r="N39" s="4" t="s">
        <v>5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3384.9217800000006</v>
      </c>
      <c r="G40" s="4" t="s">
        <v>159</v>
      </c>
      <c r="H40" s="4" t="s">
        <v>160</v>
      </c>
      <c r="I40" s="4"/>
      <c r="J40" s="4"/>
      <c r="K40" s="4">
        <v>207</v>
      </c>
      <c r="L40" s="4">
        <v>21</v>
      </c>
      <c r="M40" s="4">
        <v>3</v>
      </c>
      <c r="N40" s="4" t="s">
        <v>5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161</v>
      </c>
      <c r="H41" s="4" t="s">
        <v>162</v>
      </c>
      <c r="I41" s="4"/>
      <c r="J41" s="4"/>
      <c r="K41" s="4">
        <v>208</v>
      </c>
      <c r="L41" s="4">
        <v>22</v>
      </c>
      <c r="M41" s="4">
        <v>3</v>
      </c>
      <c r="N41" s="4" t="s">
        <v>5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163</v>
      </c>
      <c r="H42" s="4" t="s">
        <v>164</v>
      </c>
      <c r="I42" s="4"/>
      <c r="J42" s="4"/>
      <c r="K42" s="4">
        <v>209</v>
      </c>
      <c r="L42" s="4">
        <v>23</v>
      </c>
      <c r="M42" s="4">
        <v>3</v>
      </c>
      <c r="N42" s="4" t="s">
        <v>5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165</v>
      </c>
      <c r="H43" s="4" t="s">
        <v>166</v>
      </c>
      <c r="I43" s="4"/>
      <c r="J43" s="4"/>
      <c r="K43" s="4">
        <v>233</v>
      </c>
      <c r="L43" s="4">
        <v>24</v>
      </c>
      <c r="M43" s="4">
        <v>3</v>
      </c>
      <c r="N43" s="4" t="s">
        <v>5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1084468.3799999999</v>
      </c>
      <c r="G44" s="4" t="s">
        <v>167</v>
      </c>
      <c r="H44" s="4" t="s">
        <v>168</v>
      </c>
      <c r="I44" s="4"/>
      <c r="J44" s="4"/>
      <c r="K44" s="4">
        <v>210</v>
      </c>
      <c r="L44" s="4">
        <v>25</v>
      </c>
      <c r="M44" s="4">
        <v>3</v>
      </c>
      <c r="N44" s="4" t="s">
        <v>5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566000.23</v>
      </c>
      <c r="G45" s="4" t="s">
        <v>169</v>
      </c>
      <c r="H45" s="4" t="s">
        <v>170</v>
      </c>
      <c r="I45" s="4"/>
      <c r="J45" s="4"/>
      <c r="K45" s="4">
        <v>211</v>
      </c>
      <c r="L45" s="4">
        <v>26</v>
      </c>
      <c r="M45" s="4">
        <v>3</v>
      </c>
      <c r="N45" s="4" t="s">
        <v>5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0</v>
      </c>
      <c r="F46" s="4">
        <v>21724738.699999999</v>
      </c>
      <c r="G46" s="4" t="s">
        <v>171</v>
      </c>
      <c r="H46" s="4" t="s">
        <v>172</v>
      </c>
      <c r="I46" s="4"/>
      <c r="J46" s="4"/>
      <c r="K46" s="4">
        <v>224</v>
      </c>
      <c r="L46" s="4">
        <v>27</v>
      </c>
      <c r="M46" s="4">
        <v>3</v>
      </c>
      <c r="N46" s="4" t="s">
        <v>5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4344947.74</v>
      </c>
      <c r="G47" s="4" t="s">
        <v>173</v>
      </c>
      <c r="H47" s="4" t="s">
        <v>174</v>
      </c>
      <c r="I47" s="4"/>
      <c r="J47" s="4"/>
      <c r="K47" s="4">
        <v>212</v>
      </c>
      <c r="L47" s="4">
        <v>28</v>
      </c>
      <c r="M47" s="4">
        <v>0</v>
      </c>
      <c r="N47" s="4" t="s">
        <v>5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224</v>
      </c>
      <c r="F48" s="4">
        <v>26069686.440000001</v>
      </c>
      <c r="G48" s="4" t="s">
        <v>175</v>
      </c>
      <c r="H48" s="4" t="s">
        <v>176</v>
      </c>
      <c r="I48" s="4"/>
      <c r="J48" s="4"/>
      <c r="K48" s="4">
        <v>212</v>
      </c>
      <c r="L48" s="4">
        <v>29</v>
      </c>
      <c r="M48" s="4">
        <v>0</v>
      </c>
      <c r="N48" s="4" t="s">
        <v>5</v>
      </c>
      <c r="O48" s="4">
        <v>2</v>
      </c>
      <c r="P48" s="4"/>
    </row>
    <row r="50" spans="1:50" x14ac:dyDescent="0.2">
      <c r="A50">
        <v>-1</v>
      </c>
    </row>
    <row r="53" spans="1:50" x14ac:dyDescent="0.2">
      <c r="A53" s="3">
        <v>75</v>
      </c>
      <c r="B53" s="3" t="s">
        <v>182</v>
      </c>
      <c r="C53" s="3">
        <v>2024</v>
      </c>
      <c r="D53" s="3">
        <v>0</v>
      </c>
      <c r="E53" s="3">
        <v>7</v>
      </c>
      <c r="F53" s="3"/>
      <c r="G53" s="3">
        <v>0</v>
      </c>
      <c r="H53" s="3">
        <v>2</v>
      </c>
      <c r="I53" s="3">
        <v>1</v>
      </c>
      <c r="J53" s="3">
        <v>1</v>
      </c>
      <c r="K53" s="3">
        <v>95</v>
      </c>
      <c r="L53" s="3">
        <v>65</v>
      </c>
      <c r="M53" s="3">
        <v>0</v>
      </c>
      <c r="N53" s="3">
        <v>67204543</v>
      </c>
      <c r="O53" s="3">
        <v>1</v>
      </c>
    </row>
    <row r="54" spans="1:50" x14ac:dyDescent="0.2">
      <c r="A54" s="6">
        <v>1</v>
      </c>
      <c r="B54" s="6" t="s">
        <v>183</v>
      </c>
      <c r="C54" s="6" t="s">
        <v>184</v>
      </c>
      <c r="D54" s="6">
        <v>2024</v>
      </c>
      <c r="E54" s="6">
        <v>7</v>
      </c>
      <c r="F54" s="6">
        <v>1</v>
      </c>
      <c r="G54" s="6">
        <v>1</v>
      </c>
      <c r="H54" s="6">
        <v>0</v>
      </c>
      <c r="I54" s="6">
        <v>2</v>
      </c>
      <c r="J54" s="6">
        <v>1</v>
      </c>
      <c r="K54" s="6">
        <v>1</v>
      </c>
      <c r="L54" s="6">
        <v>1</v>
      </c>
      <c r="M54" s="6">
        <v>1</v>
      </c>
      <c r="N54" s="6">
        <v>1</v>
      </c>
      <c r="O54" s="6">
        <v>1</v>
      </c>
      <c r="P54" s="6">
        <v>1</v>
      </c>
      <c r="Q54" s="6">
        <v>1</v>
      </c>
      <c r="R54" s="6" t="s">
        <v>5</v>
      </c>
      <c r="S54" s="6" t="s">
        <v>5</v>
      </c>
      <c r="T54" s="6" t="s">
        <v>5</v>
      </c>
      <c r="U54" s="6" t="s">
        <v>5</v>
      </c>
      <c r="V54" s="6" t="s">
        <v>5</v>
      </c>
      <c r="W54" s="6" t="s">
        <v>5</v>
      </c>
      <c r="X54" s="6" t="s">
        <v>5</v>
      </c>
      <c r="Y54" s="6" t="s">
        <v>5</v>
      </c>
      <c r="Z54" s="6" t="s">
        <v>5</v>
      </c>
      <c r="AA54" s="6" t="s">
        <v>185</v>
      </c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>
        <v>67204544</v>
      </c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1:50" x14ac:dyDescent="0.2">
      <c r="A55" s="6">
        <v>1</v>
      </c>
      <c r="B55" s="6" t="s">
        <v>183</v>
      </c>
      <c r="C55" s="6" t="s">
        <v>186</v>
      </c>
      <c r="D55" s="6">
        <v>2024</v>
      </c>
      <c r="E55" s="6">
        <v>7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5</v>
      </c>
      <c r="S55" s="6" t="s">
        <v>5</v>
      </c>
      <c r="T55" s="6" t="s">
        <v>5</v>
      </c>
      <c r="U55" s="6" t="s">
        <v>5</v>
      </c>
      <c r="V55" s="6" t="s">
        <v>5</v>
      </c>
      <c r="W55" s="6" t="s">
        <v>5</v>
      </c>
      <c r="X55" s="6" t="s">
        <v>5</v>
      </c>
      <c r="Y55" s="6" t="s">
        <v>5</v>
      </c>
      <c r="Z55" s="6" t="s">
        <v>5</v>
      </c>
      <c r="AA55" s="6" t="s">
        <v>5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67204545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O5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ROW(Source!A24)</f>
        <v>24</v>
      </c>
      <c r="B1">
        <v>67204543</v>
      </c>
      <c r="C1">
        <v>67204608</v>
      </c>
      <c r="D1">
        <v>66140260</v>
      </c>
      <c r="E1">
        <v>1073</v>
      </c>
      <c r="F1">
        <v>1</v>
      </c>
      <c r="G1">
        <v>1073</v>
      </c>
      <c r="H1">
        <v>1</v>
      </c>
      <c r="I1" t="s">
        <v>188</v>
      </c>
      <c r="J1" t="s">
        <v>5</v>
      </c>
      <c r="K1" t="s">
        <v>189</v>
      </c>
      <c r="L1">
        <v>1191</v>
      </c>
      <c r="N1">
        <v>1013</v>
      </c>
      <c r="O1" t="s">
        <v>190</v>
      </c>
      <c r="P1" t="s">
        <v>190</v>
      </c>
      <c r="Q1">
        <v>1</v>
      </c>
      <c r="W1">
        <v>0</v>
      </c>
      <c r="X1">
        <v>476480486</v>
      </c>
      <c r="Y1">
        <f>(AT1*0.8)</f>
        <v>151.136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5</v>
      </c>
      <c r="AT1">
        <v>188.92</v>
      </c>
      <c r="AU1" t="s">
        <v>22</v>
      </c>
      <c r="AV1">
        <v>1</v>
      </c>
      <c r="AW1">
        <v>2</v>
      </c>
      <c r="AX1">
        <v>67204616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ROUND(AT1*Source!I24*AH1*AL1,2)</f>
        <v>0</v>
      </c>
      <c r="CV1">
        <f>ROUND(Y1*Source!I24,9)</f>
        <v>686.15743999999995</v>
      </c>
      <c r="CW1">
        <v>0</v>
      </c>
      <c r="CX1">
        <f>ROUND(Y1*Source!I24,9)</f>
        <v>686.15743999999995</v>
      </c>
      <c r="CY1">
        <f>AD1</f>
        <v>0</v>
      </c>
      <c r="CZ1">
        <f>AH1</f>
        <v>0</v>
      </c>
      <c r="DA1">
        <f>AL1</f>
        <v>1</v>
      </c>
      <c r="DB1">
        <f>ROUND((ROUND(AT1*CZ1,2)*0.8),6)</f>
        <v>0</v>
      </c>
      <c r="DC1">
        <f>ROUND((ROUND(AT1*AG1,2)*0.8),6)</f>
        <v>0</v>
      </c>
      <c r="DD1" t="s">
        <v>5</v>
      </c>
      <c r="DE1" t="s">
        <v>5</v>
      </c>
      <c r="DF1">
        <f>ROUND(ROUND(AE1,2)*CX1,2)</f>
        <v>0</v>
      </c>
      <c r="DG1">
        <f>ROUND(ROUND(AF1,2)*CX1,2)</f>
        <v>0</v>
      </c>
      <c r="DH1">
        <f>ROUND(ROUND(AG1,2)*CX1,2)</f>
        <v>0</v>
      </c>
      <c r="DI1">
        <f t="shared" ref="DI1:DI32" si="0">ROUND(ROUND(AH1,2)*CX1,2)</f>
        <v>0</v>
      </c>
      <c r="DJ1">
        <f>DI1</f>
        <v>0</v>
      </c>
      <c r="DK1">
        <v>0</v>
      </c>
      <c r="DL1" t="s">
        <v>5</v>
      </c>
      <c r="DM1">
        <v>0</v>
      </c>
      <c r="DN1" t="s">
        <v>5</v>
      </c>
      <c r="DO1">
        <v>0</v>
      </c>
    </row>
    <row r="2" spans="1:119" x14ac:dyDescent="0.2">
      <c r="A2">
        <f>ROW(Source!A24)</f>
        <v>24</v>
      </c>
      <c r="B2">
        <v>67204543</v>
      </c>
      <c r="C2">
        <v>67204608</v>
      </c>
      <c r="D2">
        <v>66296384</v>
      </c>
      <c r="E2">
        <v>1</v>
      </c>
      <c r="F2">
        <v>1</v>
      </c>
      <c r="G2">
        <v>1073</v>
      </c>
      <c r="H2">
        <v>2</v>
      </c>
      <c r="I2" t="s">
        <v>191</v>
      </c>
      <c r="J2" t="s">
        <v>192</v>
      </c>
      <c r="K2" t="s">
        <v>193</v>
      </c>
      <c r="L2">
        <v>1368</v>
      </c>
      <c r="N2">
        <v>1011</v>
      </c>
      <c r="O2" t="s">
        <v>194</v>
      </c>
      <c r="P2" t="s">
        <v>194</v>
      </c>
      <c r="Q2">
        <v>1</v>
      </c>
      <c r="W2">
        <v>0</v>
      </c>
      <c r="X2">
        <v>-1005074883</v>
      </c>
      <c r="Y2">
        <f>(AT2*0.8)</f>
        <v>2.6240000000000001</v>
      </c>
      <c r="AA2">
        <v>0</v>
      </c>
      <c r="AB2">
        <v>1118.8900000000001</v>
      </c>
      <c r="AC2">
        <v>455.99</v>
      </c>
      <c r="AD2">
        <v>0</v>
      </c>
      <c r="AE2">
        <v>0</v>
      </c>
      <c r="AF2">
        <v>83.1</v>
      </c>
      <c r="AG2">
        <v>12.62</v>
      </c>
      <c r="AH2">
        <v>0</v>
      </c>
      <c r="AI2">
        <v>1</v>
      </c>
      <c r="AJ2">
        <v>12.86</v>
      </c>
      <c r="AK2">
        <v>34.51</v>
      </c>
      <c r="AL2">
        <v>1</v>
      </c>
      <c r="AM2">
        <v>2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5</v>
      </c>
      <c r="AT2">
        <v>3.28</v>
      </c>
      <c r="AU2" t="s">
        <v>22</v>
      </c>
      <c r="AV2">
        <v>0</v>
      </c>
      <c r="AW2">
        <v>2</v>
      </c>
      <c r="AX2">
        <v>67204617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ROUND(Y2*Source!I24*DO2,9)</f>
        <v>0</v>
      </c>
      <c r="CX2">
        <f>ROUND(Y2*Source!I24,9)</f>
        <v>11.91296</v>
      </c>
      <c r="CY2">
        <f>AB2</f>
        <v>1118.8900000000001</v>
      </c>
      <c r="CZ2">
        <f>AF2</f>
        <v>83.1</v>
      </c>
      <c r="DA2">
        <f>AJ2</f>
        <v>12.86</v>
      </c>
      <c r="DB2">
        <f>ROUND((ROUND(AT2*CZ2,2)*0.8),6)</f>
        <v>218.05600000000001</v>
      </c>
      <c r="DC2">
        <f>ROUND((ROUND(AT2*AG2,2)*0.8),6)</f>
        <v>33.112000000000002</v>
      </c>
      <c r="DD2" t="s">
        <v>5</v>
      </c>
      <c r="DE2" t="s">
        <v>5</v>
      </c>
      <c r="DF2">
        <f>ROUND(ROUND(AE2,2)*CX2,2)</f>
        <v>0</v>
      </c>
      <c r="DG2">
        <f>ROUND(ROUND(AF2*AJ2,2)*CX2,2)</f>
        <v>12731.02</v>
      </c>
      <c r="DH2">
        <f>ROUND(ROUND(AG2*AK2,2)*CX2,2)</f>
        <v>5188.33</v>
      </c>
      <c r="DI2">
        <f t="shared" si="0"/>
        <v>0</v>
      </c>
      <c r="DJ2">
        <f>DG2</f>
        <v>12731.02</v>
      </c>
      <c r="DK2">
        <v>0</v>
      </c>
      <c r="DL2" t="s">
        <v>5</v>
      </c>
      <c r="DM2">
        <v>0</v>
      </c>
      <c r="DN2" t="s">
        <v>5</v>
      </c>
      <c r="DO2">
        <v>0</v>
      </c>
    </row>
    <row r="3" spans="1:119" x14ac:dyDescent="0.2">
      <c r="A3">
        <f>ROW(Source!A24)</f>
        <v>24</v>
      </c>
      <c r="B3">
        <v>67204543</v>
      </c>
      <c r="C3">
        <v>67204608</v>
      </c>
      <c r="D3">
        <v>66296434</v>
      </c>
      <c r="E3">
        <v>1</v>
      </c>
      <c r="F3">
        <v>1</v>
      </c>
      <c r="G3">
        <v>1073</v>
      </c>
      <c r="H3">
        <v>2</v>
      </c>
      <c r="I3" t="s">
        <v>195</v>
      </c>
      <c r="J3" t="s">
        <v>196</v>
      </c>
      <c r="K3" t="s">
        <v>197</v>
      </c>
      <c r="L3">
        <v>1368</v>
      </c>
      <c r="N3">
        <v>1011</v>
      </c>
      <c r="O3" t="s">
        <v>194</v>
      </c>
      <c r="P3" t="s">
        <v>194</v>
      </c>
      <c r="Q3">
        <v>1</v>
      </c>
      <c r="W3">
        <v>0</v>
      </c>
      <c r="X3">
        <v>-396770318</v>
      </c>
      <c r="Y3">
        <f>(AT3*0.8)</f>
        <v>24.184000000000001</v>
      </c>
      <c r="AA3">
        <v>0</v>
      </c>
      <c r="AB3">
        <v>6.84</v>
      </c>
      <c r="AC3">
        <v>0</v>
      </c>
      <c r="AD3">
        <v>0</v>
      </c>
      <c r="AE3">
        <v>0</v>
      </c>
      <c r="AF3">
        <v>0.77</v>
      </c>
      <c r="AG3">
        <v>0</v>
      </c>
      <c r="AH3">
        <v>0</v>
      </c>
      <c r="AI3">
        <v>1</v>
      </c>
      <c r="AJ3">
        <v>8.48</v>
      </c>
      <c r="AK3">
        <v>34.51</v>
      </c>
      <c r="AL3">
        <v>1</v>
      </c>
      <c r="AM3">
        <v>2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5</v>
      </c>
      <c r="AT3">
        <v>30.23</v>
      </c>
      <c r="AU3" t="s">
        <v>22</v>
      </c>
      <c r="AV3">
        <v>0</v>
      </c>
      <c r="AW3">
        <v>2</v>
      </c>
      <c r="AX3">
        <v>67204618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ROUND(Y3*Source!I24*DO3,9)</f>
        <v>0</v>
      </c>
      <c r="CX3">
        <f>ROUND(Y3*Source!I24,9)</f>
        <v>109.79536</v>
      </c>
      <c r="CY3">
        <f>AB3</f>
        <v>6.84</v>
      </c>
      <c r="CZ3">
        <f>AF3</f>
        <v>0.77</v>
      </c>
      <c r="DA3">
        <f>AJ3</f>
        <v>8.48</v>
      </c>
      <c r="DB3">
        <f>ROUND((ROUND(AT3*CZ3,2)*0.8),6)</f>
        <v>18.623999999999999</v>
      </c>
      <c r="DC3">
        <f>ROUND((ROUND(AT3*AG3,2)*0.8),6)</f>
        <v>0</v>
      </c>
      <c r="DD3" t="s">
        <v>5</v>
      </c>
      <c r="DE3" t="s">
        <v>5</v>
      </c>
      <c r="DF3">
        <f>ROUND(ROUND(AE3,2)*CX3,2)</f>
        <v>0</v>
      </c>
      <c r="DG3">
        <f>ROUND(ROUND(AF3*AJ3,2)*CX3,2)</f>
        <v>716.96</v>
      </c>
      <c r="DH3">
        <f>ROUND(ROUND(AG3*AK3,2)*CX3,2)</f>
        <v>0</v>
      </c>
      <c r="DI3">
        <f t="shared" si="0"/>
        <v>0</v>
      </c>
      <c r="DJ3">
        <f>DG3</f>
        <v>716.96</v>
      </c>
      <c r="DK3">
        <v>0</v>
      </c>
      <c r="DL3" t="s">
        <v>5</v>
      </c>
      <c r="DM3">
        <v>0</v>
      </c>
      <c r="DN3" t="s">
        <v>5</v>
      </c>
      <c r="DO3">
        <v>0</v>
      </c>
    </row>
    <row r="4" spans="1:119" x14ac:dyDescent="0.2">
      <c r="A4">
        <f>ROW(Source!A24)</f>
        <v>24</v>
      </c>
      <c r="B4">
        <v>67204543</v>
      </c>
      <c r="C4">
        <v>67204608</v>
      </c>
      <c r="D4">
        <v>66296467</v>
      </c>
      <c r="E4">
        <v>1</v>
      </c>
      <c r="F4">
        <v>1</v>
      </c>
      <c r="G4">
        <v>1073</v>
      </c>
      <c r="H4">
        <v>2</v>
      </c>
      <c r="I4" t="s">
        <v>198</v>
      </c>
      <c r="J4" t="s">
        <v>199</v>
      </c>
      <c r="K4" t="s">
        <v>200</v>
      </c>
      <c r="L4">
        <v>1368</v>
      </c>
      <c r="N4">
        <v>1011</v>
      </c>
      <c r="O4" t="s">
        <v>194</v>
      </c>
      <c r="P4" t="s">
        <v>194</v>
      </c>
      <c r="Q4">
        <v>1</v>
      </c>
      <c r="W4">
        <v>0</v>
      </c>
      <c r="X4">
        <v>1547080895</v>
      </c>
      <c r="Y4">
        <f>(AT4*0.8)</f>
        <v>15.544</v>
      </c>
      <c r="AA4">
        <v>0</v>
      </c>
      <c r="AB4">
        <v>4.21</v>
      </c>
      <c r="AC4">
        <v>0</v>
      </c>
      <c r="AD4">
        <v>0</v>
      </c>
      <c r="AE4">
        <v>0</v>
      </c>
      <c r="AF4">
        <v>0.47</v>
      </c>
      <c r="AG4">
        <v>0</v>
      </c>
      <c r="AH4">
        <v>0</v>
      </c>
      <c r="AI4">
        <v>1</v>
      </c>
      <c r="AJ4">
        <v>8.5500000000000007</v>
      </c>
      <c r="AK4">
        <v>34.51</v>
      </c>
      <c r="AL4">
        <v>1</v>
      </c>
      <c r="AM4">
        <v>2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5</v>
      </c>
      <c r="AT4">
        <v>19.43</v>
      </c>
      <c r="AU4" t="s">
        <v>22</v>
      </c>
      <c r="AV4">
        <v>0</v>
      </c>
      <c r="AW4">
        <v>2</v>
      </c>
      <c r="AX4">
        <v>67204619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ROUND(Y4*Source!I24*DO4,9)</f>
        <v>0</v>
      </c>
      <c r="CX4">
        <f>ROUND(Y4*Source!I24,9)</f>
        <v>70.569760000000002</v>
      </c>
      <c r="CY4">
        <f>AB4</f>
        <v>4.21</v>
      </c>
      <c r="CZ4">
        <f>AF4</f>
        <v>0.47</v>
      </c>
      <c r="DA4">
        <f>AJ4</f>
        <v>8.5500000000000007</v>
      </c>
      <c r="DB4">
        <f>ROUND((ROUND(AT4*CZ4,2)*0.8),6)</f>
        <v>7.3040000000000003</v>
      </c>
      <c r="DC4">
        <f>ROUND((ROUND(AT4*AG4,2)*0.8),6)</f>
        <v>0</v>
      </c>
      <c r="DD4" t="s">
        <v>5</v>
      </c>
      <c r="DE4" t="s">
        <v>5</v>
      </c>
      <c r="DF4">
        <f>ROUND(ROUND(AE4,2)*CX4,2)</f>
        <v>0</v>
      </c>
      <c r="DG4">
        <f>ROUND(ROUND(AF4*AJ4,2)*CX4,2)</f>
        <v>283.69</v>
      </c>
      <c r="DH4">
        <f>ROUND(ROUND(AG4*AK4,2)*CX4,2)</f>
        <v>0</v>
      </c>
      <c r="DI4">
        <f t="shared" si="0"/>
        <v>0</v>
      </c>
      <c r="DJ4">
        <f>DG4</f>
        <v>283.69</v>
      </c>
      <c r="DK4">
        <v>0</v>
      </c>
      <c r="DL4" t="s">
        <v>5</v>
      </c>
      <c r="DM4">
        <v>0</v>
      </c>
      <c r="DN4" t="s">
        <v>5</v>
      </c>
      <c r="DO4">
        <v>0</v>
      </c>
    </row>
    <row r="5" spans="1:119" x14ac:dyDescent="0.2">
      <c r="A5">
        <f>ROW(Source!A24)</f>
        <v>24</v>
      </c>
      <c r="B5">
        <v>67204543</v>
      </c>
      <c r="C5">
        <v>67204608</v>
      </c>
      <c r="D5">
        <v>66209647</v>
      </c>
      <c r="E5">
        <v>1</v>
      </c>
      <c r="F5">
        <v>1</v>
      </c>
      <c r="G5">
        <v>1073</v>
      </c>
      <c r="H5">
        <v>3</v>
      </c>
      <c r="I5" t="s">
        <v>201</v>
      </c>
      <c r="J5" t="s">
        <v>202</v>
      </c>
      <c r="K5" t="s">
        <v>203</v>
      </c>
      <c r="L5">
        <v>1354</v>
      </c>
      <c r="N5">
        <v>1010</v>
      </c>
      <c r="O5" t="s">
        <v>62</v>
      </c>
      <c r="P5" t="s">
        <v>62</v>
      </c>
      <c r="Q5">
        <v>1</v>
      </c>
      <c r="W5">
        <v>0</v>
      </c>
      <c r="X5">
        <v>-547191978</v>
      </c>
      <c r="Y5">
        <f>(AT5*0)</f>
        <v>0</v>
      </c>
      <c r="AA5">
        <v>12.29</v>
      </c>
      <c r="AB5">
        <v>0</v>
      </c>
      <c r="AC5">
        <v>0</v>
      </c>
      <c r="AD5">
        <v>0</v>
      </c>
      <c r="AE5">
        <v>9.6</v>
      </c>
      <c r="AF5">
        <v>0</v>
      </c>
      <c r="AG5">
        <v>0</v>
      </c>
      <c r="AH5">
        <v>0</v>
      </c>
      <c r="AI5">
        <v>1.28</v>
      </c>
      <c r="AJ5">
        <v>1</v>
      </c>
      <c r="AK5">
        <v>1</v>
      </c>
      <c r="AL5">
        <v>1</v>
      </c>
      <c r="AM5">
        <v>2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5</v>
      </c>
      <c r="AT5">
        <v>606</v>
      </c>
      <c r="AU5" t="s">
        <v>21</v>
      </c>
      <c r="AV5">
        <v>0</v>
      </c>
      <c r="AW5">
        <v>2</v>
      </c>
      <c r="AX5">
        <v>67204621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ROUND(Y5*Source!I24,9)</f>
        <v>0</v>
      </c>
      <c r="CY5">
        <f>AA5</f>
        <v>12.29</v>
      </c>
      <c r="CZ5">
        <f>AE5</f>
        <v>9.6</v>
      </c>
      <c r="DA5">
        <f>AI5</f>
        <v>1.28</v>
      </c>
      <c r="DB5">
        <f>ROUND((ROUND(AT5*CZ5,2)*0),6)</f>
        <v>0</v>
      </c>
      <c r="DC5">
        <f>ROUND((ROUND(AT5*AG5,2)*0),6)</f>
        <v>0</v>
      </c>
      <c r="DD5" t="s">
        <v>5</v>
      </c>
      <c r="DE5" t="s">
        <v>5</v>
      </c>
      <c r="DF5">
        <f>ROUND(ROUND(AE5*AI5,2)*CX5,2)</f>
        <v>0</v>
      </c>
      <c r="DG5">
        <f>ROUND(ROUND(AF5,2)*CX5,2)</f>
        <v>0</v>
      </c>
      <c r="DH5">
        <f>ROUND(ROUND(AG5,2)*CX5,2)</f>
        <v>0</v>
      </c>
      <c r="DI5">
        <f t="shared" si="0"/>
        <v>0</v>
      </c>
      <c r="DJ5">
        <f>DF5</f>
        <v>0</v>
      </c>
      <c r="DK5">
        <v>0</v>
      </c>
      <c r="DL5" t="s">
        <v>5</v>
      </c>
      <c r="DM5">
        <v>0</v>
      </c>
      <c r="DN5" t="s">
        <v>5</v>
      </c>
      <c r="DO5">
        <v>0</v>
      </c>
    </row>
    <row r="6" spans="1:119" x14ac:dyDescent="0.2">
      <c r="A6">
        <f>ROW(Source!A24)</f>
        <v>24</v>
      </c>
      <c r="B6">
        <v>67204543</v>
      </c>
      <c r="C6">
        <v>67204608</v>
      </c>
      <c r="D6">
        <v>66208399</v>
      </c>
      <c r="E6">
        <v>1</v>
      </c>
      <c r="F6">
        <v>1</v>
      </c>
      <c r="G6">
        <v>1073</v>
      </c>
      <c r="H6">
        <v>3</v>
      </c>
      <c r="I6" t="s">
        <v>204</v>
      </c>
      <c r="J6" t="s">
        <v>205</v>
      </c>
      <c r="K6" t="s">
        <v>206</v>
      </c>
      <c r="L6">
        <v>1296</v>
      </c>
      <c r="N6">
        <v>1002</v>
      </c>
      <c r="O6" t="s">
        <v>207</v>
      </c>
      <c r="P6" t="s">
        <v>207</v>
      </c>
      <c r="Q6">
        <v>1</v>
      </c>
      <c r="W6">
        <v>0</v>
      </c>
      <c r="X6">
        <v>1013403799</v>
      </c>
      <c r="Y6">
        <f>(AT6*0)</f>
        <v>0</v>
      </c>
      <c r="AA6">
        <v>268.02999999999997</v>
      </c>
      <c r="AB6">
        <v>0</v>
      </c>
      <c r="AC6">
        <v>0</v>
      </c>
      <c r="AD6">
        <v>0</v>
      </c>
      <c r="AE6">
        <v>54.7</v>
      </c>
      <c r="AF6">
        <v>0</v>
      </c>
      <c r="AG6">
        <v>0</v>
      </c>
      <c r="AH6">
        <v>0</v>
      </c>
      <c r="AI6">
        <v>4.9000000000000004</v>
      </c>
      <c r="AJ6">
        <v>1</v>
      </c>
      <c r="AK6">
        <v>1</v>
      </c>
      <c r="AL6">
        <v>1</v>
      </c>
      <c r="AM6">
        <v>2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5</v>
      </c>
      <c r="AT6">
        <v>72</v>
      </c>
      <c r="AU6" t="s">
        <v>21</v>
      </c>
      <c r="AV6">
        <v>0</v>
      </c>
      <c r="AW6">
        <v>2</v>
      </c>
      <c r="AX6">
        <v>67204622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ROUND(Y6*Source!I24,9)</f>
        <v>0</v>
      </c>
      <c r="CY6">
        <f>AA6</f>
        <v>268.02999999999997</v>
      </c>
      <c r="CZ6">
        <f>AE6</f>
        <v>54.7</v>
      </c>
      <c r="DA6">
        <f>AI6</f>
        <v>4.9000000000000004</v>
      </c>
      <c r="DB6">
        <f>ROUND((ROUND(AT6*CZ6,2)*0),6)</f>
        <v>0</v>
      </c>
      <c r="DC6">
        <f>ROUND((ROUND(AT6*AG6,2)*0),6)</f>
        <v>0</v>
      </c>
      <c r="DD6" t="s">
        <v>5</v>
      </c>
      <c r="DE6" t="s">
        <v>5</v>
      </c>
      <c r="DF6">
        <f>ROUND(ROUND(AE6*AI6,2)*CX6,2)</f>
        <v>0</v>
      </c>
      <c r="DG6">
        <f>ROUND(ROUND(AF6,2)*CX6,2)</f>
        <v>0</v>
      </c>
      <c r="DH6">
        <f>ROUND(ROUND(AG6,2)*CX6,2)</f>
        <v>0</v>
      </c>
      <c r="DI6">
        <f t="shared" si="0"/>
        <v>0</v>
      </c>
      <c r="DJ6">
        <f>DF6</f>
        <v>0</v>
      </c>
      <c r="DK6">
        <v>0</v>
      </c>
      <c r="DL6" t="s">
        <v>5</v>
      </c>
      <c r="DM6">
        <v>0</v>
      </c>
      <c r="DN6" t="s">
        <v>5</v>
      </c>
      <c r="DO6">
        <v>0</v>
      </c>
    </row>
    <row r="7" spans="1:119" x14ac:dyDescent="0.2">
      <c r="A7">
        <f>ROW(Source!A24)</f>
        <v>24</v>
      </c>
      <c r="B7">
        <v>67204543</v>
      </c>
      <c r="C7">
        <v>67204608</v>
      </c>
      <c r="D7">
        <v>66182804</v>
      </c>
      <c r="E7">
        <v>1073</v>
      </c>
      <c r="F7">
        <v>1</v>
      </c>
      <c r="G7">
        <v>1073</v>
      </c>
      <c r="H7">
        <v>3</v>
      </c>
      <c r="I7" t="s">
        <v>208</v>
      </c>
      <c r="J7" t="s">
        <v>5</v>
      </c>
      <c r="K7" t="s">
        <v>209</v>
      </c>
      <c r="L7">
        <v>1344</v>
      </c>
      <c r="N7">
        <v>1008</v>
      </c>
      <c r="O7" t="s">
        <v>210</v>
      </c>
      <c r="P7" t="s">
        <v>210</v>
      </c>
      <c r="Q7">
        <v>1</v>
      </c>
      <c r="W7">
        <v>0</v>
      </c>
      <c r="X7">
        <v>-1201287655</v>
      </c>
      <c r="Y7">
        <f>(AT7*0.8)</f>
        <v>8.0000000000000002E-3</v>
      </c>
      <c r="AA7">
        <v>0</v>
      </c>
      <c r="AB7">
        <v>1</v>
      </c>
      <c r="AC7">
        <v>0</v>
      </c>
      <c r="AD7">
        <v>0</v>
      </c>
      <c r="AE7">
        <v>0</v>
      </c>
      <c r="AF7">
        <v>1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5</v>
      </c>
      <c r="AT7">
        <v>0.01</v>
      </c>
      <c r="AU7" t="s">
        <v>22</v>
      </c>
      <c r="AV7">
        <v>0</v>
      </c>
      <c r="AW7">
        <v>2</v>
      </c>
      <c r="AX7">
        <v>67204620</v>
      </c>
      <c r="AY7">
        <v>1</v>
      </c>
      <c r="AZ7">
        <v>2048</v>
      </c>
      <c r="BA7">
        <v>11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ROUND(Y7*Source!I24,9)</f>
        <v>3.6319999999999998E-2</v>
      </c>
      <c r="CY7">
        <f>AA7</f>
        <v>0</v>
      </c>
      <c r="CZ7">
        <f>AE7</f>
        <v>0</v>
      </c>
      <c r="DA7">
        <f>AI7</f>
        <v>1</v>
      </c>
      <c r="DB7">
        <f>ROUND((ROUND(AT7*CZ7,2)*0.8),6)</f>
        <v>0</v>
      </c>
      <c r="DC7">
        <f>ROUND((ROUND(AT7*AG7,2)*0.8),6)</f>
        <v>0</v>
      </c>
      <c r="DD7" t="s">
        <v>5</v>
      </c>
      <c r="DE7" t="s">
        <v>5</v>
      </c>
      <c r="DF7">
        <f>ROUND(ROUND(AE7,2)*CX7,2)</f>
        <v>0</v>
      </c>
      <c r="DG7">
        <f>ROUND(ROUND(AF7,2)*CX7,2)</f>
        <v>0.04</v>
      </c>
      <c r="DH7">
        <f>ROUND(ROUND(AG7,2)*CX7,2)</f>
        <v>0</v>
      </c>
      <c r="DI7">
        <f t="shared" si="0"/>
        <v>0</v>
      </c>
      <c r="DJ7">
        <f>DF7</f>
        <v>0</v>
      </c>
      <c r="DK7">
        <v>0</v>
      </c>
      <c r="DL7" t="s">
        <v>5</v>
      </c>
      <c r="DM7">
        <v>0</v>
      </c>
      <c r="DN7" t="s">
        <v>5</v>
      </c>
      <c r="DO7">
        <v>0</v>
      </c>
    </row>
    <row r="8" spans="1:119" x14ac:dyDescent="0.2">
      <c r="A8">
        <f>ROW(Source!A25)</f>
        <v>25</v>
      </c>
      <c r="B8">
        <v>67204543</v>
      </c>
      <c r="C8">
        <v>67204627</v>
      </c>
      <c r="D8">
        <v>66140260</v>
      </c>
      <c r="E8">
        <v>1073</v>
      </c>
      <c r="F8">
        <v>1</v>
      </c>
      <c r="G8">
        <v>1073</v>
      </c>
      <c r="H8">
        <v>1</v>
      </c>
      <c r="I8" t="s">
        <v>188</v>
      </c>
      <c r="J8" t="s">
        <v>5</v>
      </c>
      <c r="K8" t="s">
        <v>189</v>
      </c>
      <c r="L8">
        <v>1191</v>
      </c>
      <c r="N8">
        <v>1013</v>
      </c>
      <c r="O8" t="s">
        <v>190</v>
      </c>
      <c r="P8" t="s">
        <v>190</v>
      </c>
      <c r="Q8">
        <v>1</v>
      </c>
      <c r="W8">
        <v>0</v>
      </c>
      <c r="X8">
        <v>476480486</v>
      </c>
      <c r="Y8">
        <f>(AT8*1.15)</f>
        <v>217.25799999999998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5</v>
      </c>
      <c r="AT8">
        <v>188.92</v>
      </c>
      <c r="AU8" t="s">
        <v>30</v>
      </c>
      <c r="AV8">
        <v>1</v>
      </c>
      <c r="AW8">
        <v>2</v>
      </c>
      <c r="AX8">
        <v>67204639</v>
      </c>
      <c r="AY8">
        <v>1</v>
      </c>
      <c r="AZ8">
        <v>0</v>
      </c>
      <c r="BA8">
        <v>12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ROUND(AT8*Source!I25*AH8*AL8,2)</f>
        <v>0</v>
      </c>
      <c r="CV8">
        <f>ROUND(Y8*Source!I25,9)</f>
        <v>986.35131999999999</v>
      </c>
      <c r="CW8">
        <v>0</v>
      </c>
      <c r="CX8">
        <f>ROUND(Y8*Source!I25,9)</f>
        <v>986.35131999999999</v>
      </c>
      <c r="CY8">
        <f>AD8</f>
        <v>0</v>
      </c>
      <c r="CZ8">
        <f>AH8</f>
        <v>0</v>
      </c>
      <c r="DA8">
        <f>AL8</f>
        <v>1</v>
      </c>
      <c r="DB8">
        <f>ROUND((ROUND(AT8*CZ8,2)*1.15),6)</f>
        <v>0</v>
      </c>
      <c r="DC8">
        <f>ROUND((ROUND(AT8*AG8,2)*1.15),6)</f>
        <v>0</v>
      </c>
      <c r="DD8" t="s">
        <v>5</v>
      </c>
      <c r="DE8" t="s">
        <v>5</v>
      </c>
      <c r="DF8">
        <f>ROUND(ROUND(AE8,2)*CX8,2)</f>
        <v>0</v>
      </c>
      <c r="DG8">
        <f>ROUND(ROUND(AF8,2)*CX8,2)</f>
        <v>0</v>
      </c>
      <c r="DH8">
        <f>ROUND(ROUND(AG8,2)*CX8,2)</f>
        <v>0</v>
      </c>
      <c r="DI8">
        <f t="shared" si="0"/>
        <v>0</v>
      </c>
      <c r="DJ8">
        <f>DI8</f>
        <v>0</v>
      </c>
      <c r="DK8">
        <v>0</v>
      </c>
      <c r="DL8" t="s">
        <v>5</v>
      </c>
      <c r="DM8">
        <v>0</v>
      </c>
      <c r="DN8" t="s">
        <v>5</v>
      </c>
      <c r="DO8">
        <v>0</v>
      </c>
    </row>
    <row r="9" spans="1:119" x14ac:dyDescent="0.2">
      <c r="A9">
        <f>ROW(Source!A25)</f>
        <v>25</v>
      </c>
      <c r="B9">
        <v>67204543</v>
      </c>
      <c r="C9">
        <v>67204627</v>
      </c>
      <c r="D9">
        <v>66296384</v>
      </c>
      <c r="E9">
        <v>1</v>
      </c>
      <c r="F9">
        <v>1</v>
      </c>
      <c r="G9">
        <v>1073</v>
      </c>
      <c r="H9">
        <v>2</v>
      </c>
      <c r="I9" t="s">
        <v>191</v>
      </c>
      <c r="J9" t="s">
        <v>192</v>
      </c>
      <c r="K9" t="s">
        <v>193</v>
      </c>
      <c r="L9">
        <v>1368</v>
      </c>
      <c r="N9">
        <v>1011</v>
      </c>
      <c r="O9" t="s">
        <v>194</v>
      </c>
      <c r="P9" t="s">
        <v>194</v>
      </c>
      <c r="Q9">
        <v>1</v>
      </c>
      <c r="W9">
        <v>0</v>
      </c>
      <c r="X9">
        <v>-1005074883</v>
      </c>
      <c r="Y9">
        <f>(AT9*1.25)</f>
        <v>4.0999999999999996</v>
      </c>
      <c r="AA9">
        <v>0</v>
      </c>
      <c r="AB9">
        <v>1118.8900000000001</v>
      </c>
      <c r="AC9">
        <v>455.99</v>
      </c>
      <c r="AD9">
        <v>0</v>
      </c>
      <c r="AE9">
        <v>0</v>
      </c>
      <c r="AF9">
        <v>83.1</v>
      </c>
      <c r="AG9">
        <v>12.62</v>
      </c>
      <c r="AH9">
        <v>0</v>
      </c>
      <c r="AI9">
        <v>1</v>
      </c>
      <c r="AJ9">
        <v>12.86</v>
      </c>
      <c r="AK9">
        <v>34.51</v>
      </c>
      <c r="AL9">
        <v>1</v>
      </c>
      <c r="AM9">
        <v>2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5</v>
      </c>
      <c r="AT9">
        <v>3.28</v>
      </c>
      <c r="AU9" t="s">
        <v>29</v>
      </c>
      <c r="AV9">
        <v>0</v>
      </c>
      <c r="AW9">
        <v>2</v>
      </c>
      <c r="AX9">
        <v>67204640</v>
      </c>
      <c r="AY9">
        <v>1</v>
      </c>
      <c r="AZ9">
        <v>0</v>
      </c>
      <c r="BA9">
        <v>13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f>ROUND(Y9*Source!I25*DO9,9)</f>
        <v>0</v>
      </c>
      <c r="CX9">
        <f>ROUND(Y9*Source!I25,9)</f>
        <v>18.614000000000001</v>
      </c>
      <c r="CY9">
        <f>AB9</f>
        <v>1118.8900000000001</v>
      </c>
      <c r="CZ9">
        <f>AF9</f>
        <v>83.1</v>
      </c>
      <c r="DA9">
        <f>AJ9</f>
        <v>12.86</v>
      </c>
      <c r="DB9">
        <f>ROUND((ROUND(AT9*CZ9,2)*1.25),6)</f>
        <v>340.71249999999998</v>
      </c>
      <c r="DC9">
        <f>ROUND((ROUND(AT9*AG9,2)*1.25),6)</f>
        <v>51.737499999999997</v>
      </c>
      <c r="DD9" t="s">
        <v>5</v>
      </c>
      <c r="DE9" t="s">
        <v>5</v>
      </c>
      <c r="DF9">
        <f>ROUND(ROUND(AE9,2)*CX9,2)</f>
        <v>0</v>
      </c>
      <c r="DG9">
        <f>ROUND(ROUND(AF9*AJ9,2)*CX9,2)</f>
        <v>19892.22</v>
      </c>
      <c r="DH9">
        <f>ROUND(ROUND(AG9*AK9,2)*CX9,2)</f>
        <v>8106.77</v>
      </c>
      <c r="DI9">
        <f t="shared" si="0"/>
        <v>0</v>
      </c>
      <c r="DJ9">
        <f>DG9</f>
        <v>19892.22</v>
      </c>
      <c r="DK9">
        <v>0</v>
      </c>
      <c r="DL9" t="s">
        <v>5</v>
      </c>
      <c r="DM9">
        <v>0</v>
      </c>
      <c r="DN9" t="s">
        <v>5</v>
      </c>
      <c r="DO9">
        <v>0</v>
      </c>
    </row>
    <row r="10" spans="1:119" x14ac:dyDescent="0.2">
      <c r="A10">
        <f>ROW(Source!A25)</f>
        <v>25</v>
      </c>
      <c r="B10">
        <v>67204543</v>
      </c>
      <c r="C10">
        <v>67204627</v>
      </c>
      <c r="D10">
        <v>66296434</v>
      </c>
      <c r="E10">
        <v>1</v>
      </c>
      <c r="F10">
        <v>1</v>
      </c>
      <c r="G10">
        <v>1073</v>
      </c>
      <c r="H10">
        <v>2</v>
      </c>
      <c r="I10" t="s">
        <v>195</v>
      </c>
      <c r="J10" t="s">
        <v>196</v>
      </c>
      <c r="K10" t="s">
        <v>197</v>
      </c>
      <c r="L10">
        <v>1368</v>
      </c>
      <c r="N10">
        <v>1011</v>
      </c>
      <c r="O10" t="s">
        <v>194</v>
      </c>
      <c r="P10" t="s">
        <v>194</v>
      </c>
      <c r="Q10">
        <v>1</v>
      </c>
      <c r="W10">
        <v>0</v>
      </c>
      <c r="X10">
        <v>-396770318</v>
      </c>
      <c r="Y10">
        <f>(AT10*1.25)</f>
        <v>37.787500000000001</v>
      </c>
      <c r="AA10">
        <v>0</v>
      </c>
      <c r="AB10">
        <v>6.84</v>
      </c>
      <c r="AC10">
        <v>0</v>
      </c>
      <c r="AD10">
        <v>0</v>
      </c>
      <c r="AE10">
        <v>0</v>
      </c>
      <c r="AF10">
        <v>0.77</v>
      </c>
      <c r="AG10">
        <v>0</v>
      </c>
      <c r="AH10">
        <v>0</v>
      </c>
      <c r="AI10">
        <v>1</v>
      </c>
      <c r="AJ10">
        <v>8.48</v>
      </c>
      <c r="AK10">
        <v>34.51</v>
      </c>
      <c r="AL10">
        <v>1</v>
      </c>
      <c r="AM10">
        <v>2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5</v>
      </c>
      <c r="AT10">
        <v>30.23</v>
      </c>
      <c r="AU10" t="s">
        <v>29</v>
      </c>
      <c r="AV10">
        <v>0</v>
      </c>
      <c r="AW10">
        <v>2</v>
      </c>
      <c r="AX10">
        <v>67204641</v>
      </c>
      <c r="AY10">
        <v>1</v>
      </c>
      <c r="AZ10">
        <v>0</v>
      </c>
      <c r="BA10">
        <v>14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f>ROUND(Y10*Source!I25*DO10,9)</f>
        <v>0</v>
      </c>
      <c r="CX10">
        <f>ROUND(Y10*Source!I25,9)</f>
        <v>171.55525</v>
      </c>
      <c r="CY10">
        <f>AB10</f>
        <v>6.84</v>
      </c>
      <c r="CZ10">
        <f>AF10</f>
        <v>0.77</v>
      </c>
      <c r="DA10">
        <f>AJ10</f>
        <v>8.48</v>
      </c>
      <c r="DB10">
        <f>ROUND((ROUND(AT10*CZ10,2)*1.25),6)</f>
        <v>29.1</v>
      </c>
      <c r="DC10">
        <f>ROUND((ROUND(AT10*AG10,2)*1.25),6)</f>
        <v>0</v>
      </c>
      <c r="DD10" t="s">
        <v>5</v>
      </c>
      <c r="DE10" t="s">
        <v>5</v>
      </c>
      <c r="DF10">
        <f>ROUND(ROUND(AE10,2)*CX10,2)</f>
        <v>0</v>
      </c>
      <c r="DG10">
        <f>ROUND(ROUND(AF10*AJ10,2)*CX10,2)</f>
        <v>1120.26</v>
      </c>
      <c r="DH10">
        <f>ROUND(ROUND(AG10*AK10,2)*CX10,2)</f>
        <v>0</v>
      </c>
      <c r="DI10">
        <f t="shared" si="0"/>
        <v>0</v>
      </c>
      <c r="DJ10">
        <f>DG10</f>
        <v>1120.26</v>
      </c>
      <c r="DK10">
        <v>0</v>
      </c>
      <c r="DL10" t="s">
        <v>5</v>
      </c>
      <c r="DM10">
        <v>0</v>
      </c>
      <c r="DN10" t="s">
        <v>5</v>
      </c>
      <c r="DO10">
        <v>0</v>
      </c>
    </row>
    <row r="11" spans="1:119" x14ac:dyDescent="0.2">
      <c r="A11">
        <f>ROW(Source!A25)</f>
        <v>25</v>
      </c>
      <c r="B11">
        <v>67204543</v>
      </c>
      <c r="C11">
        <v>67204627</v>
      </c>
      <c r="D11">
        <v>66296467</v>
      </c>
      <c r="E11">
        <v>1</v>
      </c>
      <c r="F11">
        <v>1</v>
      </c>
      <c r="G11">
        <v>1073</v>
      </c>
      <c r="H11">
        <v>2</v>
      </c>
      <c r="I11" t="s">
        <v>198</v>
      </c>
      <c r="J11" t="s">
        <v>199</v>
      </c>
      <c r="K11" t="s">
        <v>200</v>
      </c>
      <c r="L11">
        <v>1368</v>
      </c>
      <c r="N11">
        <v>1011</v>
      </c>
      <c r="O11" t="s">
        <v>194</v>
      </c>
      <c r="P11" t="s">
        <v>194</v>
      </c>
      <c r="Q11">
        <v>1</v>
      </c>
      <c r="W11">
        <v>0</v>
      </c>
      <c r="X11">
        <v>1547080895</v>
      </c>
      <c r="Y11">
        <f>(AT11*1.25)</f>
        <v>24.287500000000001</v>
      </c>
      <c r="AA11">
        <v>0</v>
      </c>
      <c r="AB11">
        <v>4.21</v>
      </c>
      <c r="AC11">
        <v>0</v>
      </c>
      <c r="AD11">
        <v>0</v>
      </c>
      <c r="AE11">
        <v>0</v>
      </c>
      <c r="AF11">
        <v>0.47</v>
      </c>
      <c r="AG11">
        <v>0</v>
      </c>
      <c r="AH11">
        <v>0</v>
      </c>
      <c r="AI11">
        <v>1</v>
      </c>
      <c r="AJ11">
        <v>8.5500000000000007</v>
      </c>
      <c r="AK11">
        <v>34.51</v>
      </c>
      <c r="AL11">
        <v>1</v>
      </c>
      <c r="AM11">
        <v>2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5</v>
      </c>
      <c r="AT11">
        <v>19.43</v>
      </c>
      <c r="AU11" t="s">
        <v>29</v>
      </c>
      <c r="AV11">
        <v>0</v>
      </c>
      <c r="AW11">
        <v>2</v>
      </c>
      <c r="AX11">
        <v>67204642</v>
      </c>
      <c r="AY11">
        <v>1</v>
      </c>
      <c r="AZ11">
        <v>0</v>
      </c>
      <c r="BA11">
        <v>15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V11">
        <v>0</v>
      </c>
      <c r="CW11">
        <f>ROUND(Y11*Source!I25*DO11,9)</f>
        <v>0</v>
      </c>
      <c r="CX11">
        <f>ROUND(Y11*Source!I25,9)</f>
        <v>110.26524999999999</v>
      </c>
      <c r="CY11">
        <f>AB11</f>
        <v>4.21</v>
      </c>
      <c r="CZ11">
        <f>AF11</f>
        <v>0.47</v>
      </c>
      <c r="DA11">
        <f>AJ11</f>
        <v>8.5500000000000007</v>
      </c>
      <c r="DB11">
        <f>ROUND((ROUND(AT11*CZ11,2)*1.25),6)</f>
        <v>11.4125</v>
      </c>
      <c r="DC11">
        <f>ROUND((ROUND(AT11*AG11,2)*1.25),6)</f>
        <v>0</v>
      </c>
      <c r="DD11" t="s">
        <v>5</v>
      </c>
      <c r="DE11" t="s">
        <v>5</v>
      </c>
      <c r="DF11">
        <f>ROUND(ROUND(AE11,2)*CX11,2)</f>
        <v>0</v>
      </c>
      <c r="DG11">
        <f>ROUND(ROUND(AF11*AJ11,2)*CX11,2)</f>
        <v>443.27</v>
      </c>
      <c r="DH11">
        <f>ROUND(ROUND(AG11*AK11,2)*CX11,2)</f>
        <v>0</v>
      </c>
      <c r="DI11">
        <f t="shared" si="0"/>
        <v>0</v>
      </c>
      <c r="DJ11">
        <f>DG11</f>
        <v>443.27</v>
      </c>
      <c r="DK11">
        <v>0</v>
      </c>
      <c r="DL11" t="s">
        <v>5</v>
      </c>
      <c r="DM11">
        <v>0</v>
      </c>
      <c r="DN11" t="s">
        <v>5</v>
      </c>
      <c r="DO11">
        <v>0</v>
      </c>
    </row>
    <row r="12" spans="1:119" x14ac:dyDescent="0.2">
      <c r="A12">
        <f>ROW(Source!A25)</f>
        <v>25</v>
      </c>
      <c r="B12">
        <v>67204543</v>
      </c>
      <c r="C12">
        <v>67204627</v>
      </c>
      <c r="D12">
        <v>66209647</v>
      </c>
      <c r="E12">
        <v>1</v>
      </c>
      <c r="F12">
        <v>1</v>
      </c>
      <c r="G12">
        <v>1073</v>
      </c>
      <c r="H12">
        <v>3</v>
      </c>
      <c r="I12" t="s">
        <v>201</v>
      </c>
      <c r="J12" t="s">
        <v>202</v>
      </c>
      <c r="K12" t="s">
        <v>203</v>
      </c>
      <c r="L12">
        <v>1354</v>
      </c>
      <c r="N12">
        <v>1010</v>
      </c>
      <c r="O12" t="s">
        <v>62</v>
      </c>
      <c r="P12" t="s">
        <v>62</v>
      </c>
      <c r="Q12">
        <v>1</v>
      </c>
      <c r="W12">
        <v>0</v>
      </c>
      <c r="X12">
        <v>-547191978</v>
      </c>
      <c r="Y12">
        <f>AT12</f>
        <v>606</v>
      </c>
      <c r="AA12">
        <v>12.29</v>
      </c>
      <c r="AB12">
        <v>0</v>
      </c>
      <c r="AC12">
        <v>0</v>
      </c>
      <c r="AD12">
        <v>0</v>
      </c>
      <c r="AE12">
        <v>9.6</v>
      </c>
      <c r="AF12">
        <v>0</v>
      </c>
      <c r="AG12">
        <v>0</v>
      </c>
      <c r="AH12">
        <v>0</v>
      </c>
      <c r="AI12">
        <v>1.28</v>
      </c>
      <c r="AJ12">
        <v>1</v>
      </c>
      <c r="AK12">
        <v>1</v>
      </c>
      <c r="AL12">
        <v>1</v>
      </c>
      <c r="AM12">
        <v>2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5</v>
      </c>
      <c r="AT12">
        <v>606</v>
      </c>
      <c r="AU12" t="s">
        <v>5</v>
      </c>
      <c r="AV12">
        <v>0</v>
      </c>
      <c r="AW12">
        <v>2</v>
      </c>
      <c r="AX12">
        <v>67204644</v>
      </c>
      <c r="AY12">
        <v>1</v>
      </c>
      <c r="AZ12">
        <v>0</v>
      </c>
      <c r="BA12">
        <v>16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ROUND(Y12*Source!I25,9)</f>
        <v>2751.24</v>
      </c>
      <c r="CY12">
        <f t="shared" ref="CY12:CY18" si="1">AA12</f>
        <v>12.29</v>
      </c>
      <c r="CZ12">
        <f t="shared" ref="CZ12:CZ18" si="2">AE12</f>
        <v>9.6</v>
      </c>
      <c r="DA12">
        <f t="shared" ref="DA12:DA18" si="3">AI12</f>
        <v>1.28</v>
      </c>
      <c r="DB12">
        <f>ROUND(ROUND(AT12*CZ12,2),6)</f>
        <v>5817.6</v>
      </c>
      <c r="DC12">
        <f>ROUND(ROUND(AT12*AG12,2),6)</f>
        <v>0</v>
      </c>
      <c r="DD12" t="s">
        <v>5</v>
      </c>
      <c r="DE12" t="s">
        <v>5</v>
      </c>
      <c r="DF12">
        <f>ROUND(ROUND(AE12*AI12,2)*CX12,2)</f>
        <v>33812.74</v>
      </c>
      <c r="DG12">
        <f t="shared" ref="DG12:DG19" si="4">ROUND(ROUND(AF12,2)*CX12,2)</f>
        <v>0</v>
      </c>
      <c r="DH12">
        <f t="shared" ref="DH12:DH19" si="5">ROUND(ROUND(AG12,2)*CX12,2)</f>
        <v>0</v>
      </c>
      <c r="DI12">
        <f t="shared" si="0"/>
        <v>0</v>
      </c>
      <c r="DJ12">
        <f t="shared" ref="DJ12:DJ18" si="6">DF12</f>
        <v>33812.74</v>
      </c>
      <c r="DK12">
        <v>0</v>
      </c>
      <c r="DL12" t="s">
        <v>5</v>
      </c>
      <c r="DM12">
        <v>0</v>
      </c>
      <c r="DN12" t="s">
        <v>5</v>
      </c>
      <c r="DO12">
        <v>0</v>
      </c>
    </row>
    <row r="13" spans="1:119" x14ac:dyDescent="0.2">
      <c r="A13">
        <f>ROW(Source!A25)</f>
        <v>25</v>
      </c>
      <c r="B13">
        <v>67204543</v>
      </c>
      <c r="C13">
        <v>67204627</v>
      </c>
      <c r="D13">
        <v>66209976</v>
      </c>
      <c r="E13">
        <v>1</v>
      </c>
      <c r="F13">
        <v>1</v>
      </c>
      <c r="G13">
        <v>1073</v>
      </c>
      <c r="H13">
        <v>3</v>
      </c>
      <c r="I13" t="s">
        <v>37</v>
      </c>
      <c r="J13" t="s">
        <v>38</v>
      </c>
      <c r="K13" t="s">
        <v>278</v>
      </c>
      <c r="L13">
        <v>1301</v>
      </c>
      <c r="N13">
        <v>1003</v>
      </c>
      <c r="O13" t="s">
        <v>34</v>
      </c>
      <c r="P13" t="s">
        <v>34</v>
      </c>
      <c r="Q13">
        <v>1</v>
      </c>
      <c r="W13">
        <v>0</v>
      </c>
      <c r="X13">
        <v>851342500</v>
      </c>
      <c r="Y13">
        <f>AT13</f>
        <v>85.5</v>
      </c>
      <c r="AA13">
        <v>26.4</v>
      </c>
      <c r="AB13">
        <v>0</v>
      </c>
      <c r="AC13">
        <v>0</v>
      </c>
      <c r="AD13">
        <v>0</v>
      </c>
      <c r="AE13">
        <v>14.75</v>
      </c>
      <c r="AF13">
        <v>0</v>
      </c>
      <c r="AG13">
        <v>0</v>
      </c>
      <c r="AH13">
        <v>0</v>
      </c>
      <c r="AI13">
        <v>1.79</v>
      </c>
      <c r="AJ13">
        <v>1</v>
      </c>
      <c r="AK13">
        <v>1</v>
      </c>
      <c r="AL13">
        <v>1</v>
      </c>
      <c r="AM13">
        <v>0</v>
      </c>
      <c r="AN13">
        <v>0</v>
      </c>
      <c r="AO13">
        <v>0</v>
      </c>
      <c r="AP13">
        <v>1</v>
      </c>
      <c r="AQ13">
        <v>0</v>
      </c>
      <c r="AR13">
        <v>0</v>
      </c>
      <c r="AS13" t="s">
        <v>5</v>
      </c>
      <c r="AT13">
        <v>85.5</v>
      </c>
      <c r="AU13" t="s">
        <v>5</v>
      </c>
      <c r="AV13">
        <v>0</v>
      </c>
      <c r="AW13">
        <v>1</v>
      </c>
      <c r="AX13">
        <v>-1</v>
      </c>
      <c r="AY13">
        <v>0</v>
      </c>
      <c r="AZ13">
        <v>0</v>
      </c>
      <c r="BA13" t="s">
        <v>5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v>0</v>
      </c>
      <c r="CX13">
        <f>ROUND(Y13*Source!I25,9)</f>
        <v>388.17</v>
      </c>
      <c r="CY13">
        <f t="shared" si="1"/>
        <v>26.4</v>
      </c>
      <c r="CZ13">
        <f t="shared" si="2"/>
        <v>14.75</v>
      </c>
      <c r="DA13">
        <f t="shared" si="3"/>
        <v>1.79</v>
      </c>
      <c r="DB13">
        <f>ROUND(ROUND(AT13*CZ13,2),6)</f>
        <v>1261.1300000000001</v>
      </c>
      <c r="DC13">
        <f>ROUND(ROUND(AT13*AG13,2),6)</f>
        <v>0</v>
      </c>
      <c r="DD13" t="s">
        <v>5</v>
      </c>
      <c r="DE13" t="s">
        <v>5</v>
      </c>
      <c r="DF13">
        <f>ROUND(ROUND(AE13*AI13,2)*CX13,2)</f>
        <v>10247.69</v>
      </c>
      <c r="DG13">
        <f t="shared" si="4"/>
        <v>0</v>
      </c>
      <c r="DH13">
        <f t="shared" si="5"/>
        <v>0</v>
      </c>
      <c r="DI13">
        <f t="shared" si="0"/>
        <v>0</v>
      </c>
      <c r="DJ13">
        <f t="shared" si="6"/>
        <v>10247.69</v>
      </c>
      <c r="DK13">
        <v>0</v>
      </c>
      <c r="DL13" t="s">
        <v>5</v>
      </c>
      <c r="DM13">
        <v>0</v>
      </c>
      <c r="DN13" t="s">
        <v>5</v>
      </c>
      <c r="DO13">
        <v>0</v>
      </c>
    </row>
    <row r="14" spans="1:119" x14ac:dyDescent="0.2">
      <c r="A14">
        <f>ROW(Source!A25)</f>
        <v>25</v>
      </c>
      <c r="B14">
        <v>67204543</v>
      </c>
      <c r="C14">
        <v>67204627</v>
      </c>
      <c r="D14">
        <v>66209977</v>
      </c>
      <c r="E14">
        <v>1</v>
      </c>
      <c r="F14">
        <v>1</v>
      </c>
      <c r="G14">
        <v>1073</v>
      </c>
      <c r="H14">
        <v>3</v>
      </c>
      <c r="I14" t="s">
        <v>33</v>
      </c>
      <c r="J14" t="s">
        <v>35</v>
      </c>
      <c r="K14" t="s">
        <v>279</v>
      </c>
      <c r="L14">
        <v>1301</v>
      </c>
      <c r="N14">
        <v>1003</v>
      </c>
      <c r="O14" t="s">
        <v>34</v>
      </c>
      <c r="P14" t="s">
        <v>34</v>
      </c>
      <c r="Q14">
        <v>1</v>
      </c>
      <c r="W14">
        <v>0</v>
      </c>
      <c r="X14">
        <v>933990277</v>
      </c>
      <c r="Y14">
        <f>AT14</f>
        <v>353.5</v>
      </c>
      <c r="AA14">
        <v>14.37</v>
      </c>
      <c r="AB14">
        <v>0</v>
      </c>
      <c r="AC14">
        <v>0</v>
      </c>
      <c r="AD14">
        <v>0</v>
      </c>
      <c r="AE14">
        <v>15.13</v>
      </c>
      <c r="AF14">
        <v>0</v>
      </c>
      <c r="AG14">
        <v>0</v>
      </c>
      <c r="AH14">
        <v>0</v>
      </c>
      <c r="AI14">
        <v>0.95</v>
      </c>
      <c r="AJ14">
        <v>1</v>
      </c>
      <c r="AK14">
        <v>1</v>
      </c>
      <c r="AL14">
        <v>1</v>
      </c>
      <c r="AM14">
        <v>0</v>
      </c>
      <c r="AN14">
        <v>0</v>
      </c>
      <c r="AO14">
        <v>0</v>
      </c>
      <c r="AP14">
        <v>1</v>
      </c>
      <c r="AQ14">
        <v>0</v>
      </c>
      <c r="AR14">
        <v>0</v>
      </c>
      <c r="AS14" t="s">
        <v>5</v>
      </c>
      <c r="AT14">
        <v>353.5</v>
      </c>
      <c r="AU14" t="s">
        <v>5</v>
      </c>
      <c r="AV14">
        <v>0</v>
      </c>
      <c r="AW14">
        <v>1</v>
      </c>
      <c r="AX14">
        <v>-1</v>
      </c>
      <c r="AY14">
        <v>0</v>
      </c>
      <c r="AZ14">
        <v>0</v>
      </c>
      <c r="BA14" t="s">
        <v>5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v>0</v>
      </c>
      <c r="CX14">
        <f>ROUND(Y14*Source!I25,9)</f>
        <v>1604.89</v>
      </c>
      <c r="CY14">
        <f t="shared" si="1"/>
        <v>14.37</v>
      </c>
      <c r="CZ14">
        <f t="shared" si="2"/>
        <v>15.13</v>
      </c>
      <c r="DA14">
        <f t="shared" si="3"/>
        <v>0.95</v>
      </c>
      <c r="DB14">
        <f>ROUND(ROUND(AT14*CZ14,2),6)</f>
        <v>5348.46</v>
      </c>
      <c r="DC14">
        <f>ROUND(ROUND(AT14*AG14,2),6)</f>
        <v>0</v>
      </c>
      <c r="DD14" t="s">
        <v>5</v>
      </c>
      <c r="DE14" t="s">
        <v>5</v>
      </c>
      <c r="DF14">
        <f>ROUND(ROUND(AE14*AI14,2)*CX14,2)</f>
        <v>23062.27</v>
      </c>
      <c r="DG14">
        <f t="shared" si="4"/>
        <v>0</v>
      </c>
      <c r="DH14">
        <f t="shared" si="5"/>
        <v>0</v>
      </c>
      <c r="DI14">
        <f t="shared" si="0"/>
        <v>0</v>
      </c>
      <c r="DJ14">
        <f t="shared" si="6"/>
        <v>23062.27</v>
      </c>
      <c r="DK14">
        <v>0</v>
      </c>
      <c r="DL14" t="s">
        <v>5</v>
      </c>
      <c r="DM14">
        <v>0</v>
      </c>
      <c r="DN14" t="s">
        <v>5</v>
      </c>
      <c r="DO14">
        <v>0</v>
      </c>
    </row>
    <row r="15" spans="1:119" x14ac:dyDescent="0.2">
      <c r="A15">
        <f>ROW(Source!A25)</f>
        <v>25</v>
      </c>
      <c r="B15">
        <v>67204543</v>
      </c>
      <c r="C15">
        <v>67204627</v>
      </c>
      <c r="D15">
        <v>66209980</v>
      </c>
      <c r="E15">
        <v>1</v>
      </c>
      <c r="F15">
        <v>1</v>
      </c>
      <c r="G15">
        <v>1073</v>
      </c>
      <c r="H15">
        <v>3</v>
      </c>
      <c r="I15" t="s">
        <v>46</v>
      </c>
      <c r="J15" t="s">
        <v>48</v>
      </c>
      <c r="K15" t="s">
        <v>47</v>
      </c>
      <c r="L15">
        <v>1301</v>
      </c>
      <c r="N15">
        <v>1003</v>
      </c>
      <c r="O15" t="s">
        <v>34</v>
      </c>
      <c r="P15" t="s">
        <v>34</v>
      </c>
      <c r="Q15">
        <v>1</v>
      </c>
      <c r="W15">
        <v>0</v>
      </c>
      <c r="X15">
        <v>-186020617</v>
      </c>
      <c r="Y15">
        <f>AT15</f>
        <v>207</v>
      </c>
      <c r="AA15">
        <v>5.44</v>
      </c>
      <c r="AB15">
        <v>0</v>
      </c>
      <c r="AC15">
        <v>0</v>
      </c>
      <c r="AD15">
        <v>0</v>
      </c>
      <c r="AE15">
        <v>6.48</v>
      </c>
      <c r="AF15">
        <v>0</v>
      </c>
      <c r="AG15">
        <v>0</v>
      </c>
      <c r="AH15">
        <v>0</v>
      </c>
      <c r="AI15">
        <v>0.84</v>
      </c>
      <c r="AJ15">
        <v>1</v>
      </c>
      <c r="AK15">
        <v>1</v>
      </c>
      <c r="AL15">
        <v>1</v>
      </c>
      <c r="AM15">
        <v>0</v>
      </c>
      <c r="AN15">
        <v>0</v>
      </c>
      <c r="AO15">
        <v>0</v>
      </c>
      <c r="AP15">
        <v>1</v>
      </c>
      <c r="AQ15">
        <v>0</v>
      </c>
      <c r="AR15">
        <v>0</v>
      </c>
      <c r="AS15" t="s">
        <v>5</v>
      </c>
      <c r="AT15">
        <v>207</v>
      </c>
      <c r="AU15" t="s">
        <v>5</v>
      </c>
      <c r="AV15">
        <v>0</v>
      </c>
      <c r="AW15">
        <v>1</v>
      </c>
      <c r="AX15">
        <v>-1</v>
      </c>
      <c r="AY15">
        <v>0</v>
      </c>
      <c r="AZ15">
        <v>0</v>
      </c>
      <c r="BA15" t="s">
        <v>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ROUND(Y15*Source!I25,9)</f>
        <v>939.78</v>
      </c>
      <c r="CY15">
        <f t="shared" si="1"/>
        <v>5.44</v>
      </c>
      <c r="CZ15">
        <f t="shared" si="2"/>
        <v>6.48</v>
      </c>
      <c r="DA15">
        <f t="shared" si="3"/>
        <v>0.84</v>
      </c>
      <c r="DB15">
        <f>ROUND(ROUND(AT15*CZ15,2),6)</f>
        <v>1341.36</v>
      </c>
      <c r="DC15">
        <f>ROUND(ROUND(AT15*AG15,2),6)</f>
        <v>0</v>
      </c>
      <c r="DD15" t="s">
        <v>5</v>
      </c>
      <c r="DE15" t="s">
        <v>5</v>
      </c>
      <c r="DF15">
        <f>ROUND(ROUND(AE15*AI15,2)*CX15,2)</f>
        <v>5112.3999999999996</v>
      </c>
      <c r="DG15">
        <f t="shared" si="4"/>
        <v>0</v>
      </c>
      <c r="DH15">
        <f t="shared" si="5"/>
        <v>0</v>
      </c>
      <c r="DI15">
        <f t="shared" si="0"/>
        <v>0</v>
      </c>
      <c r="DJ15">
        <f t="shared" si="6"/>
        <v>5112.3999999999996</v>
      </c>
      <c r="DK15">
        <v>0</v>
      </c>
      <c r="DL15" t="s">
        <v>5</v>
      </c>
      <c r="DM15">
        <v>0</v>
      </c>
      <c r="DN15" t="s">
        <v>5</v>
      </c>
      <c r="DO15">
        <v>0</v>
      </c>
    </row>
    <row r="16" spans="1:119" x14ac:dyDescent="0.2">
      <c r="A16">
        <f>ROW(Source!A25)</f>
        <v>25</v>
      </c>
      <c r="B16">
        <v>67204543</v>
      </c>
      <c r="C16">
        <v>67204627</v>
      </c>
      <c r="D16">
        <v>66208399</v>
      </c>
      <c r="E16">
        <v>1</v>
      </c>
      <c r="F16">
        <v>1</v>
      </c>
      <c r="G16">
        <v>1073</v>
      </c>
      <c r="H16">
        <v>3</v>
      </c>
      <c r="I16" t="s">
        <v>204</v>
      </c>
      <c r="J16" t="s">
        <v>205</v>
      </c>
      <c r="K16" t="s">
        <v>206</v>
      </c>
      <c r="L16">
        <v>1296</v>
      </c>
      <c r="N16">
        <v>1002</v>
      </c>
      <c r="O16" t="s">
        <v>207</v>
      </c>
      <c r="P16" t="s">
        <v>207</v>
      </c>
      <c r="Q16">
        <v>1</v>
      </c>
      <c r="W16">
        <v>0</v>
      </c>
      <c r="X16">
        <v>1013403799</v>
      </c>
      <c r="Y16">
        <f>AT16</f>
        <v>72</v>
      </c>
      <c r="AA16">
        <v>268.02999999999997</v>
      </c>
      <c r="AB16">
        <v>0</v>
      </c>
      <c r="AC16">
        <v>0</v>
      </c>
      <c r="AD16">
        <v>0</v>
      </c>
      <c r="AE16">
        <v>54.7</v>
      </c>
      <c r="AF16">
        <v>0</v>
      </c>
      <c r="AG16">
        <v>0</v>
      </c>
      <c r="AH16">
        <v>0</v>
      </c>
      <c r="AI16">
        <v>4.9000000000000004</v>
      </c>
      <c r="AJ16">
        <v>1</v>
      </c>
      <c r="AK16">
        <v>1</v>
      </c>
      <c r="AL16">
        <v>1</v>
      </c>
      <c r="AM16">
        <v>2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5</v>
      </c>
      <c r="AT16">
        <v>72</v>
      </c>
      <c r="AU16" t="s">
        <v>5</v>
      </c>
      <c r="AV16">
        <v>0</v>
      </c>
      <c r="AW16">
        <v>2</v>
      </c>
      <c r="AX16">
        <v>67204645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ROUND(Y16*Source!I25,9)</f>
        <v>326.88</v>
      </c>
      <c r="CY16">
        <f t="shared" si="1"/>
        <v>268.02999999999997</v>
      </c>
      <c r="CZ16">
        <f t="shared" si="2"/>
        <v>54.7</v>
      </c>
      <c r="DA16">
        <f t="shared" si="3"/>
        <v>4.9000000000000004</v>
      </c>
      <c r="DB16">
        <f>ROUND(ROUND(AT16*CZ16,2),6)</f>
        <v>3938.4</v>
      </c>
      <c r="DC16">
        <f>ROUND(ROUND(AT16*AG16,2),6)</f>
        <v>0</v>
      </c>
      <c r="DD16" t="s">
        <v>5</v>
      </c>
      <c r="DE16" t="s">
        <v>5</v>
      </c>
      <c r="DF16">
        <f>ROUND(ROUND(AE16*AI16,2)*CX16,2)</f>
        <v>87613.65</v>
      </c>
      <c r="DG16">
        <f t="shared" si="4"/>
        <v>0</v>
      </c>
      <c r="DH16">
        <f t="shared" si="5"/>
        <v>0</v>
      </c>
      <c r="DI16">
        <f t="shared" si="0"/>
        <v>0</v>
      </c>
      <c r="DJ16">
        <f t="shared" si="6"/>
        <v>87613.65</v>
      </c>
      <c r="DK16">
        <v>0</v>
      </c>
      <c r="DL16" t="s">
        <v>5</v>
      </c>
      <c r="DM16">
        <v>0</v>
      </c>
      <c r="DN16" t="s">
        <v>5</v>
      </c>
      <c r="DO16">
        <v>0</v>
      </c>
    </row>
    <row r="17" spans="1:119" x14ac:dyDescent="0.2">
      <c r="A17">
        <f>ROW(Source!A25)</f>
        <v>25</v>
      </c>
      <c r="B17">
        <v>67204543</v>
      </c>
      <c r="C17">
        <v>67204627</v>
      </c>
      <c r="D17">
        <v>66182804</v>
      </c>
      <c r="E17">
        <v>1073</v>
      </c>
      <c r="F17">
        <v>1</v>
      </c>
      <c r="G17">
        <v>1073</v>
      </c>
      <c r="H17">
        <v>3</v>
      </c>
      <c r="I17" t="s">
        <v>208</v>
      </c>
      <c r="J17" t="s">
        <v>5</v>
      </c>
      <c r="K17" t="s">
        <v>209</v>
      </c>
      <c r="L17">
        <v>1344</v>
      </c>
      <c r="N17">
        <v>1008</v>
      </c>
      <c r="O17" t="s">
        <v>210</v>
      </c>
      <c r="P17" t="s">
        <v>210</v>
      </c>
      <c r="Q17">
        <v>1</v>
      </c>
      <c r="W17">
        <v>0</v>
      </c>
      <c r="X17">
        <v>-1201287655</v>
      </c>
      <c r="Y17">
        <f>(AT17*1.25)</f>
        <v>1.2500000000000001E-2</v>
      </c>
      <c r="AA17">
        <v>0</v>
      </c>
      <c r="AB17">
        <v>1</v>
      </c>
      <c r="AC17">
        <v>0</v>
      </c>
      <c r="AD17">
        <v>0</v>
      </c>
      <c r="AE17">
        <v>0</v>
      </c>
      <c r="AF17">
        <v>1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5</v>
      </c>
      <c r="AT17">
        <v>0.01</v>
      </c>
      <c r="AU17" t="s">
        <v>29</v>
      </c>
      <c r="AV17">
        <v>0</v>
      </c>
      <c r="AW17">
        <v>2</v>
      </c>
      <c r="AX17">
        <v>67204643</v>
      </c>
      <c r="AY17">
        <v>1</v>
      </c>
      <c r="AZ17">
        <v>2048</v>
      </c>
      <c r="BA17">
        <v>22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ROUND(Y17*Source!I25,9)</f>
        <v>5.6750000000000002E-2</v>
      </c>
      <c r="CY17">
        <f t="shared" si="1"/>
        <v>0</v>
      </c>
      <c r="CZ17">
        <f t="shared" si="2"/>
        <v>0</v>
      </c>
      <c r="DA17">
        <f t="shared" si="3"/>
        <v>1</v>
      </c>
      <c r="DB17">
        <f>ROUND((ROUND(AT17*CZ17,2)*1.25),6)</f>
        <v>0</v>
      </c>
      <c r="DC17">
        <f>ROUND((ROUND(AT17*AG17,2)*1.25),6)</f>
        <v>0</v>
      </c>
      <c r="DD17" t="s">
        <v>5</v>
      </c>
      <c r="DE17" t="s">
        <v>5</v>
      </c>
      <c r="DF17">
        <f>ROUND(ROUND(AE17,2)*CX17,2)</f>
        <v>0</v>
      </c>
      <c r="DG17">
        <f t="shared" si="4"/>
        <v>0.06</v>
      </c>
      <c r="DH17">
        <f t="shared" si="5"/>
        <v>0</v>
      </c>
      <c r="DI17">
        <f t="shared" si="0"/>
        <v>0</v>
      </c>
      <c r="DJ17">
        <f t="shared" si="6"/>
        <v>0</v>
      </c>
      <c r="DK17">
        <v>0</v>
      </c>
      <c r="DL17" t="s">
        <v>5</v>
      </c>
      <c r="DM17">
        <v>0</v>
      </c>
      <c r="DN17" t="s">
        <v>5</v>
      </c>
      <c r="DO17">
        <v>0</v>
      </c>
    </row>
    <row r="18" spans="1:119" x14ac:dyDescent="0.2">
      <c r="A18">
        <f>ROW(Source!A25)</f>
        <v>25</v>
      </c>
      <c r="B18">
        <v>67204543</v>
      </c>
      <c r="C18">
        <v>67204627</v>
      </c>
      <c r="D18">
        <v>0</v>
      </c>
      <c r="E18">
        <v>0</v>
      </c>
      <c r="F18">
        <v>1</v>
      </c>
      <c r="G18">
        <v>1073</v>
      </c>
      <c r="H18">
        <v>3</v>
      </c>
      <c r="I18" t="s">
        <v>40</v>
      </c>
      <c r="J18" t="s">
        <v>5</v>
      </c>
      <c r="K18" t="s">
        <v>41</v>
      </c>
      <c r="L18">
        <v>1327</v>
      </c>
      <c r="N18">
        <v>1005</v>
      </c>
      <c r="O18" t="s">
        <v>42</v>
      </c>
      <c r="P18" t="s">
        <v>42</v>
      </c>
      <c r="Q18">
        <v>1</v>
      </c>
      <c r="W18">
        <v>0</v>
      </c>
      <c r="X18">
        <v>-1770967995</v>
      </c>
      <c r="Y18">
        <f>AT18</f>
        <v>100</v>
      </c>
      <c r="AA18">
        <v>24480</v>
      </c>
      <c r="AB18">
        <v>0</v>
      </c>
      <c r="AC18">
        <v>0</v>
      </c>
      <c r="AD18">
        <v>0</v>
      </c>
      <c r="AE18">
        <v>24480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0</v>
      </c>
      <c r="AN18">
        <v>0</v>
      </c>
      <c r="AO18">
        <v>0</v>
      </c>
      <c r="AP18">
        <v>1</v>
      </c>
      <c r="AQ18">
        <v>0</v>
      </c>
      <c r="AR18">
        <v>0</v>
      </c>
      <c r="AS18" t="s">
        <v>5</v>
      </c>
      <c r="AT18">
        <v>100</v>
      </c>
      <c r="AU18" t="s">
        <v>5</v>
      </c>
      <c r="AV18">
        <v>0</v>
      </c>
      <c r="AW18">
        <v>1</v>
      </c>
      <c r="AX18">
        <v>-1</v>
      </c>
      <c r="AY18">
        <v>0</v>
      </c>
      <c r="AZ18">
        <v>0</v>
      </c>
      <c r="BA18" t="s">
        <v>5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ROUND(Y18*Source!I25,9)</f>
        <v>454</v>
      </c>
      <c r="CY18">
        <f t="shared" si="1"/>
        <v>24480</v>
      </c>
      <c r="CZ18">
        <f t="shared" si="2"/>
        <v>24480</v>
      </c>
      <c r="DA18">
        <f t="shared" si="3"/>
        <v>1</v>
      </c>
      <c r="DB18">
        <f>ROUND(ROUND(AT18*CZ18,2),6)</f>
        <v>2448000</v>
      </c>
      <c r="DC18">
        <f>ROUND(ROUND(AT18*AG18,2),6)</f>
        <v>0</v>
      </c>
      <c r="DD18" t="s">
        <v>5</v>
      </c>
      <c r="DE18" t="s">
        <v>5</v>
      </c>
      <c r="DF18">
        <f>ROUND(ROUND(AE18,2)*CX18,2)</f>
        <v>11113920</v>
      </c>
      <c r="DG18">
        <f t="shared" si="4"/>
        <v>0</v>
      </c>
      <c r="DH18">
        <f t="shared" si="5"/>
        <v>0</v>
      </c>
      <c r="DI18">
        <f t="shared" si="0"/>
        <v>0</v>
      </c>
      <c r="DJ18">
        <f t="shared" si="6"/>
        <v>11113920</v>
      </c>
      <c r="DK18">
        <v>0</v>
      </c>
      <c r="DL18" t="s">
        <v>5</v>
      </c>
      <c r="DM18">
        <v>0</v>
      </c>
      <c r="DN18" t="s">
        <v>5</v>
      </c>
      <c r="DO18">
        <v>0</v>
      </c>
    </row>
    <row r="19" spans="1:119" x14ac:dyDescent="0.2">
      <c r="A19">
        <f>ROW(Source!A30)</f>
        <v>30</v>
      </c>
      <c r="B19">
        <v>67204543</v>
      </c>
      <c r="C19">
        <v>67204654</v>
      </c>
      <c r="D19">
        <v>66140260</v>
      </c>
      <c r="E19">
        <v>1073</v>
      </c>
      <c r="F19">
        <v>1</v>
      </c>
      <c r="G19">
        <v>1073</v>
      </c>
      <c r="H19">
        <v>1</v>
      </c>
      <c r="I19" t="s">
        <v>188</v>
      </c>
      <c r="J19" t="s">
        <v>5</v>
      </c>
      <c r="K19" t="s">
        <v>189</v>
      </c>
      <c r="L19">
        <v>1191</v>
      </c>
      <c r="N19">
        <v>1013</v>
      </c>
      <c r="O19" t="s">
        <v>190</v>
      </c>
      <c r="P19" t="s">
        <v>190</v>
      </c>
      <c r="Q19">
        <v>1</v>
      </c>
      <c r="W19">
        <v>0</v>
      </c>
      <c r="X19">
        <v>476480486</v>
      </c>
      <c r="Y19">
        <f>(AT19*1.15)</f>
        <v>22.355999999999998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5</v>
      </c>
      <c r="AT19">
        <v>19.440000000000001</v>
      </c>
      <c r="AU19" t="s">
        <v>30</v>
      </c>
      <c r="AV19">
        <v>1</v>
      </c>
      <c r="AW19">
        <v>2</v>
      </c>
      <c r="AX19">
        <v>67204660</v>
      </c>
      <c r="AY19">
        <v>1</v>
      </c>
      <c r="AZ19">
        <v>2048</v>
      </c>
      <c r="BA19">
        <v>23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ROUND(AT19*Source!I30*AH19*AL19,2)</f>
        <v>0</v>
      </c>
      <c r="CV19">
        <f>ROUND(Y19*Source!I30,9)</f>
        <v>50.74812</v>
      </c>
      <c r="CW19">
        <v>0</v>
      </c>
      <c r="CX19">
        <f>ROUND(Y19*Source!I30,9)</f>
        <v>50.74812</v>
      </c>
      <c r="CY19">
        <f>AD19</f>
        <v>0</v>
      </c>
      <c r="CZ19">
        <f>AH19</f>
        <v>0</v>
      </c>
      <c r="DA19">
        <f>AL19</f>
        <v>1</v>
      </c>
      <c r="DB19">
        <f>ROUND((ROUND(AT19*CZ19,2)*1.15),6)</f>
        <v>0</v>
      </c>
      <c r="DC19">
        <f>ROUND((ROUND(AT19*AG19,2)*1.15),6)</f>
        <v>0</v>
      </c>
      <c r="DD19" t="s">
        <v>5</v>
      </c>
      <c r="DE19" t="s">
        <v>5</v>
      </c>
      <c r="DF19">
        <f>ROUND(ROUND(AE19,2)*CX19,2)</f>
        <v>0</v>
      </c>
      <c r="DG19">
        <f t="shared" si="4"/>
        <v>0</v>
      </c>
      <c r="DH19">
        <f t="shared" si="5"/>
        <v>0</v>
      </c>
      <c r="DI19">
        <f t="shared" si="0"/>
        <v>0</v>
      </c>
      <c r="DJ19">
        <f>DI19</f>
        <v>0</v>
      </c>
      <c r="DK19">
        <v>0</v>
      </c>
      <c r="DL19" t="s">
        <v>5</v>
      </c>
      <c r="DM19">
        <v>0</v>
      </c>
      <c r="DN19" t="s">
        <v>5</v>
      </c>
      <c r="DO19">
        <v>0</v>
      </c>
    </row>
    <row r="20" spans="1:119" x14ac:dyDescent="0.2">
      <c r="A20">
        <f>ROW(Source!A30)</f>
        <v>30</v>
      </c>
      <c r="B20">
        <v>67204543</v>
      </c>
      <c r="C20">
        <v>67204654</v>
      </c>
      <c r="D20">
        <v>66296384</v>
      </c>
      <c r="E20">
        <v>1</v>
      </c>
      <c r="F20">
        <v>1</v>
      </c>
      <c r="G20">
        <v>1073</v>
      </c>
      <c r="H20">
        <v>2</v>
      </c>
      <c r="I20" t="s">
        <v>191</v>
      </c>
      <c r="J20" t="s">
        <v>192</v>
      </c>
      <c r="K20" t="s">
        <v>193</v>
      </c>
      <c r="L20">
        <v>1368</v>
      </c>
      <c r="N20">
        <v>1011</v>
      </c>
      <c r="O20" t="s">
        <v>194</v>
      </c>
      <c r="P20" t="s">
        <v>194</v>
      </c>
      <c r="Q20">
        <v>1</v>
      </c>
      <c r="W20">
        <v>0</v>
      </c>
      <c r="X20">
        <v>-1005074883</v>
      </c>
      <c r="Y20">
        <f>(AT20*1.25)</f>
        <v>0.17500000000000002</v>
      </c>
      <c r="AA20">
        <v>0</v>
      </c>
      <c r="AB20">
        <v>1118.8900000000001</v>
      </c>
      <c r="AC20">
        <v>455.99</v>
      </c>
      <c r="AD20">
        <v>0</v>
      </c>
      <c r="AE20">
        <v>0</v>
      </c>
      <c r="AF20">
        <v>83.1</v>
      </c>
      <c r="AG20">
        <v>12.62</v>
      </c>
      <c r="AH20">
        <v>0</v>
      </c>
      <c r="AI20">
        <v>1</v>
      </c>
      <c r="AJ20">
        <v>12.86</v>
      </c>
      <c r="AK20">
        <v>34.51</v>
      </c>
      <c r="AL20">
        <v>1</v>
      </c>
      <c r="AM20">
        <v>2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5</v>
      </c>
      <c r="AT20">
        <v>0.14000000000000001</v>
      </c>
      <c r="AU20" t="s">
        <v>29</v>
      </c>
      <c r="AV20">
        <v>0</v>
      </c>
      <c r="AW20">
        <v>2</v>
      </c>
      <c r="AX20">
        <v>67204661</v>
      </c>
      <c r="AY20">
        <v>1</v>
      </c>
      <c r="AZ20">
        <v>2048</v>
      </c>
      <c r="BA20">
        <v>24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f>ROUND(Y20*Source!I30*DO20,9)</f>
        <v>0</v>
      </c>
      <c r="CX20">
        <f>ROUND(Y20*Source!I30,9)</f>
        <v>0.39724999999999999</v>
      </c>
      <c r="CY20">
        <f>AB20</f>
        <v>1118.8900000000001</v>
      </c>
      <c r="CZ20">
        <f>AF20</f>
        <v>83.1</v>
      </c>
      <c r="DA20">
        <f>AJ20</f>
        <v>12.86</v>
      </c>
      <c r="DB20">
        <f>ROUND((ROUND(AT20*CZ20,2)*1.25),6)</f>
        <v>14.5375</v>
      </c>
      <c r="DC20">
        <f>ROUND((ROUND(AT20*AG20,2)*1.25),6)</f>
        <v>2.2124999999999999</v>
      </c>
      <c r="DD20" t="s">
        <v>5</v>
      </c>
      <c r="DE20" t="s">
        <v>5</v>
      </c>
      <c r="DF20">
        <f>ROUND(ROUND(AE20,2)*CX20,2)</f>
        <v>0</v>
      </c>
      <c r="DG20">
        <f>ROUND(ROUND(AF20*AJ20,2)*CX20,2)</f>
        <v>424.53</v>
      </c>
      <c r="DH20">
        <f>ROUND(ROUND(AG20*AK20,2)*CX20,2)</f>
        <v>173.01</v>
      </c>
      <c r="DI20">
        <f t="shared" si="0"/>
        <v>0</v>
      </c>
      <c r="DJ20">
        <f>DG20</f>
        <v>424.53</v>
      </c>
      <c r="DK20">
        <v>0</v>
      </c>
      <c r="DL20" t="s">
        <v>5</v>
      </c>
      <c r="DM20">
        <v>0</v>
      </c>
      <c r="DN20" t="s">
        <v>5</v>
      </c>
      <c r="DO20">
        <v>0</v>
      </c>
    </row>
    <row r="21" spans="1:119" x14ac:dyDescent="0.2">
      <c r="A21">
        <f>ROW(Source!A30)</f>
        <v>30</v>
      </c>
      <c r="B21">
        <v>67204543</v>
      </c>
      <c r="C21">
        <v>67204654</v>
      </c>
      <c r="D21">
        <v>66208399</v>
      </c>
      <c r="E21">
        <v>1</v>
      </c>
      <c r="F21">
        <v>1</v>
      </c>
      <c r="G21">
        <v>1073</v>
      </c>
      <c r="H21">
        <v>3</v>
      </c>
      <c r="I21" t="s">
        <v>204</v>
      </c>
      <c r="J21" t="s">
        <v>205</v>
      </c>
      <c r="K21" t="s">
        <v>206</v>
      </c>
      <c r="L21">
        <v>1296</v>
      </c>
      <c r="N21">
        <v>1002</v>
      </c>
      <c r="O21" t="s">
        <v>207</v>
      </c>
      <c r="P21" t="s">
        <v>207</v>
      </c>
      <c r="Q21">
        <v>1</v>
      </c>
      <c r="W21">
        <v>0</v>
      </c>
      <c r="X21">
        <v>1013403799</v>
      </c>
      <c r="Y21">
        <f>(AT21*1)</f>
        <v>42.45</v>
      </c>
      <c r="AA21">
        <v>268.02999999999997</v>
      </c>
      <c r="AB21">
        <v>0</v>
      </c>
      <c r="AC21">
        <v>0</v>
      </c>
      <c r="AD21">
        <v>0</v>
      </c>
      <c r="AE21">
        <v>54.7</v>
      </c>
      <c r="AF21">
        <v>0</v>
      </c>
      <c r="AG21">
        <v>0</v>
      </c>
      <c r="AH21">
        <v>0</v>
      </c>
      <c r="AI21">
        <v>4.9000000000000004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5</v>
      </c>
      <c r="AT21">
        <v>42.45</v>
      </c>
      <c r="AU21" t="s">
        <v>54</v>
      </c>
      <c r="AV21">
        <v>0</v>
      </c>
      <c r="AW21">
        <v>2</v>
      </c>
      <c r="AX21">
        <v>67204662</v>
      </c>
      <c r="AY21">
        <v>1</v>
      </c>
      <c r="AZ21">
        <v>0</v>
      </c>
      <c r="BA21">
        <v>25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ROUND(Y21*Source!I30,9)</f>
        <v>96.361500000000007</v>
      </c>
      <c r="CY21">
        <f>AA21</f>
        <v>268.02999999999997</v>
      </c>
      <c r="CZ21">
        <f>AE21</f>
        <v>54.7</v>
      </c>
      <c r="DA21">
        <f>AI21</f>
        <v>4.9000000000000004</v>
      </c>
      <c r="DB21">
        <f>ROUND((ROUND(AT21*CZ21,2)*1),6)</f>
        <v>2322.02</v>
      </c>
      <c r="DC21">
        <f>ROUND((ROUND(AT21*AG21,2)*1),6)</f>
        <v>0</v>
      </c>
      <c r="DD21" t="s">
        <v>5</v>
      </c>
      <c r="DE21" t="s">
        <v>5</v>
      </c>
      <c r="DF21">
        <f>ROUND(ROUND(AE21*AI21,2)*CX21,2)</f>
        <v>25827.77</v>
      </c>
      <c r="DG21">
        <f>ROUND(ROUND(AF21,2)*CX21,2)</f>
        <v>0</v>
      </c>
      <c r="DH21">
        <f>ROUND(ROUND(AG21,2)*CX21,2)</f>
        <v>0</v>
      </c>
      <c r="DI21">
        <f t="shared" si="0"/>
        <v>0</v>
      </c>
      <c r="DJ21">
        <f>DF21</f>
        <v>25827.77</v>
      </c>
      <c r="DK21">
        <v>0</v>
      </c>
      <c r="DL21" t="s">
        <v>5</v>
      </c>
      <c r="DM21">
        <v>0</v>
      </c>
      <c r="DN21" t="s">
        <v>5</v>
      </c>
      <c r="DO21">
        <v>0</v>
      </c>
    </row>
    <row r="22" spans="1:119" x14ac:dyDescent="0.2">
      <c r="A22">
        <f>ROW(Source!A30)</f>
        <v>30</v>
      </c>
      <c r="B22">
        <v>67204543</v>
      </c>
      <c r="C22">
        <v>67204654</v>
      </c>
      <c r="D22">
        <v>66237078</v>
      </c>
      <c r="E22">
        <v>1</v>
      </c>
      <c r="F22">
        <v>1</v>
      </c>
      <c r="G22">
        <v>1073</v>
      </c>
      <c r="H22">
        <v>3</v>
      </c>
      <c r="I22" t="s">
        <v>60</v>
      </c>
      <c r="J22" t="s">
        <v>63</v>
      </c>
      <c r="K22" t="s">
        <v>61</v>
      </c>
      <c r="L22">
        <v>1354</v>
      </c>
      <c r="N22">
        <v>1010</v>
      </c>
      <c r="O22" t="s">
        <v>62</v>
      </c>
      <c r="P22" t="s">
        <v>62</v>
      </c>
      <c r="Q22">
        <v>1</v>
      </c>
      <c r="W22">
        <v>0</v>
      </c>
      <c r="X22">
        <v>-1091870591</v>
      </c>
      <c r="Y22">
        <f>(AT22*1)</f>
        <v>50.220264299999997</v>
      </c>
      <c r="AA22">
        <v>45.33</v>
      </c>
      <c r="AB22">
        <v>0</v>
      </c>
      <c r="AC22">
        <v>0</v>
      </c>
      <c r="AD22">
        <v>0</v>
      </c>
      <c r="AE22">
        <v>10.42</v>
      </c>
      <c r="AF22">
        <v>0</v>
      </c>
      <c r="AG22">
        <v>0</v>
      </c>
      <c r="AH22">
        <v>0</v>
      </c>
      <c r="AI22">
        <v>4.3499999999999996</v>
      </c>
      <c r="AJ22">
        <v>1</v>
      </c>
      <c r="AK22">
        <v>1</v>
      </c>
      <c r="AL22">
        <v>1</v>
      </c>
      <c r="AM22">
        <v>0</v>
      </c>
      <c r="AN22">
        <v>0</v>
      </c>
      <c r="AO22">
        <v>0</v>
      </c>
      <c r="AP22">
        <v>1</v>
      </c>
      <c r="AQ22">
        <v>0</v>
      </c>
      <c r="AR22">
        <v>0</v>
      </c>
      <c r="AS22" t="s">
        <v>5</v>
      </c>
      <c r="AT22">
        <v>50.220264299999997</v>
      </c>
      <c r="AU22" t="s">
        <v>54</v>
      </c>
      <c r="AV22">
        <v>0</v>
      </c>
      <c r="AW22">
        <v>1</v>
      </c>
      <c r="AX22">
        <v>-1</v>
      </c>
      <c r="AY22">
        <v>0</v>
      </c>
      <c r="AZ22">
        <v>0</v>
      </c>
      <c r="BA22" t="s">
        <v>5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ROUND(Y22*Source!I30,9)</f>
        <v>113.999999961</v>
      </c>
      <c r="CY22">
        <f>AA22</f>
        <v>45.33</v>
      </c>
      <c r="CZ22">
        <f>AE22</f>
        <v>10.42</v>
      </c>
      <c r="DA22">
        <f>AI22</f>
        <v>4.3499999999999996</v>
      </c>
      <c r="DB22">
        <f>ROUND((ROUND(AT22*CZ22,2)*1),6)</f>
        <v>523.29999999999995</v>
      </c>
      <c r="DC22">
        <f>ROUND((ROUND(AT22*AG22,2)*1),6)</f>
        <v>0</v>
      </c>
      <c r="DD22" t="s">
        <v>5</v>
      </c>
      <c r="DE22" t="s">
        <v>5</v>
      </c>
      <c r="DF22">
        <f>ROUND(ROUND(AE22*AI22,2)*CX22,2)</f>
        <v>5167.62</v>
      </c>
      <c r="DG22">
        <f>ROUND(ROUND(AF22,2)*CX22,2)</f>
        <v>0</v>
      </c>
      <c r="DH22">
        <f>ROUND(ROUND(AG22,2)*CX22,2)</f>
        <v>0</v>
      </c>
      <c r="DI22">
        <f t="shared" si="0"/>
        <v>0</v>
      </c>
      <c r="DJ22">
        <f>DF22</f>
        <v>5167.62</v>
      </c>
      <c r="DK22">
        <v>0</v>
      </c>
      <c r="DL22" t="s">
        <v>5</v>
      </c>
      <c r="DM22">
        <v>0</v>
      </c>
      <c r="DN22" t="s">
        <v>5</v>
      </c>
      <c r="DO22">
        <v>0</v>
      </c>
    </row>
    <row r="23" spans="1:119" x14ac:dyDescent="0.2">
      <c r="A23">
        <f>ROW(Source!A30)</f>
        <v>30</v>
      </c>
      <c r="B23">
        <v>67204543</v>
      </c>
      <c r="C23">
        <v>67204654</v>
      </c>
      <c r="D23">
        <v>0</v>
      </c>
      <c r="E23">
        <v>1073</v>
      </c>
      <c r="F23">
        <v>1</v>
      </c>
      <c r="G23">
        <v>1073</v>
      </c>
      <c r="H23">
        <v>3</v>
      </c>
      <c r="I23" t="s">
        <v>40</v>
      </c>
      <c r="J23" t="s">
        <v>5</v>
      </c>
      <c r="K23" t="s">
        <v>57</v>
      </c>
      <c r="L23">
        <v>1301</v>
      </c>
      <c r="N23">
        <v>1003</v>
      </c>
      <c r="O23" t="s">
        <v>34</v>
      </c>
      <c r="P23" t="s">
        <v>34</v>
      </c>
      <c r="Q23">
        <v>1</v>
      </c>
      <c r="W23">
        <v>0</v>
      </c>
      <c r="X23">
        <v>-2048808941</v>
      </c>
      <c r="Y23">
        <f>(AT23*1)</f>
        <v>100</v>
      </c>
      <c r="AA23">
        <v>297.5</v>
      </c>
      <c r="AB23">
        <v>0</v>
      </c>
      <c r="AC23">
        <v>0</v>
      </c>
      <c r="AD23">
        <v>0</v>
      </c>
      <c r="AE23">
        <v>297.5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M23">
        <v>0</v>
      </c>
      <c r="AN23">
        <v>0</v>
      </c>
      <c r="AO23">
        <v>0</v>
      </c>
      <c r="AP23">
        <v>1</v>
      </c>
      <c r="AQ23">
        <v>0</v>
      </c>
      <c r="AR23">
        <v>0</v>
      </c>
      <c r="AS23" t="s">
        <v>5</v>
      </c>
      <c r="AT23">
        <v>100</v>
      </c>
      <c r="AU23" t="s">
        <v>54</v>
      </c>
      <c r="AV23">
        <v>0</v>
      </c>
      <c r="AW23">
        <v>1</v>
      </c>
      <c r="AX23">
        <v>-1</v>
      </c>
      <c r="AY23">
        <v>0</v>
      </c>
      <c r="AZ23">
        <v>0</v>
      </c>
      <c r="BA23" t="s">
        <v>5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V23">
        <v>0</v>
      </c>
      <c r="CW23">
        <v>0</v>
      </c>
      <c r="CX23">
        <f>ROUND(Y23*Source!I30,9)</f>
        <v>227</v>
      </c>
      <c r="CY23">
        <f>AA23</f>
        <v>297.5</v>
      </c>
      <c r="CZ23">
        <f>AE23</f>
        <v>297.5</v>
      </c>
      <c r="DA23">
        <f>AI23</f>
        <v>1</v>
      </c>
      <c r="DB23">
        <f>ROUND((ROUND(AT23*CZ23,2)*1),6)</f>
        <v>29750</v>
      </c>
      <c r="DC23">
        <f>ROUND((ROUND(AT23*AG23,2)*1),6)</f>
        <v>0</v>
      </c>
      <c r="DD23" t="s">
        <v>5</v>
      </c>
      <c r="DE23" t="s">
        <v>5</v>
      </c>
      <c r="DF23">
        <f>ROUND(ROUND(AE23,2)*CX23,2)</f>
        <v>67532.5</v>
      </c>
      <c r="DG23">
        <f>ROUND(ROUND(AF23,2)*CX23,2)</f>
        <v>0</v>
      </c>
      <c r="DH23">
        <f>ROUND(ROUND(AG23,2)*CX23,2)</f>
        <v>0</v>
      </c>
      <c r="DI23">
        <f t="shared" si="0"/>
        <v>0</v>
      </c>
      <c r="DJ23">
        <f>DF23</f>
        <v>67532.5</v>
      </c>
      <c r="DK23">
        <v>0</v>
      </c>
      <c r="DL23" t="s">
        <v>5</v>
      </c>
      <c r="DM23">
        <v>0</v>
      </c>
      <c r="DN23" t="s">
        <v>5</v>
      </c>
      <c r="DO23">
        <v>0</v>
      </c>
    </row>
    <row r="24" spans="1:119" x14ac:dyDescent="0.2">
      <c r="A24">
        <f>ROW(Source!A33)</f>
        <v>33</v>
      </c>
      <c r="B24">
        <v>67204543</v>
      </c>
      <c r="C24">
        <v>67204667</v>
      </c>
      <c r="D24">
        <v>66140260</v>
      </c>
      <c r="E24">
        <v>1073</v>
      </c>
      <c r="F24">
        <v>1</v>
      </c>
      <c r="G24">
        <v>1073</v>
      </c>
      <c r="H24">
        <v>1</v>
      </c>
      <c r="I24" t="s">
        <v>188</v>
      </c>
      <c r="J24" t="s">
        <v>5</v>
      </c>
      <c r="K24" t="s">
        <v>189</v>
      </c>
      <c r="L24">
        <v>1191</v>
      </c>
      <c r="N24">
        <v>1013</v>
      </c>
      <c r="O24" t="s">
        <v>190</v>
      </c>
      <c r="P24" t="s">
        <v>190</v>
      </c>
      <c r="Q24">
        <v>1</v>
      </c>
      <c r="W24">
        <v>0</v>
      </c>
      <c r="X24">
        <v>476480486</v>
      </c>
      <c r="Y24">
        <f>(AT24*1.15)</f>
        <v>67.033499999999989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5</v>
      </c>
      <c r="AT24">
        <v>58.29</v>
      </c>
      <c r="AU24" t="s">
        <v>30</v>
      </c>
      <c r="AV24">
        <v>1</v>
      </c>
      <c r="AW24">
        <v>2</v>
      </c>
      <c r="AX24">
        <v>67204677</v>
      </c>
      <c r="AY24">
        <v>1</v>
      </c>
      <c r="AZ24">
        <v>2048</v>
      </c>
      <c r="BA24">
        <v>28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ROUND(AT24*Source!I33*AH24*AL24,2)</f>
        <v>0</v>
      </c>
      <c r="CV24">
        <f>ROUND(Y24*Source!I33,9)</f>
        <v>134.06700000000001</v>
      </c>
      <c r="CW24">
        <v>0</v>
      </c>
      <c r="CX24">
        <f>ROUND(Y24*Source!I33,9)</f>
        <v>134.06700000000001</v>
      </c>
      <c r="CY24">
        <f>AD24</f>
        <v>0</v>
      </c>
      <c r="CZ24">
        <f>AH24</f>
        <v>0</v>
      </c>
      <c r="DA24">
        <f>AL24</f>
        <v>1</v>
      </c>
      <c r="DB24">
        <f>ROUND((ROUND(AT24*CZ24,2)*1.15),6)</f>
        <v>0</v>
      </c>
      <c r="DC24">
        <f>ROUND((ROUND(AT24*AG24,2)*1.15),6)</f>
        <v>0</v>
      </c>
      <c r="DD24" t="s">
        <v>5</v>
      </c>
      <c r="DE24" t="s">
        <v>5</v>
      </c>
      <c r="DF24">
        <f>ROUND(ROUND(AE24,2)*CX24,2)</f>
        <v>0</v>
      </c>
      <c r="DG24">
        <f>ROUND(ROUND(AF24,2)*CX24,2)</f>
        <v>0</v>
      </c>
      <c r="DH24">
        <f>ROUND(ROUND(AG24,2)*CX24,2)</f>
        <v>0</v>
      </c>
      <c r="DI24">
        <f t="shared" si="0"/>
        <v>0</v>
      </c>
      <c r="DJ24">
        <f>DI24</f>
        <v>0</v>
      </c>
      <c r="DK24">
        <v>0</v>
      </c>
      <c r="DL24" t="s">
        <v>5</v>
      </c>
      <c r="DM24">
        <v>0</v>
      </c>
      <c r="DN24" t="s">
        <v>5</v>
      </c>
      <c r="DO24">
        <v>0</v>
      </c>
    </row>
    <row r="25" spans="1:119" x14ac:dyDescent="0.2">
      <c r="A25">
        <f>ROW(Source!A33)</f>
        <v>33</v>
      </c>
      <c r="B25">
        <v>67204543</v>
      </c>
      <c r="C25">
        <v>67204667</v>
      </c>
      <c r="D25">
        <v>66296384</v>
      </c>
      <c r="E25">
        <v>1</v>
      </c>
      <c r="F25">
        <v>1</v>
      </c>
      <c r="G25">
        <v>1073</v>
      </c>
      <c r="H25">
        <v>2</v>
      </c>
      <c r="I25" t="s">
        <v>191</v>
      </c>
      <c r="J25" t="s">
        <v>192</v>
      </c>
      <c r="K25" t="s">
        <v>193</v>
      </c>
      <c r="L25">
        <v>1368</v>
      </c>
      <c r="N25">
        <v>1011</v>
      </c>
      <c r="O25" t="s">
        <v>194</v>
      </c>
      <c r="P25" t="s">
        <v>194</v>
      </c>
      <c r="Q25">
        <v>1</v>
      </c>
      <c r="W25">
        <v>0</v>
      </c>
      <c r="X25">
        <v>-1005074883</v>
      </c>
      <c r="Y25">
        <f>(AT25*1.25)</f>
        <v>0.21250000000000002</v>
      </c>
      <c r="AA25">
        <v>0</v>
      </c>
      <c r="AB25">
        <v>1161.6400000000001</v>
      </c>
      <c r="AC25">
        <v>473.41</v>
      </c>
      <c r="AD25">
        <v>0</v>
      </c>
      <c r="AE25">
        <v>0</v>
      </c>
      <c r="AF25">
        <v>83.1</v>
      </c>
      <c r="AG25">
        <v>12.62</v>
      </c>
      <c r="AH25">
        <v>0</v>
      </c>
      <c r="AI25">
        <v>1</v>
      </c>
      <c r="AJ25">
        <v>12.86</v>
      </c>
      <c r="AK25">
        <v>34.51</v>
      </c>
      <c r="AL25">
        <v>1</v>
      </c>
      <c r="AM25">
        <v>2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5</v>
      </c>
      <c r="AT25">
        <v>0.17</v>
      </c>
      <c r="AU25" t="s">
        <v>29</v>
      </c>
      <c r="AV25">
        <v>0</v>
      </c>
      <c r="AW25">
        <v>2</v>
      </c>
      <c r="AX25">
        <v>67204678</v>
      </c>
      <c r="AY25">
        <v>1</v>
      </c>
      <c r="AZ25">
        <v>2048</v>
      </c>
      <c r="BA25">
        <v>29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f>ROUND(Y25*Source!I33*DO25,9)</f>
        <v>0</v>
      </c>
      <c r="CX25">
        <f>ROUND(Y25*Source!I33,9)</f>
        <v>0.42499999999999999</v>
      </c>
      <c r="CY25">
        <f>AB25</f>
        <v>1161.6400000000001</v>
      </c>
      <c r="CZ25">
        <f>AF25</f>
        <v>83.1</v>
      </c>
      <c r="DA25">
        <f>AJ25</f>
        <v>12.86</v>
      </c>
      <c r="DB25">
        <f>ROUND((ROUND(AT25*CZ25,2)*1.25),6)</f>
        <v>17.662500000000001</v>
      </c>
      <c r="DC25">
        <f>ROUND((ROUND(AT25*AG25,2)*1.25),6)</f>
        <v>2.6875</v>
      </c>
      <c r="DD25" t="s">
        <v>5</v>
      </c>
      <c r="DE25" t="s">
        <v>5</v>
      </c>
      <c r="DF25">
        <f>ROUND(ROUND(AE25,2)*CX25,2)</f>
        <v>0</v>
      </c>
      <c r="DG25">
        <f>ROUND(ROUND(AF25*AJ25,2)*CX25,2)</f>
        <v>454.18</v>
      </c>
      <c r="DH25">
        <f>ROUND(ROUND(AG25*AK25,2)*CX25,2)</f>
        <v>185.1</v>
      </c>
      <c r="DI25">
        <f t="shared" si="0"/>
        <v>0</v>
      </c>
      <c r="DJ25">
        <f>DG25</f>
        <v>454.18</v>
      </c>
      <c r="DK25">
        <v>0</v>
      </c>
      <c r="DL25" t="s">
        <v>5</v>
      </c>
      <c r="DM25">
        <v>0</v>
      </c>
      <c r="DN25" t="s">
        <v>5</v>
      </c>
      <c r="DO25">
        <v>0</v>
      </c>
    </row>
    <row r="26" spans="1:119" x14ac:dyDescent="0.2">
      <c r="A26">
        <f>ROW(Source!A33)</f>
        <v>33</v>
      </c>
      <c r="B26">
        <v>67204543</v>
      </c>
      <c r="C26">
        <v>67204667</v>
      </c>
      <c r="D26">
        <v>66296502</v>
      </c>
      <c r="E26">
        <v>1</v>
      </c>
      <c r="F26">
        <v>1</v>
      </c>
      <c r="G26">
        <v>1073</v>
      </c>
      <c r="H26">
        <v>2</v>
      </c>
      <c r="I26" t="s">
        <v>211</v>
      </c>
      <c r="J26" t="s">
        <v>212</v>
      </c>
      <c r="K26" t="s">
        <v>213</v>
      </c>
      <c r="L26">
        <v>1368</v>
      </c>
      <c r="N26">
        <v>1011</v>
      </c>
      <c r="O26" t="s">
        <v>194</v>
      </c>
      <c r="P26" t="s">
        <v>194</v>
      </c>
      <c r="Q26">
        <v>1</v>
      </c>
      <c r="W26">
        <v>0</v>
      </c>
      <c r="X26">
        <v>-1055282831</v>
      </c>
      <c r="Y26">
        <f>(AT26*1.25)</f>
        <v>5.5</v>
      </c>
      <c r="AA26">
        <v>0</v>
      </c>
      <c r="AB26">
        <v>10.23</v>
      </c>
      <c r="AC26">
        <v>0</v>
      </c>
      <c r="AD26">
        <v>0</v>
      </c>
      <c r="AE26">
        <v>0</v>
      </c>
      <c r="AF26">
        <v>1.1100000000000001</v>
      </c>
      <c r="AG26">
        <v>0</v>
      </c>
      <c r="AH26">
        <v>0</v>
      </c>
      <c r="AI26">
        <v>1</v>
      </c>
      <c r="AJ26">
        <v>8.48</v>
      </c>
      <c r="AK26">
        <v>34.51</v>
      </c>
      <c r="AL26">
        <v>1</v>
      </c>
      <c r="AM26">
        <v>2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5</v>
      </c>
      <c r="AT26">
        <v>4.4000000000000004</v>
      </c>
      <c r="AU26" t="s">
        <v>29</v>
      </c>
      <c r="AV26">
        <v>0</v>
      </c>
      <c r="AW26">
        <v>2</v>
      </c>
      <c r="AX26">
        <v>67204679</v>
      </c>
      <c r="AY26">
        <v>1</v>
      </c>
      <c r="AZ26">
        <v>0</v>
      </c>
      <c r="BA26">
        <v>30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V26">
        <v>0</v>
      </c>
      <c r="CW26">
        <f>ROUND(Y26*Source!I33*DO26,9)</f>
        <v>0</v>
      </c>
      <c r="CX26">
        <f>ROUND(Y26*Source!I33,9)</f>
        <v>11</v>
      </c>
      <c r="CY26">
        <f>AB26</f>
        <v>10.23</v>
      </c>
      <c r="CZ26">
        <f>AF26</f>
        <v>1.1100000000000001</v>
      </c>
      <c r="DA26">
        <f>AJ26</f>
        <v>8.48</v>
      </c>
      <c r="DB26">
        <f>ROUND((ROUND(AT26*CZ26,2)*1.25),6)</f>
        <v>6.1</v>
      </c>
      <c r="DC26">
        <f>ROUND((ROUND(AT26*AG26,2)*1.25),6)</f>
        <v>0</v>
      </c>
      <c r="DD26" t="s">
        <v>5</v>
      </c>
      <c r="DE26" t="s">
        <v>5</v>
      </c>
      <c r="DF26">
        <f>ROUND(ROUND(AE26,2)*CX26,2)</f>
        <v>0</v>
      </c>
      <c r="DG26">
        <f>ROUND(ROUND(AF26*AJ26,2)*CX26,2)</f>
        <v>103.51</v>
      </c>
      <c r="DH26">
        <f>ROUND(ROUND(AG26*AK26,2)*CX26,2)</f>
        <v>0</v>
      </c>
      <c r="DI26">
        <f t="shared" si="0"/>
        <v>0</v>
      </c>
      <c r="DJ26">
        <f>DG26</f>
        <v>103.51</v>
      </c>
      <c r="DK26">
        <v>0</v>
      </c>
      <c r="DL26" t="s">
        <v>5</v>
      </c>
      <c r="DM26">
        <v>0</v>
      </c>
      <c r="DN26" t="s">
        <v>5</v>
      </c>
      <c r="DO26">
        <v>0</v>
      </c>
    </row>
    <row r="27" spans="1:119" x14ac:dyDescent="0.2">
      <c r="A27">
        <f>ROW(Source!A33)</f>
        <v>33</v>
      </c>
      <c r="B27">
        <v>67204543</v>
      </c>
      <c r="C27">
        <v>67204667</v>
      </c>
      <c r="D27">
        <v>66296467</v>
      </c>
      <c r="E27">
        <v>1</v>
      </c>
      <c r="F27">
        <v>1</v>
      </c>
      <c r="G27">
        <v>1073</v>
      </c>
      <c r="H27">
        <v>2</v>
      </c>
      <c r="I27" t="s">
        <v>198</v>
      </c>
      <c r="J27" t="s">
        <v>199</v>
      </c>
      <c r="K27" t="s">
        <v>200</v>
      </c>
      <c r="L27">
        <v>1368</v>
      </c>
      <c r="N27">
        <v>1011</v>
      </c>
      <c r="O27" t="s">
        <v>194</v>
      </c>
      <c r="P27" t="s">
        <v>194</v>
      </c>
      <c r="Q27">
        <v>1</v>
      </c>
      <c r="W27">
        <v>0</v>
      </c>
      <c r="X27">
        <v>1547080895</v>
      </c>
      <c r="Y27">
        <f>(AT27*1.25)</f>
        <v>5.3249999999999993</v>
      </c>
      <c r="AA27">
        <v>0</v>
      </c>
      <c r="AB27">
        <v>4.37</v>
      </c>
      <c r="AC27">
        <v>0</v>
      </c>
      <c r="AD27">
        <v>0</v>
      </c>
      <c r="AE27">
        <v>0</v>
      </c>
      <c r="AF27">
        <v>0.47</v>
      </c>
      <c r="AG27">
        <v>0</v>
      </c>
      <c r="AH27">
        <v>0</v>
      </c>
      <c r="AI27">
        <v>1</v>
      </c>
      <c r="AJ27">
        <v>8.5500000000000007</v>
      </c>
      <c r="AK27">
        <v>34.51</v>
      </c>
      <c r="AL27">
        <v>1</v>
      </c>
      <c r="AM27">
        <v>2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5</v>
      </c>
      <c r="AT27">
        <v>4.26</v>
      </c>
      <c r="AU27" t="s">
        <v>29</v>
      </c>
      <c r="AV27">
        <v>0</v>
      </c>
      <c r="AW27">
        <v>2</v>
      </c>
      <c r="AX27">
        <v>67204680</v>
      </c>
      <c r="AY27">
        <v>1</v>
      </c>
      <c r="AZ27">
        <v>2048</v>
      </c>
      <c r="BA27">
        <v>31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f>ROUND(Y27*Source!I33*DO27,9)</f>
        <v>0</v>
      </c>
      <c r="CX27">
        <f>ROUND(Y27*Source!I33,9)</f>
        <v>10.65</v>
      </c>
      <c r="CY27">
        <f>AB27</f>
        <v>4.37</v>
      </c>
      <c r="CZ27">
        <f>AF27</f>
        <v>0.47</v>
      </c>
      <c r="DA27">
        <f>AJ27</f>
        <v>8.5500000000000007</v>
      </c>
      <c r="DB27">
        <f>ROUND((ROUND(AT27*CZ27,2)*1.25),6)</f>
        <v>2.5</v>
      </c>
      <c r="DC27">
        <f>ROUND((ROUND(AT27*AG27,2)*1.25),6)</f>
        <v>0</v>
      </c>
      <c r="DD27" t="s">
        <v>5</v>
      </c>
      <c r="DE27" t="s">
        <v>5</v>
      </c>
      <c r="DF27">
        <f>ROUND(ROUND(AE27,2)*CX27,2)</f>
        <v>0</v>
      </c>
      <c r="DG27">
        <f>ROUND(ROUND(AF27*AJ27,2)*CX27,2)</f>
        <v>42.81</v>
      </c>
      <c r="DH27">
        <f>ROUND(ROUND(AG27*AK27,2)*CX27,2)</f>
        <v>0</v>
      </c>
      <c r="DI27">
        <f t="shared" si="0"/>
        <v>0</v>
      </c>
      <c r="DJ27">
        <f>DG27</f>
        <v>42.81</v>
      </c>
      <c r="DK27">
        <v>0</v>
      </c>
      <c r="DL27" t="s">
        <v>5</v>
      </c>
      <c r="DM27">
        <v>0</v>
      </c>
      <c r="DN27" t="s">
        <v>5</v>
      </c>
      <c r="DO27">
        <v>0</v>
      </c>
    </row>
    <row r="28" spans="1:119" x14ac:dyDescent="0.2">
      <c r="A28">
        <f>ROW(Source!A33)</f>
        <v>33</v>
      </c>
      <c r="B28">
        <v>67204543</v>
      </c>
      <c r="C28">
        <v>67204667</v>
      </c>
      <c r="D28">
        <v>66209094</v>
      </c>
      <c r="E28">
        <v>1</v>
      </c>
      <c r="F28">
        <v>1</v>
      </c>
      <c r="G28">
        <v>1073</v>
      </c>
      <c r="H28">
        <v>3</v>
      </c>
      <c r="I28" t="s">
        <v>214</v>
      </c>
      <c r="J28" t="s">
        <v>215</v>
      </c>
      <c r="K28" t="s">
        <v>216</v>
      </c>
      <c r="L28">
        <v>1348</v>
      </c>
      <c r="N28">
        <v>1009</v>
      </c>
      <c r="O28" t="s">
        <v>110</v>
      </c>
      <c r="P28" t="s">
        <v>110</v>
      </c>
      <c r="Q28">
        <v>1000</v>
      </c>
      <c r="W28">
        <v>0</v>
      </c>
      <c r="X28">
        <v>-253011739</v>
      </c>
      <c r="Y28">
        <f>(AT28*1)</f>
        <v>4.7000000000000002E-3</v>
      </c>
      <c r="AA28">
        <v>102433.5</v>
      </c>
      <c r="AB28">
        <v>0</v>
      </c>
      <c r="AC28">
        <v>0</v>
      </c>
      <c r="AD28">
        <v>0</v>
      </c>
      <c r="AE28">
        <v>20486.7</v>
      </c>
      <c r="AF28">
        <v>0</v>
      </c>
      <c r="AG28">
        <v>0</v>
      </c>
      <c r="AH28">
        <v>0</v>
      </c>
      <c r="AI28">
        <v>5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5</v>
      </c>
      <c r="AT28">
        <v>4.7000000000000002E-3</v>
      </c>
      <c r="AU28" t="s">
        <v>54</v>
      </c>
      <c r="AV28">
        <v>0</v>
      </c>
      <c r="AW28">
        <v>2</v>
      </c>
      <c r="AX28">
        <v>67204681</v>
      </c>
      <c r="AY28">
        <v>1</v>
      </c>
      <c r="AZ28">
        <v>0</v>
      </c>
      <c r="BA28">
        <v>32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ROUND(Y28*Source!I33,9)</f>
        <v>9.4000000000000004E-3</v>
      </c>
      <c r="CY28">
        <f>AA28</f>
        <v>102433.5</v>
      </c>
      <c r="CZ28">
        <f>AE28</f>
        <v>20486.7</v>
      </c>
      <c r="DA28">
        <f>AI28</f>
        <v>5</v>
      </c>
      <c r="DB28">
        <f>ROUND((ROUND(AT28*CZ28,2)*1),6)</f>
        <v>96.29</v>
      </c>
      <c r="DC28">
        <f>ROUND((ROUND(AT28*AG28,2)*1),6)</f>
        <v>0</v>
      </c>
      <c r="DD28" t="s">
        <v>5</v>
      </c>
      <c r="DE28" t="s">
        <v>5</v>
      </c>
      <c r="DF28">
        <f>ROUND(ROUND(AE28*AI28,2)*CX28,2)</f>
        <v>962.87</v>
      </c>
      <c r="DG28">
        <f t="shared" ref="DG28:DG33" si="7">ROUND(ROUND(AF28,2)*CX28,2)</f>
        <v>0</v>
      </c>
      <c r="DH28">
        <f t="shared" ref="DH28:DH33" si="8">ROUND(ROUND(AG28,2)*CX28,2)</f>
        <v>0</v>
      </c>
      <c r="DI28">
        <f t="shared" si="0"/>
        <v>0</v>
      </c>
      <c r="DJ28">
        <f>DF28</f>
        <v>962.87</v>
      </c>
      <c r="DK28">
        <v>0</v>
      </c>
      <c r="DL28" t="s">
        <v>5</v>
      </c>
      <c r="DM28">
        <v>0</v>
      </c>
      <c r="DN28" t="s">
        <v>5</v>
      </c>
      <c r="DO28">
        <v>0</v>
      </c>
    </row>
    <row r="29" spans="1:119" x14ac:dyDescent="0.2">
      <c r="A29">
        <f>ROW(Source!A33)</f>
        <v>33</v>
      </c>
      <c r="B29">
        <v>67204543</v>
      </c>
      <c r="C29">
        <v>67204667</v>
      </c>
      <c r="D29">
        <v>66210381</v>
      </c>
      <c r="E29">
        <v>1</v>
      </c>
      <c r="F29">
        <v>1</v>
      </c>
      <c r="G29">
        <v>1073</v>
      </c>
      <c r="H29">
        <v>3</v>
      </c>
      <c r="I29" t="s">
        <v>217</v>
      </c>
      <c r="J29" t="s">
        <v>218</v>
      </c>
      <c r="K29" t="s">
        <v>219</v>
      </c>
      <c r="L29">
        <v>1354</v>
      </c>
      <c r="N29">
        <v>1010</v>
      </c>
      <c r="O29" t="s">
        <v>62</v>
      </c>
      <c r="P29" t="s">
        <v>62</v>
      </c>
      <c r="Q29">
        <v>1</v>
      </c>
      <c r="W29">
        <v>0</v>
      </c>
      <c r="X29">
        <v>2005993745</v>
      </c>
      <c r="Y29">
        <f>(AT29*1)</f>
        <v>202</v>
      </c>
      <c r="AA29">
        <v>0.5</v>
      </c>
      <c r="AB29">
        <v>0</v>
      </c>
      <c r="AC29">
        <v>0</v>
      </c>
      <c r="AD29">
        <v>0</v>
      </c>
      <c r="AE29">
        <v>0.1</v>
      </c>
      <c r="AF29">
        <v>0</v>
      </c>
      <c r="AG29">
        <v>0</v>
      </c>
      <c r="AH29">
        <v>0</v>
      </c>
      <c r="AI29">
        <v>5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5</v>
      </c>
      <c r="AT29">
        <v>202</v>
      </c>
      <c r="AU29" t="s">
        <v>54</v>
      </c>
      <c r="AV29">
        <v>0</v>
      </c>
      <c r="AW29">
        <v>2</v>
      </c>
      <c r="AX29">
        <v>67204682</v>
      </c>
      <c r="AY29">
        <v>1</v>
      </c>
      <c r="AZ29">
        <v>0</v>
      </c>
      <c r="BA29">
        <v>33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ROUND(Y29*Source!I33,9)</f>
        <v>404</v>
      </c>
      <c r="CY29">
        <f>AA29</f>
        <v>0.5</v>
      </c>
      <c r="CZ29">
        <f>AE29</f>
        <v>0.1</v>
      </c>
      <c r="DA29">
        <f>AI29</f>
        <v>5</v>
      </c>
      <c r="DB29">
        <f>ROUND((ROUND(AT29*CZ29,2)*1),6)</f>
        <v>20.2</v>
      </c>
      <c r="DC29">
        <f>ROUND((ROUND(AT29*AG29,2)*1),6)</f>
        <v>0</v>
      </c>
      <c r="DD29" t="s">
        <v>5</v>
      </c>
      <c r="DE29" t="s">
        <v>5</v>
      </c>
      <c r="DF29">
        <f>ROUND(ROUND(AE29*AI29,2)*CX29,2)</f>
        <v>202</v>
      </c>
      <c r="DG29">
        <f t="shared" si="7"/>
        <v>0</v>
      </c>
      <c r="DH29">
        <f t="shared" si="8"/>
        <v>0</v>
      </c>
      <c r="DI29">
        <f t="shared" si="0"/>
        <v>0</v>
      </c>
      <c r="DJ29">
        <f>DF29</f>
        <v>202</v>
      </c>
      <c r="DK29">
        <v>0</v>
      </c>
      <c r="DL29" t="s">
        <v>5</v>
      </c>
      <c r="DM29">
        <v>0</v>
      </c>
      <c r="DN29" t="s">
        <v>5</v>
      </c>
      <c r="DO29">
        <v>0</v>
      </c>
    </row>
    <row r="30" spans="1:119" x14ac:dyDescent="0.2">
      <c r="A30">
        <f>ROW(Source!A33)</f>
        <v>33</v>
      </c>
      <c r="B30">
        <v>67204543</v>
      </c>
      <c r="C30">
        <v>67204667</v>
      </c>
      <c r="D30">
        <v>66207894</v>
      </c>
      <c r="E30">
        <v>1</v>
      </c>
      <c r="F30">
        <v>1</v>
      </c>
      <c r="G30">
        <v>1073</v>
      </c>
      <c r="H30">
        <v>3</v>
      </c>
      <c r="I30" t="s">
        <v>220</v>
      </c>
      <c r="J30" t="s">
        <v>221</v>
      </c>
      <c r="K30" t="s">
        <v>222</v>
      </c>
      <c r="L30">
        <v>1348</v>
      </c>
      <c r="N30">
        <v>1009</v>
      </c>
      <c r="O30" t="s">
        <v>110</v>
      </c>
      <c r="P30" t="s">
        <v>110</v>
      </c>
      <c r="Q30">
        <v>1000</v>
      </c>
      <c r="W30">
        <v>0</v>
      </c>
      <c r="X30">
        <v>1537479461</v>
      </c>
      <c r="Y30">
        <f>(AT30*1)</f>
        <v>1.52E-2</v>
      </c>
      <c r="AA30">
        <v>173887.78</v>
      </c>
      <c r="AB30">
        <v>0</v>
      </c>
      <c r="AC30">
        <v>0</v>
      </c>
      <c r="AD30">
        <v>0</v>
      </c>
      <c r="AE30">
        <v>26876.01</v>
      </c>
      <c r="AF30">
        <v>0</v>
      </c>
      <c r="AG30">
        <v>0</v>
      </c>
      <c r="AH30">
        <v>0</v>
      </c>
      <c r="AI30">
        <v>6.47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5</v>
      </c>
      <c r="AT30">
        <v>1.52E-2</v>
      </c>
      <c r="AU30" t="s">
        <v>54</v>
      </c>
      <c r="AV30">
        <v>0</v>
      </c>
      <c r="AW30">
        <v>2</v>
      </c>
      <c r="AX30">
        <v>67204683</v>
      </c>
      <c r="AY30">
        <v>1</v>
      </c>
      <c r="AZ30">
        <v>0</v>
      </c>
      <c r="BA30">
        <v>34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ROUND(Y30*Source!I33,9)</f>
        <v>3.04E-2</v>
      </c>
      <c r="CY30">
        <f>AA30</f>
        <v>173887.78</v>
      </c>
      <c r="CZ30">
        <f>AE30</f>
        <v>26876.01</v>
      </c>
      <c r="DA30">
        <f>AI30</f>
        <v>6.47</v>
      </c>
      <c r="DB30">
        <f>ROUND((ROUND(AT30*CZ30,2)*1),6)</f>
        <v>408.52</v>
      </c>
      <c r="DC30">
        <f>ROUND((ROUND(AT30*AG30,2)*1),6)</f>
        <v>0</v>
      </c>
      <c r="DD30" t="s">
        <v>5</v>
      </c>
      <c r="DE30" t="s">
        <v>5</v>
      </c>
      <c r="DF30">
        <f>ROUND(ROUND(AE30*AI30,2)*CX30,2)</f>
        <v>5286.19</v>
      </c>
      <c r="DG30">
        <f t="shared" si="7"/>
        <v>0</v>
      </c>
      <c r="DH30">
        <f t="shared" si="8"/>
        <v>0</v>
      </c>
      <c r="DI30">
        <f t="shared" si="0"/>
        <v>0</v>
      </c>
      <c r="DJ30">
        <f>DF30</f>
        <v>5286.19</v>
      </c>
      <c r="DK30">
        <v>0</v>
      </c>
      <c r="DL30" t="s">
        <v>5</v>
      </c>
      <c r="DM30">
        <v>0</v>
      </c>
      <c r="DN30" t="s">
        <v>5</v>
      </c>
      <c r="DO30">
        <v>0</v>
      </c>
    </row>
    <row r="31" spans="1:119" x14ac:dyDescent="0.2">
      <c r="A31">
        <f>ROW(Source!A33)</f>
        <v>33</v>
      </c>
      <c r="B31">
        <v>67204543</v>
      </c>
      <c r="C31">
        <v>67204667</v>
      </c>
      <c r="D31">
        <v>66235122</v>
      </c>
      <c r="E31">
        <v>1</v>
      </c>
      <c r="F31">
        <v>1</v>
      </c>
      <c r="G31">
        <v>1073</v>
      </c>
      <c r="H31">
        <v>3</v>
      </c>
      <c r="I31" t="s">
        <v>72</v>
      </c>
      <c r="J31" t="s">
        <v>74</v>
      </c>
      <c r="K31" t="s">
        <v>73</v>
      </c>
      <c r="L31">
        <v>1354</v>
      </c>
      <c r="N31">
        <v>1010</v>
      </c>
      <c r="O31" t="s">
        <v>62</v>
      </c>
      <c r="P31" t="s">
        <v>62</v>
      </c>
      <c r="Q31">
        <v>1</v>
      </c>
      <c r="W31">
        <v>0</v>
      </c>
      <c r="X31">
        <v>-1301051137</v>
      </c>
      <c r="Y31">
        <f>(AT31*1)</f>
        <v>10</v>
      </c>
      <c r="AA31">
        <v>219.58</v>
      </c>
      <c r="AB31">
        <v>0</v>
      </c>
      <c r="AC31">
        <v>0</v>
      </c>
      <c r="AD31">
        <v>0</v>
      </c>
      <c r="AE31">
        <v>105.06</v>
      </c>
      <c r="AF31">
        <v>0</v>
      </c>
      <c r="AG31">
        <v>0</v>
      </c>
      <c r="AH31">
        <v>0</v>
      </c>
      <c r="AI31">
        <v>2.09</v>
      </c>
      <c r="AJ31">
        <v>1</v>
      </c>
      <c r="AK31">
        <v>1</v>
      </c>
      <c r="AL31">
        <v>1</v>
      </c>
      <c r="AM31">
        <v>0</v>
      </c>
      <c r="AN31">
        <v>0</v>
      </c>
      <c r="AO31">
        <v>0</v>
      </c>
      <c r="AP31">
        <v>1</v>
      </c>
      <c r="AQ31">
        <v>0</v>
      </c>
      <c r="AR31">
        <v>0</v>
      </c>
      <c r="AS31" t="s">
        <v>5</v>
      </c>
      <c r="AT31">
        <v>10</v>
      </c>
      <c r="AU31" t="s">
        <v>54</v>
      </c>
      <c r="AV31">
        <v>0</v>
      </c>
      <c r="AW31">
        <v>1</v>
      </c>
      <c r="AX31">
        <v>-1</v>
      </c>
      <c r="AY31">
        <v>0</v>
      </c>
      <c r="AZ31">
        <v>0</v>
      </c>
      <c r="BA31" t="s">
        <v>5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ROUND(Y31*Source!I33,9)</f>
        <v>20</v>
      </c>
      <c r="CY31">
        <f>AA31</f>
        <v>219.58</v>
      </c>
      <c r="CZ31">
        <f>AE31</f>
        <v>105.06</v>
      </c>
      <c r="DA31">
        <f>AI31</f>
        <v>2.09</v>
      </c>
      <c r="DB31">
        <f>ROUND((ROUND(AT31*CZ31,2)*1),6)</f>
        <v>1050.5999999999999</v>
      </c>
      <c r="DC31">
        <f>ROUND((ROUND(AT31*AG31,2)*1),6)</f>
        <v>0</v>
      </c>
      <c r="DD31" t="s">
        <v>5</v>
      </c>
      <c r="DE31" t="s">
        <v>5</v>
      </c>
      <c r="DF31">
        <f>ROUND(ROUND(AE31*AI31,2)*CX31,2)</f>
        <v>4391.6000000000004</v>
      </c>
      <c r="DG31">
        <f t="shared" si="7"/>
        <v>0</v>
      </c>
      <c r="DH31">
        <f t="shared" si="8"/>
        <v>0</v>
      </c>
      <c r="DI31">
        <f t="shared" si="0"/>
        <v>0</v>
      </c>
      <c r="DJ31">
        <f>DF31</f>
        <v>4391.6000000000004</v>
      </c>
      <c r="DK31">
        <v>0</v>
      </c>
      <c r="DL31" t="s">
        <v>5</v>
      </c>
      <c r="DM31">
        <v>0</v>
      </c>
      <c r="DN31" t="s">
        <v>5</v>
      </c>
      <c r="DO31">
        <v>0</v>
      </c>
    </row>
    <row r="32" spans="1:119" x14ac:dyDescent="0.2">
      <c r="A32">
        <f>ROW(Source!A33)</f>
        <v>33</v>
      </c>
      <c r="B32">
        <v>67204543</v>
      </c>
      <c r="C32">
        <v>67204667</v>
      </c>
      <c r="D32">
        <v>66182803</v>
      </c>
      <c r="E32">
        <v>1073</v>
      </c>
      <c r="F32">
        <v>1</v>
      </c>
      <c r="G32">
        <v>1073</v>
      </c>
      <c r="H32">
        <v>3</v>
      </c>
      <c r="I32" t="s">
        <v>223</v>
      </c>
      <c r="J32" t="s">
        <v>5</v>
      </c>
      <c r="K32" t="s">
        <v>224</v>
      </c>
      <c r="L32">
        <v>1344</v>
      </c>
      <c r="N32">
        <v>1008</v>
      </c>
      <c r="O32" t="s">
        <v>210</v>
      </c>
      <c r="P32" t="s">
        <v>210</v>
      </c>
      <c r="Q32">
        <v>1</v>
      </c>
      <c r="W32">
        <v>0</v>
      </c>
      <c r="X32">
        <v>-94250534</v>
      </c>
      <c r="Y32">
        <f>(AT32*1)</f>
        <v>0.01</v>
      </c>
      <c r="AA32">
        <v>1</v>
      </c>
      <c r="AB32">
        <v>0</v>
      </c>
      <c r="AC32">
        <v>0</v>
      </c>
      <c r="AD32">
        <v>0</v>
      </c>
      <c r="AE32">
        <v>1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5</v>
      </c>
      <c r="AT32">
        <v>0.01</v>
      </c>
      <c r="AU32" t="s">
        <v>54</v>
      </c>
      <c r="AV32">
        <v>0</v>
      </c>
      <c r="AW32">
        <v>2</v>
      </c>
      <c r="AX32">
        <v>67204685</v>
      </c>
      <c r="AY32">
        <v>1</v>
      </c>
      <c r="AZ32">
        <v>0</v>
      </c>
      <c r="BA32">
        <v>36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ROUND(Y32*Source!I33,9)</f>
        <v>0.02</v>
      </c>
      <c r="CY32">
        <f>AA32</f>
        <v>1</v>
      </c>
      <c r="CZ32">
        <f>AE32</f>
        <v>1</v>
      </c>
      <c r="DA32">
        <f>AI32</f>
        <v>1</v>
      </c>
      <c r="DB32">
        <f>ROUND((ROUND(AT32*CZ32,2)*1),6)</f>
        <v>0.01</v>
      </c>
      <c r="DC32">
        <f>ROUND((ROUND(AT32*AG32,2)*1),6)</f>
        <v>0</v>
      </c>
      <c r="DD32" t="s">
        <v>5</v>
      </c>
      <c r="DE32" t="s">
        <v>5</v>
      </c>
      <c r="DF32">
        <f t="shared" ref="DF32:DF39" si="9">ROUND(ROUND(AE32,2)*CX32,2)</f>
        <v>0.02</v>
      </c>
      <c r="DG32">
        <f t="shared" si="7"/>
        <v>0</v>
      </c>
      <c r="DH32">
        <f t="shared" si="8"/>
        <v>0</v>
      </c>
      <c r="DI32">
        <f t="shared" si="0"/>
        <v>0</v>
      </c>
      <c r="DJ32">
        <f>DF32</f>
        <v>0.02</v>
      </c>
      <c r="DK32">
        <v>0</v>
      </c>
      <c r="DL32" t="s">
        <v>5</v>
      </c>
      <c r="DM32">
        <v>0</v>
      </c>
      <c r="DN32" t="s">
        <v>5</v>
      </c>
      <c r="DO32">
        <v>0</v>
      </c>
    </row>
    <row r="33" spans="1:119" x14ac:dyDescent="0.2">
      <c r="A33">
        <f>ROW(Source!A35)</f>
        <v>35</v>
      </c>
      <c r="B33">
        <v>67204543</v>
      </c>
      <c r="C33">
        <v>67204687</v>
      </c>
      <c r="D33">
        <v>66140260</v>
      </c>
      <c r="E33">
        <v>1073</v>
      </c>
      <c r="F33">
        <v>1</v>
      </c>
      <c r="G33">
        <v>1073</v>
      </c>
      <c r="H33">
        <v>1</v>
      </c>
      <c r="I33" t="s">
        <v>188</v>
      </c>
      <c r="J33" t="s">
        <v>5</v>
      </c>
      <c r="K33" t="s">
        <v>189</v>
      </c>
      <c r="L33">
        <v>1191</v>
      </c>
      <c r="N33">
        <v>1013</v>
      </c>
      <c r="O33" t="s">
        <v>190</v>
      </c>
      <c r="P33" t="s">
        <v>190</v>
      </c>
      <c r="Q33">
        <v>1</v>
      </c>
      <c r="W33">
        <v>0</v>
      </c>
      <c r="X33">
        <v>476480486</v>
      </c>
      <c r="Y33">
        <f>(AT33*1.15)</f>
        <v>166.45099999999999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5</v>
      </c>
      <c r="AT33">
        <v>144.74</v>
      </c>
      <c r="AU33" t="s">
        <v>30</v>
      </c>
      <c r="AV33">
        <v>1</v>
      </c>
      <c r="AW33">
        <v>2</v>
      </c>
      <c r="AX33">
        <v>67204707</v>
      </c>
      <c r="AY33">
        <v>1</v>
      </c>
      <c r="AZ33">
        <v>0</v>
      </c>
      <c r="BA33">
        <v>37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ROUND(AT33*Source!I35*AH33*AL33,2)</f>
        <v>0</v>
      </c>
      <c r="CV33">
        <f>ROUND(Y33*Source!I35,9)</f>
        <v>898.83540000000005</v>
      </c>
      <c r="CW33">
        <v>0</v>
      </c>
      <c r="CX33">
        <f>ROUND(Y33*Source!I35,9)</f>
        <v>898.83540000000005</v>
      </c>
      <c r="CY33">
        <f>AD33</f>
        <v>0</v>
      </c>
      <c r="CZ33">
        <f>AH33</f>
        <v>0</v>
      </c>
      <c r="DA33">
        <f>AL33</f>
        <v>1</v>
      </c>
      <c r="DB33">
        <f>ROUND((ROUND(AT33*CZ33,2)*1.15),6)</f>
        <v>0</v>
      </c>
      <c r="DC33">
        <f>ROUND((ROUND(AT33*AG33,2)*1.15),6)</f>
        <v>0</v>
      </c>
      <c r="DD33" t="s">
        <v>5</v>
      </c>
      <c r="DE33" t="s">
        <v>5</v>
      </c>
      <c r="DF33">
        <f t="shared" si="9"/>
        <v>0</v>
      </c>
      <c r="DG33">
        <f t="shared" si="7"/>
        <v>0</v>
      </c>
      <c r="DH33">
        <f t="shared" si="8"/>
        <v>0</v>
      </c>
      <c r="DI33">
        <f t="shared" ref="DI33:DI58" si="10">ROUND(ROUND(AH33,2)*CX33,2)</f>
        <v>0</v>
      </c>
      <c r="DJ33">
        <f>DI33</f>
        <v>0</v>
      </c>
      <c r="DK33">
        <v>0</v>
      </c>
      <c r="DL33" t="s">
        <v>5</v>
      </c>
      <c r="DM33">
        <v>0</v>
      </c>
      <c r="DN33" t="s">
        <v>5</v>
      </c>
      <c r="DO33">
        <v>0</v>
      </c>
    </row>
    <row r="34" spans="1:119" x14ac:dyDescent="0.2">
      <c r="A34">
        <f>ROW(Source!A35)</f>
        <v>35</v>
      </c>
      <c r="B34">
        <v>67204543</v>
      </c>
      <c r="C34">
        <v>67204687</v>
      </c>
      <c r="D34">
        <v>66296126</v>
      </c>
      <c r="E34">
        <v>1</v>
      </c>
      <c r="F34">
        <v>1</v>
      </c>
      <c r="G34">
        <v>1073</v>
      </c>
      <c r="H34">
        <v>2</v>
      </c>
      <c r="I34" t="s">
        <v>225</v>
      </c>
      <c r="J34" t="s">
        <v>226</v>
      </c>
      <c r="K34" t="s">
        <v>227</v>
      </c>
      <c r="L34">
        <v>1368</v>
      </c>
      <c r="N34">
        <v>1011</v>
      </c>
      <c r="O34" t="s">
        <v>194</v>
      </c>
      <c r="P34" t="s">
        <v>194</v>
      </c>
      <c r="Q34">
        <v>1</v>
      </c>
      <c r="W34">
        <v>0</v>
      </c>
      <c r="X34">
        <v>-1747272529</v>
      </c>
      <c r="Y34">
        <f t="shared" ref="Y34:Y39" si="11">(AT34*1.25)</f>
        <v>9.0250000000000004</v>
      </c>
      <c r="AA34">
        <v>0</v>
      </c>
      <c r="AB34">
        <v>45.47</v>
      </c>
      <c r="AC34">
        <v>0</v>
      </c>
      <c r="AD34">
        <v>0</v>
      </c>
      <c r="AE34">
        <v>0</v>
      </c>
      <c r="AF34">
        <v>4.6900000000000004</v>
      </c>
      <c r="AG34">
        <v>0</v>
      </c>
      <c r="AH34">
        <v>0</v>
      </c>
      <c r="AI34">
        <v>1</v>
      </c>
      <c r="AJ34">
        <v>8.92</v>
      </c>
      <c r="AK34">
        <v>34.51</v>
      </c>
      <c r="AL34">
        <v>1</v>
      </c>
      <c r="AM34">
        <v>2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5</v>
      </c>
      <c r="AT34">
        <v>7.22</v>
      </c>
      <c r="AU34" t="s">
        <v>29</v>
      </c>
      <c r="AV34">
        <v>0</v>
      </c>
      <c r="AW34">
        <v>2</v>
      </c>
      <c r="AX34">
        <v>67204708</v>
      </c>
      <c r="AY34">
        <v>1</v>
      </c>
      <c r="AZ34">
        <v>0</v>
      </c>
      <c r="BA34">
        <v>38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V34">
        <v>0</v>
      </c>
      <c r="CW34">
        <f>ROUND(Y34*Source!I35*DO34,9)</f>
        <v>0</v>
      </c>
      <c r="CX34">
        <f>ROUND(Y34*Source!I35,9)</f>
        <v>48.734999999999999</v>
      </c>
      <c r="CY34">
        <f t="shared" ref="CY34:CY39" si="12">AB34</f>
        <v>45.47</v>
      </c>
      <c r="CZ34">
        <f t="shared" ref="CZ34:CZ39" si="13">AF34</f>
        <v>4.6900000000000004</v>
      </c>
      <c r="DA34">
        <f t="shared" ref="DA34:DA39" si="14">AJ34</f>
        <v>8.92</v>
      </c>
      <c r="DB34">
        <f t="shared" ref="DB34:DB39" si="15">ROUND((ROUND(AT34*CZ34,2)*1.25),6)</f>
        <v>42.325000000000003</v>
      </c>
      <c r="DC34">
        <f t="shared" ref="DC34:DC39" si="16">ROUND((ROUND(AT34*AG34,2)*1.25),6)</f>
        <v>0</v>
      </c>
      <c r="DD34" t="s">
        <v>5</v>
      </c>
      <c r="DE34" t="s">
        <v>5</v>
      </c>
      <c r="DF34">
        <f t="shared" si="9"/>
        <v>0</v>
      </c>
      <c r="DG34">
        <f t="shared" ref="DG34:DG39" si="17">ROUND(ROUND(AF34*AJ34,2)*CX34,2)</f>
        <v>2038.59</v>
      </c>
      <c r="DH34">
        <f t="shared" ref="DH34:DH39" si="18">ROUND(ROUND(AG34*AK34,2)*CX34,2)</f>
        <v>0</v>
      </c>
      <c r="DI34">
        <f t="shared" si="10"/>
        <v>0</v>
      </c>
      <c r="DJ34">
        <f t="shared" ref="DJ34:DJ39" si="19">DG34</f>
        <v>2038.59</v>
      </c>
      <c r="DK34">
        <v>0</v>
      </c>
      <c r="DL34" t="s">
        <v>5</v>
      </c>
      <c r="DM34">
        <v>0</v>
      </c>
      <c r="DN34" t="s">
        <v>5</v>
      </c>
      <c r="DO34">
        <v>0</v>
      </c>
    </row>
    <row r="35" spans="1:119" x14ac:dyDescent="0.2">
      <c r="A35">
        <f>ROW(Source!A35)</f>
        <v>35</v>
      </c>
      <c r="B35">
        <v>67204543</v>
      </c>
      <c r="C35">
        <v>67204687</v>
      </c>
      <c r="D35">
        <v>66296384</v>
      </c>
      <c r="E35">
        <v>1</v>
      </c>
      <c r="F35">
        <v>1</v>
      </c>
      <c r="G35">
        <v>1073</v>
      </c>
      <c r="H35">
        <v>2</v>
      </c>
      <c r="I35" t="s">
        <v>191</v>
      </c>
      <c r="J35" t="s">
        <v>192</v>
      </c>
      <c r="K35" t="s">
        <v>193</v>
      </c>
      <c r="L35">
        <v>1368</v>
      </c>
      <c r="N35">
        <v>1011</v>
      </c>
      <c r="O35" t="s">
        <v>194</v>
      </c>
      <c r="P35" t="s">
        <v>194</v>
      </c>
      <c r="Q35">
        <v>1</v>
      </c>
      <c r="W35">
        <v>0</v>
      </c>
      <c r="X35">
        <v>-1005074883</v>
      </c>
      <c r="Y35">
        <f t="shared" si="11"/>
        <v>1.2749999999999999</v>
      </c>
      <c r="AA35">
        <v>0</v>
      </c>
      <c r="AB35">
        <v>1161.6400000000001</v>
      </c>
      <c r="AC35">
        <v>473.41</v>
      </c>
      <c r="AD35">
        <v>0</v>
      </c>
      <c r="AE35">
        <v>0</v>
      </c>
      <c r="AF35">
        <v>83.1</v>
      </c>
      <c r="AG35">
        <v>12.62</v>
      </c>
      <c r="AH35">
        <v>0</v>
      </c>
      <c r="AI35">
        <v>1</v>
      </c>
      <c r="AJ35">
        <v>12.86</v>
      </c>
      <c r="AK35">
        <v>34.51</v>
      </c>
      <c r="AL35">
        <v>1</v>
      </c>
      <c r="AM35">
        <v>2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5</v>
      </c>
      <c r="AT35">
        <v>1.02</v>
      </c>
      <c r="AU35" t="s">
        <v>29</v>
      </c>
      <c r="AV35">
        <v>0</v>
      </c>
      <c r="AW35">
        <v>2</v>
      </c>
      <c r="AX35">
        <v>67204709</v>
      </c>
      <c r="AY35">
        <v>1</v>
      </c>
      <c r="AZ35">
        <v>0</v>
      </c>
      <c r="BA35">
        <v>39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f>ROUND(Y35*Source!I35*DO35,9)</f>
        <v>0</v>
      </c>
      <c r="CX35">
        <f>ROUND(Y35*Source!I35,9)</f>
        <v>6.8849999999999998</v>
      </c>
      <c r="CY35">
        <f t="shared" si="12"/>
        <v>1161.6400000000001</v>
      </c>
      <c r="CZ35">
        <f t="shared" si="13"/>
        <v>83.1</v>
      </c>
      <c r="DA35">
        <f t="shared" si="14"/>
        <v>12.86</v>
      </c>
      <c r="DB35">
        <f t="shared" si="15"/>
        <v>105.95</v>
      </c>
      <c r="DC35">
        <f t="shared" si="16"/>
        <v>16.087499999999999</v>
      </c>
      <c r="DD35" t="s">
        <v>5</v>
      </c>
      <c r="DE35" t="s">
        <v>5</v>
      </c>
      <c r="DF35">
        <f t="shared" si="9"/>
        <v>0</v>
      </c>
      <c r="DG35">
        <f t="shared" si="17"/>
        <v>7357.79</v>
      </c>
      <c r="DH35">
        <f t="shared" si="18"/>
        <v>2998.56</v>
      </c>
      <c r="DI35">
        <f t="shared" si="10"/>
        <v>0</v>
      </c>
      <c r="DJ35">
        <f t="shared" si="19"/>
        <v>7357.79</v>
      </c>
      <c r="DK35">
        <v>0</v>
      </c>
      <c r="DL35" t="s">
        <v>5</v>
      </c>
      <c r="DM35">
        <v>0</v>
      </c>
      <c r="DN35" t="s">
        <v>5</v>
      </c>
      <c r="DO35">
        <v>0</v>
      </c>
    </row>
    <row r="36" spans="1:119" x14ac:dyDescent="0.2">
      <c r="A36">
        <f>ROW(Source!A35)</f>
        <v>35</v>
      </c>
      <c r="B36">
        <v>67204543</v>
      </c>
      <c r="C36">
        <v>67204687</v>
      </c>
      <c r="D36">
        <v>66296502</v>
      </c>
      <c r="E36">
        <v>1</v>
      </c>
      <c r="F36">
        <v>1</v>
      </c>
      <c r="G36">
        <v>1073</v>
      </c>
      <c r="H36">
        <v>2</v>
      </c>
      <c r="I36" t="s">
        <v>211</v>
      </c>
      <c r="J36" t="s">
        <v>212</v>
      </c>
      <c r="K36" t="s">
        <v>213</v>
      </c>
      <c r="L36">
        <v>1368</v>
      </c>
      <c r="N36">
        <v>1011</v>
      </c>
      <c r="O36" t="s">
        <v>194</v>
      </c>
      <c r="P36" t="s">
        <v>194</v>
      </c>
      <c r="Q36">
        <v>1</v>
      </c>
      <c r="W36">
        <v>0</v>
      </c>
      <c r="X36">
        <v>-1055282831</v>
      </c>
      <c r="Y36">
        <f t="shared" si="11"/>
        <v>3.05</v>
      </c>
      <c r="AA36">
        <v>0</v>
      </c>
      <c r="AB36">
        <v>10.23</v>
      </c>
      <c r="AC36">
        <v>0</v>
      </c>
      <c r="AD36">
        <v>0</v>
      </c>
      <c r="AE36">
        <v>0</v>
      </c>
      <c r="AF36">
        <v>1.1100000000000001</v>
      </c>
      <c r="AG36">
        <v>0</v>
      </c>
      <c r="AH36">
        <v>0</v>
      </c>
      <c r="AI36">
        <v>1</v>
      </c>
      <c r="AJ36">
        <v>8.48</v>
      </c>
      <c r="AK36">
        <v>34.51</v>
      </c>
      <c r="AL36">
        <v>1</v>
      </c>
      <c r="AM36">
        <v>2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5</v>
      </c>
      <c r="AT36">
        <v>2.44</v>
      </c>
      <c r="AU36" t="s">
        <v>29</v>
      </c>
      <c r="AV36">
        <v>0</v>
      </c>
      <c r="AW36">
        <v>2</v>
      </c>
      <c r="AX36">
        <v>67204710</v>
      </c>
      <c r="AY36">
        <v>1</v>
      </c>
      <c r="AZ36">
        <v>0</v>
      </c>
      <c r="BA36">
        <v>40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f>ROUND(Y36*Source!I35*DO36,9)</f>
        <v>0</v>
      </c>
      <c r="CX36">
        <f>ROUND(Y36*Source!I35,9)</f>
        <v>16.47</v>
      </c>
      <c r="CY36">
        <f t="shared" si="12"/>
        <v>10.23</v>
      </c>
      <c r="CZ36">
        <f t="shared" si="13"/>
        <v>1.1100000000000001</v>
      </c>
      <c r="DA36">
        <f t="shared" si="14"/>
        <v>8.48</v>
      </c>
      <c r="DB36">
        <f t="shared" si="15"/>
        <v>3.3875000000000002</v>
      </c>
      <c r="DC36">
        <f t="shared" si="16"/>
        <v>0</v>
      </c>
      <c r="DD36" t="s">
        <v>5</v>
      </c>
      <c r="DE36" t="s">
        <v>5</v>
      </c>
      <c r="DF36">
        <f t="shared" si="9"/>
        <v>0</v>
      </c>
      <c r="DG36">
        <f t="shared" si="17"/>
        <v>154.97999999999999</v>
      </c>
      <c r="DH36">
        <f t="shared" si="18"/>
        <v>0</v>
      </c>
      <c r="DI36">
        <f t="shared" si="10"/>
        <v>0</v>
      </c>
      <c r="DJ36">
        <f t="shared" si="19"/>
        <v>154.97999999999999</v>
      </c>
      <c r="DK36">
        <v>0</v>
      </c>
      <c r="DL36" t="s">
        <v>5</v>
      </c>
      <c r="DM36">
        <v>0</v>
      </c>
      <c r="DN36" t="s">
        <v>5</v>
      </c>
      <c r="DO36">
        <v>0</v>
      </c>
    </row>
    <row r="37" spans="1:119" x14ac:dyDescent="0.2">
      <c r="A37">
        <f>ROW(Source!A35)</f>
        <v>35</v>
      </c>
      <c r="B37">
        <v>67204543</v>
      </c>
      <c r="C37">
        <v>67204687</v>
      </c>
      <c r="D37">
        <v>66296441</v>
      </c>
      <c r="E37">
        <v>1</v>
      </c>
      <c r="F37">
        <v>1</v>
      </c>
      <c r="G37">
        <v>1073</v>
      </c>
      <c r="H37">
        <v>2</v>
      </c>
      <c r="I37" t="s">
        <v>228</v>
      </c>
      <c r="J37" t="s">
        <v>229</v>
      </c>
      <c r="K37" t="s">
        <v>230</v>
      </c>
      <c r="L37">
        <v>1368</v>
      </c>
      <c r="N37">
        <v>1011</v>
      </c>
      <c r="O37" t="s">
        <v>194</v>
      </c>
      <c r="P37" t="s">
        <v>194</v>
      </c>
      <c r="Q37">
        <v>1</v>
      </c>
      <c r="W37">
        <v>0</v>
      </c>
      <c r="X37">
        <v>-565506363</v>
      </c>
      <c r="Y37">
        <f t="shared" si="11"/>
        <v>9.1</v>
      </c>
      <c r="AA37">
        <v>0</v>
      </c>
      <c r="AB37">
        <v>3.94</v>
      </c>
      <c r="AC37">
        <v>0</v>
      </c>
      <c r="AD37">
        <v>0</v>
      </c>
      <c r="AE37">
        <v>0</v>
      </c>
      <c r="AF37">
        <v>0.42</v>
      </c>
      <c r="AG37">
        <v>0</v>
      </c>
      <c r="AH37">
        <v>0</v>
      </c>
      <c r="AI37">
        <v>1</v>
      </c>
      <c r="AJ37">
        <v>8.64</v>
      </c>
      <c r="AK37">
        <v>34.51</v>
      </c>
      <c r="AL37">
        <v>1</v>
      </c>
      <c r="AM37">
        <v>2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5</v>
      </c>
      <c r="AT37">
        <v>7.28</v>
      </c>
      <c r="AU37" t="s">
        <v>29</v>
      </c>
      <c r="AV37">
        <v>0</v>
      </c>
      <c r="AW37">
        <v>2</v>
      </c>
      <c r="AX37">
        <v>67204711</v>
      </c>
      <c r="AY37">
        <v>1</v>
      </c>
      <c r="AZ37">
        <v>0</v>
      </c>
      <c r="BA37">
        <v>41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f>ROUND(Y37*Source!I35*DO37,9)</f>
        <v>0</v>
      </c>
      <c r="CX37">
        <f>ROUND(Y37*Source!I35,9)</f>
        <v>49.14</v>
      </c>
      <c r="CY37">
        <f t="shared" si="12"/>
        <v>3.94</v>
      </c>
      <c r="CZ37">
        <f t="shared" si="13"/>
        <v>0.42</v>
      </c>
      <c r="DA37">
        <f t="shared" si="14"/>
        <v>8.64</v>
      </c>
      <c r="DB37">
        <f t="shared" si="15"/>
        <v>3.8250000000000002</v>
      </c>
      <c r="DC37">
        <f t="shared" si="16"/>
        <v>0</v>
      </c>
      <c r="DD37" t="s">
        <v>5</v>
      </c>
      <c r="DE37" t="s">
        <v>5</v>
      </c>
      <c r="DF37">
        <f t="shared" si="9"/>
        <v>0</v>
      </c>
      <c r="DG37">
        <f t="shared" si="17"/>
        <v>178.38</v>
      </c>
      <c r="DH37">
        <f t="shared" si="18"/>
        <v>0</v>
      </c>
      <c r="DI37">
        <f t="shared" si="10"/>
        <v>0</v>
      </c>
      <c r="DJ37">
        <f t="shared" si="19"/>
        <v>178.38</v>
      </c>
      <c r="DK37">
        <v>0</v>
      </c>
      <c r="DL37" t="s">
        <v>5</v>
      </c>
      <c r="DM37">
        <v>0</v>
      </c>
      <c r="DN37" t="s">
        <v>5</v>
      </c>
      <c r="DO37">
        <v>0</v>
      </c>
    </row>
    <row r="38" spans="1:119" x14ac:dyDescent="0.2">
      <c r="A38">
        <f>ROW(Source!A35)</f>
        <v>35</v>
      </c>
      <c r="B38">
        <v>67204543</v>
      </c>
      <c r="C38">
        <v>67204687</v>
      </c>
      <c r="D38">
        <v>66296467</v>
      </c>
      <c r="E38">
        <v>1</v>
      </c>
      <c r="F38">
        <v>1</v>
      </c>
      <c r="G38">
        <v>1073</v>
      </c>
      <c r="H38">
        <v>2</v>
      </c>
      <c r="I38" t="s">
        <v>198</v>
      </c>
      <c r="J38" t="s">
        <v>199</v>
      </c>
      <c r="K38" t="s">
        <v>200</v>
      </c>
      <c r="L38">
        <v>1368</v>
      </c>
      <c r="N38">
        <v>1011</v>
      </c>
      <c r="O38" t="s">
        <v>194</v>
      </c>
      <c r="P38" t="s">
        <v>194</v>
      </c>
      <c r="Q38">
        <v>1</v>
      </c>
      <c r="W38">
        <v>0</v>
      </c>
      <c r="X38">
        <v>1547080895</v>
      </c>
      <c r="Y38">
        <f t="shared" si="11"/>
        <v>18.024999999999999</v>
      </c>
      <c r="AA38">
        <v>0</v>
      </c>
      <c r="AB38">
        <v>4.37</v>
      </c>
      <c r="AC38">
        <v>0</v>
      </c>
      <c r="AD38">
        <v>0</v>
      </c>
      <c r="AE38">
        <v>0</v>
      </c>
      <c r="AF38">
        <v>0.47</v>
      </c>
      <c r="AG38">
        <v>0</v>
      </c>
      <c r="AH38">
        <v>0</v>
      </c>
      <c r="AI38">
        <v>1</v>
      </c>
      <c r="AJ38">
        <v>8.5500000000000007</v>
      </c>
      <c r="AK38">
        <v>34.51</v>
      </c>
      <c r="AL38">
        <v>1</v>
      </c>
      <c r="AM38">
        <v>2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5</v>
      </c>
      <c r="AT38">
        <v>14.42</v>
      </c>
      <c r="AU38" t="s">
        <v>29</v>
      </c>
      <c r="AV38">
        <v>0</v>
      </c>
      <c r="AW38">
        <v>2</v>
      </c>
      <c r="AX38">
        <v>67204712</v>
      </c>
      <c r="AY38">
        <v>1</v>
      </c>
      <c r="AZ38">
        <v>0</v>
      </c>
      <c r="BA38">
        <v>42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f>ROUND(Y38*Source!I35*DO38,9)</f>
        <v>0</v>
      </c>
      <c r="CX38">
        <f>ROUND(Y38*Source!I35,9)</f>
        <v>97.334999999999994</v>
      </c>
      <c r="CY38">
        <f t="shared" si="12"/>
        <v>4.37</v>
      </c>
      <c r="CZ38">
        <f t="shared" si="13"/>
        <v>0.47</v>
      </c>
      <c r="DA38">
        <f t="shared" si="14"/>
        <v>8.5500000000000007</v>
      </c>
      <c r="DB38">
        <f t="shared" si="15"/>
        <v>8.4749999999999996</v>
      </c>
      <c r="DC38">
        <f t="shared" si="16"/>
        <v>0</v>
      </c>
      <c r="DD38" t="s">
        <v>5</v>
      </c>
      <c r="DE38" t="s">
        <v>5</v>
      </c>
      <c r="DF38">
        <f t="shared" si="9"/>
        <v>0</v>
      </c>
      <c r="DG38">
        <f t="shared" si="17"/>
        <v>391.29</v>
      </c>
      <c r="DH38">
        <f t="shared" si="18"/>
        <v>0</v>
      </c>
      <c r="DI38">
        <f t="shared" si="10"/>
        <v>0</v>
      </c>
      <c r="DJ38">
        <f t="shared" si="19"/>
        <v>391.29</v>
      </c>
      <c r="DK38">
        <v>0</v>
      </c>
      <c r="DL38" t="s">
        <v>5</v>
      </c>
      <c r="DM38">
        <v>0</v>
      </c>
      <c r="DN38" t="s">
        <v>5</v>
      </c>
      <c r="DO38">
        <v>0</v>
      </c>
    </row>
    <row r="39" spans="1:119" x14ac:dyDescent="0.2">
      <c r="A39">
        <f>ROW(Source!A35)</f>
        <v>35</v>
      </c>
      <c r="B39">
        <v>67204543</v>
      </c>
      <c r="C39">
        <v>67204687</v>
      </c>
      <c r="D39">
        <v>66295738</v>
      </c>
      <c r="E39">
        <v>1</v>
      </c>
      <c r="F39">
        <v>1</v>
      </c>
      <c r="G39">
        <v>1073</v>
      </c>
      <c r="H39">
        <v>2</v>
      </c>
      <c r="I39" t="s">
        <v>231</v>
      </c>
      <c r="J39" t="s">
        <v>232</v>
      </c>
      <c r="K39" t="s">
        <v>233</v>
      </c>
      <c r="L39">
        <v>1368</v>
      </c>
      <c r="N39">
        <v>1011</v>
      </c>
      <c r="O39" t="s">
        <v>194</v>
      </c>
      <c r="P39" t="s">
        <v>194</v>
      </c>
      <c r="Q39">
        <v>1</v>
      </c>
      <c r="W39">
        <v>0</v>
      </c>
      <c r="X39">
        <v>-364792855</v>
      </c>
      <c r="Y39">
        <f t="shared" si="11"/>
        <v>7.5249999999999995</v>
      </c>
      <c r="AA39">
        <v>0</v>
      </c>
      <c r="AB39">
        <v>7.25</v>
      </c>
      <c r="AC39">
        <v>0</v>
      </c>
      <c r="AD39">
        <v>0</v>
      </c>
      <c r="AE39">
        <v>0</v>
      </c>
      <c r="AF39">
        <v>0.77</v>
      </c>
      <c r="AG39">
        <v>0</v>
      </c>
      <c r="AH39">
        <v>0</v>
      </c>
      <c r="AI39">
        <v>1</v>
      </c>
      <c r="AJ39">
        <v>8.66</v>
      </c>
      <c r="AK39">
        <v>34.51</v>
      </c>
      <c r="AL39">
        <v>1</v>
      </c>
      <c r="AM39">
        <v>2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5</v>
      </c>
      <c r="AT39">
        <v>6.02</v>
      </c>
      <c r="AU39" t="s">
        <v>29</v>
      </c>
      <c r="AV39">
        <v>0</v>
      </c>
      <c r="AW39">
        <v>2</v>
      </c>
      <c r="AX39">
        <v>67204713</v>
      </c>
      <c r="AY39">
        <v>1</v>
      </c>
      <c r="AZ39">
        <v>2048</v>
      </c>
      <c r="BA39">
        <v>43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V39">
        <v>0</v>
      </c>
      <c r="CW39">
        <f>ROUND(Y39*Source!I35*DO39,9)</f>
        <v>0</v>
      </c>
      <c r="CX39">
        <f>ROUND(Y39*Source!I35,9)</f>
        <v>40.634999999999998</v>
      </c>
      <c r="CY39">
        <f t="shared" si="12"/>
        <v>7.25</v>
      </c>
      <c r="CZ39">
        <f t="shared" si="13"/>
        <v>0.77</v>
      </c>
      <c r="DA39">
        <f t="shared" si="14"/>
        <v>8.66</v>
      </c>
      <c r="DB39">
        <f t="shared" si="15"/>
        <v>5.8</v>
      </c>
      <c r="DC39">
        <f t="shared" si="16"/>
        <v>0</v>
      </c>
      <c r="DD39" t="s">
        <v>5</v>
      </c>
      <c r="DE39" t="s">
        <v>5</v>
      </c>
      <c r="DF39">
        <f t="shared" si="9"/>
        <v>0</v>
      </c>
      <c r="DG39">
        <f t="shared" si="17"/>
        <v>271.04000000000002</v>
      </c>
      <c r="DH39">
        <f t="shared" si="18"/>
        <v>0</v>
      </c>
      <c r="DI39">
        <f t="shared" si="10"/>
        <v>0</v>
      </c>
      <c r="DJ39">
        <f t="shared" si="19"/>
        <v>271.04000000000002</v>
      </c>
      <c r="DK39">
        <v>0</v>
      </c>
      <c r="DL39" t="s">
        <v>5</v>
      </c>
      <c r="DM39">
        <v>0</v>
      </c>
      <c r="DN39" t="s">
        <v>5</v>
      </c>
      <c r="DO39">
        <v>0</v>
      </c>
    </row>
    <row r="40" spans="1:119" x14ac:dyDescent="0.2">
      <c r="A40">
        <f>ROW(Source!A35)</f>
        <v>35</v>
      </c>
      <c r="B40">
        <v>67204543</v>
      </c>
      <c r="C40">
        <v>67204687</v>
      </c>
      <c r="D40">
        <v>66209773</v>
      </c>
      <c r="E40">
        <v>1</v>
      </c>
      <c r="F40">
        <v>1</v>
      </c>
      <c r="G40">
        <v>1073</v>
      </c>
      <c r="H40">
        <v>3</v>
      </c>
      <c r="I40" t="s">
        <v>234</v>
      </c>
      <c r="J40" t="s">
        <v>235</v>
      </c>
      <c r="K40" t="s">
        <v>236</v>
      </c>
      <c r="L40">
        <v>1348</v>
      </c>
      <c r="N40">
        <v>1009</v>
      </c>
      <c r="O40" t="s">
        <v>110</v>
      </c>
      <c r="P40" t="s">
        <v>110</v>
      </c>
      <c r="Q40">
        <v>1000</v>
      </c>
      <c r="W40">
        <v>0</v>
      </c>
      <c r="X40">
        <v>-113656354</v>
      </c>
      <c r="Y40">
        <f t="shared" ref="Y40:Y50" si="20">(AT40*1)</f>
        <v>1.1000000000000001E-3</v>
      </c>
      <c r="AA40">
        <v>115821.96</v>
      </c>
      <c r="AB40">
        <v>0</v>
      </c>
      <c r="AC40">
        <v>0</v>
      </c>
      <c r="AD40">
        <v>0</v>
      </c>
      <c r="AE40">
        <v>13658.25</v>
      </c>
      <c r="AF40">
        <v>0</v>
      </c>
      <c r="AG40">
        <v>0</v>
      </c>
      <c r="AH40">
        <v>0</v>
      </c>
      <c r="AI40">
        <v>8.48</v>
      </c>
      <c r="AJ40">
        <v>1</v>
      </c>
      <c r="AK40">
        <v>1</v>
      </c>
      <c r="AL40">
        <v>1</v>
      </c>
      <c r="AM40">
        <v>2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5</v>
      </c>
      <c r="AT40">
        <v>1.1000000000000001E-3</v>
      </c>
      <c r="AU40" t="s">
        <v>54</v>
      </c>
      <c r="AV40">
        <v>0</v>
      </c>
      <c r="AW40">
        <v>2</v>
      </c>
      <c r="AX40">
        <v>67204715</v>
      </c>
      <c r="AY40">
        <v>1</v>
      </c>
      <c r="AZ40">
        <v>0</v>
      </c>
      <c r="BA40">
        <v>44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ROUND(Y40*Source!I35,9)</f>
        <v>5.94E-3</v>
      </c>
      <c r="CY40">
        <f t="shared" ref="CY40:CY51" si="21">AA40</f>
        <v>115821.96</v>
      </c>
      <c r="CZ40">
        <f t="shared" ref="CZ40:CZ51" si="22">AE40</f>
        <v>13658.25</v>
      </c>
      <c r="DA40">
        <f t="shared" ref="DA40:DA51" si="23">AI40</f>
        <v>8.48</v>
      </c>
      <c r="DB40">
        <f t="shared" ref="DB40:DB50" si="24">ROUND((ROUND(AT40*CZ40,2)*1),6)</f>
        <v>15.02</v>
      </c>
      <c r="DC40">
        <f t="shared" ref="DC40:DC50" si="25">ROUND((ROUND(AT40*AG40,2)*1),6)</f>
        <v>0</v>
      </c>
      <c r="DD40" t="s">
        <v>5</v>
      </c>
      <c r="DE40" t="s">
        <v>5</v>
      </c>
      <c r="DF40">
        <f t="shared" ref="DF40:DF49" si="26">ROUND(ROUND(AE40*AI40,2)*CX40,2)</f>
        <v>687.98</v>
      </c>
      <c r="DG40">
        <f t="shared" ref="DG40:DG52" si="27">ROUND(ROUND(AF40,2)*CX40,2)</f>
        <v>0</v>
      </c>
      <c r="DH40">
        <f t="shared" ref="DH40:DH52" si="28">ROUND(ROUND(AG40,2)*CX40,2)</f>
        <v>0</v>
      </c>
      <c r="DI40">
        <f t="shared" si="10"/>
        <v>0</v>
      </c>
      <c r="DJ40">
        <f t="shared" ref="DJ40:DJ51" si="29">DF40</f>
        <v>687.98</v>
      </c>
      <c r="DK40">
        <v>0</v>
      </c>
      <c r="DL40" t="s">
        <v>5</v>
      </c>
      <c r="DM40">
        <v>0</v>
      </c>
      <c r="DN40" t="s">
        <v>5</v>
      </c>
      <c r="DO40">
        <v>0</v>
      </c>
    </row>
    <row r="41" spans="1:119" x14ac:dyDescent="0.2">
      <c r="A41">
        <f>ROW(Source!A35)</f>
        <v>35</v>
      </c>
      <c r="B41">
        <v>67204543</v>
      </c>
      <c r="C41">
        <v>67204687</v>
      </c>
      <c r="D41">
        <v>66209780</v>
      </c>
      <c r="E41">
        <v>1</v>
      </c>
      <c r="F41">
        <v>1</v>
      </c>
      <c r="G41">
        <v>1073</v>
      </c>
      <c r="H41">
        <v>3</v>
      </c>
      <c r="I41" t="s">
        <v>237</v>
      </c>
      <c r="J41" t="s">
        <v>238</v>
      </c>
      <c r="K41" t="s">
        <v>239</v>
      </c>
      <c r="L41">
        <v>1348</v>
      </c>
      <c r="N41">
        <v>1009</v>
      </c>
      <c r="O41" t="s">
        <v>110</v>
      </c>
      <c r="P41" t="s">
        <v>110</v>
      </c>
      <c r="Q41">
        <v>1000</v>
      </c>
      <c r="W41">
        <v>0</v>
      </c>
      <c r="X41">
        <v>-196969339</v>
      </c>
      <c r="Y41">
        <f t="shared" si="20"/>
        <v>4.0000000000000002E-4</v>
      </c>
      <c r="AA41">
        <v>127842.73</v>
      </c>
      <c r="AB41">
        <v>0</v>
      </c>
      <c r="AC41">
        <v>0</v>
      </c>
      <c r="AD41">
        <v>0</v>
      </c>
      <c r="AE41">
        <v>36216.07</v>
      </c>
      <c r="AF41">
        <v>0</v>
      </c>
      <c r="AG41">
        <v>0</v>
      </c>
      <c r="AH41">
        <v>0</v>
      </c>
      <c r="AI41">
        <v>3.53</v>
      </c>
      <c r="AJ41">
        <v>1</v>
      </c>
      <c r="AK41">
        <v>1</v>
      </c>
      <c r="AL41">
        <v>1</v>
      </c>
      <c r="AM41">
        <v>2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5</v>
      </c>
      <c r="AT41">
        <v>4.0000000000000002E-4</v>
      </c>
      <c r="AU41" t="s">
        <v>54</v>
      </c>
      <c r="AV41">
        <v>0</v>
      </c>
      <c r="AW41">
        <v>2</v>
      </c>
      <c r="AX41">
        <v>67204716</v>
      </c>
      <c r="AY41">
        <v>1</v>
      </c>
      <c r="AZ41">
        <v>0</v>
      </c>
      <c r="BA41">
        <v>45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V41">
        <v>0</v>
      </c>
      <c r="CW41">
        <v>0</v>
      </c>
      <c r="CX41">
        <f>ROUND(Y41*Source!I35,9)</f>
        <v>2.16E-3</v>
      </c>
      <c r="CY41">
        <f t="shared" si="21"/>
        <v>127842.73</v>
      </c>
      <c r="CZ41">
        <f t="shared" si="22"/>
        <v>36216.07</v>
      </c>
      <c r="DA41">
        <f t="shared" si="23"/>
        <v>3.53</v>
      </c>
      <c r="DB41">
        <f t="shared" si="24"/>
        <v>14.49</v>
      </c>
      <c r="DC41">
        <f t="shared" si="25"/>
        <v>0</v>
      </c>
      <c r="DD41" t="s">
        <v>5</v>
      </c>
      <c r="DE41" t="s">
        <v>5</v>
      </c>
      <c r="DF41">
        <f t="shared" si="26"/>
        <v>276.14</v>
      </c>
      <c r="DG41">
        <f t="shared" si="27"/>
        <v>0</v>
      </c>
      <c r="DH41">
        <f t="shared" si="28"/>
        <v>0</v>
      </c>
      <c r="DI41">
        <f t="shared" si="10"/>
        <v>0</v>
      </c>
      <c r="DJ41">
        <f t="shared" si="29"/>
        <v>276.14</v>
      </c>
      <c r="DK41">
        <v>0</v>
      </c>
      <c r="DL41" t="s">
        <v>5</v>
      </c>
      <c r="DM41">
        <v>0</v>
      </c>
      <c r="DN41" t="s">
        <v>5</v>
      </c>
      <c r="DO41">
        <v>0</v>
      </c>
    </row>
    <row r="42" spans="1:119" x14ac:dyDescent="0.2">
      <c r="A42">
        <f>ROW(Source!A35)</f>
        <v>35</v>
      </c>
      <c r="B42">
        <v>67204543</v>
      </c>
      <c r="C42">
        <v>67204687</v>
      </c>
      <c r="D42">
        <v>66209781</v>
      </c>
      <c r="E42">
        <v>1</v>
      </c>
      <c r="F42">
        <v>1</v>
      </c>
      <c r="G42">
        <v>1073</v>
      </c>
      <c r="H42">
        <v>3</v>
      </c>
      <c r="I42" t="s">
        <v>240</v>
      </c>
      <c r="J42" t="s">
        <v>241</v>
      </c>
      <c r="K42" t="s">
        <v>242</v>
      </c>
      <c r="L42">
        <v>1348</v>
      </c>
      <c r="N42">
        <v>1009</v>
      </c>
      <c r="O42" t="s">
        <v>110</v>
      </c>
      <c r="P42" t="s">
        <v>110</v>
      </c>
      <c r="Q42">
        <v>1000</v>
      </c>
      <c r="W42">
        <v>0</v>
      </c>
      <c r="X42">
        <v>1177407045</v>
      </c>
      <c r="Y42">
        <f t="shared" si="20"/>
        <v>2.9999999999999997E-4</v>
      </c>
      <c r="AA42">
        <v>145686.43</v>
      </c>
      <c r="AB42">
        <v>0</v>
      </c>
      <c r="AC42">
        <v>0</v>
      </c>
      <c r="AD42">
        <v>0</v>
      </c>
      <c r="AE42">
        <v>32960.730000000003</v>
      </c>
      <c r="AF42">
        <v>0</v>
      </c>
      <c r="AG42">
        <v>0</v>
      </c>
      <c r="AH42">
        <v>0</v>
      </c>
      <c r="AI42">
        <v>4.42</v>
      </c>
      <c r="AJ42">
        <v>1</v>
      </c>
      <c r="AK42">
        <v>1</v>
      </c>
      <c r="AL42">
        <v>1</v>
      </c>
      <c r="AM42">
        <v>2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5</v>
      </c>
      <c r="AT42">
        <v>2.9999999999999997E-4</v>
      </c>
      <c r="AU42" t="s">
        <v>54</v>
      </c>
      <c r="AV42">
        <v>0</v>
      </c>
      <c r="AW42">
        <v>2</v>
      </c>
      <c r="AX42">
        <v>67204717</v>
      </c>
      <c r="AY42">
        <v>1</v>
      </c>
      <c r="AZ42">
        <v>0</v>
      </c>
      <c r="BA42">
        <v>46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V42">
        <v>0</v>
      </c>
      <c r="CW42">
        <v>0</v>
      </c>
      <c r="CX42">
        <f>ROUND(Y42*Source!I35,9)</f>
        <v>1.6199999999999999E-3</v>
      </c>
      <c r="CY42">
        <f t="shared" si="21"/>
        <v>145686.43</v>
      </c>
      <c r="CZ42">
        <f t="shared" si="22"/>
        <v>32960.730000000003</v>
      </c>
      <c r="DA42">
        <f t="shared" si="23"/>
        <v>4.42</v>
      </c>
      <c r="DB42">
        <f t="shared" si="24"/>
        <v>9.89</v>
      </c>
      <c r="DC42">
        <f t="shared" si="25"/>
        <v>0</v>
      </c>
      <c r="DD42" t="s">
        <v>5</v>
      </c>
      <c r="DE42" t="s">
        <v>5</v>
      </c>
      <c r="DF42">
        <f t="shared" si="26"/>
        <v>236.01</v>
      </c>
      <c r="DG42">
        <f t="shared" si="27"/>
        <v>0</v>
      </c>
      <c r="DH42">
        <f t="shared" si="28"/>
        <v>0</v>
      </c>
      <c r="DI42">
        <f t="shared" si="10"/>
        <v>0</v>
      </c>
      <c r="DJ42">
        <f t="shared" si="29"/>
        <v>236.01</v>
      </c>
      <c r="DK42">
        <v>0</v>
      </c>
      <c r="DL42" t="s">
        <v>5</v>
      </c>
      <c r="DM42">
        <v>0</v>
      </c>
      <c r="DN42" t="s">
        <v>5</v>
      </c>
      <c r="DO42">
        <v>0</v>
      </c>
    </row>
    <row r="43" spans="1:119" x14ac:dyDescent="0.2">
      <c r="A43">
        <f>ROW(Source!A35)</f>
        <v>35</v>
      </c>
      <c r="B43">
        <v>67204543</v>
      </c>
      <c r="C43">
        <v>67204687</v>
      </c>
      <c r="D43">
        <v>66209832</v>
      </c>
      <c r="E43">
        <v>1</v>
      </c>
      <c r="F43">
        <v>1</v>
      </c>
      <c r="G43">
        <v>1073</v>
      </c>
      <c r="H43">
        <v>3</v>
      </c>
      <c r="I43" t="s">
        <v>243</v>
      </c>
      <c r="J43" t="s">
        <v>244</v>
      </c>
      <c r="K43" t="s">
        <v>245</v>
      </c>
      <c r="L43">
        <v>1355</v>
      </c>
      <c r="N43">
        <v>1010</v>
      </c>
      <c r="O43" t="s">
        <v>246</v>
      </c>
      <c r="P43" t="s">
        <v>246</v>
      </c>
      <c r="Q43">
        <v>100</v>
      </c>
      <c r="W43">
        <v>0</v>
      </c>
      <c r="X43">
        <v>871697976</v>
      </c>
      <c r="Y43">
        <f t="shared" si="20"/>
        <v>6.4942000000000002</v>
      </c>
      <c r="AA43">
        <v>24.02</v>
      </c>
      <c r="AB43">
        <v>0</v>
      </c>
      <c r="AC43">
        <v>0</v>
      </c>
      <c r="AD43">
        <v>0</v>
      </c>
      <c r="AE43">
        <v>4.6100000000000003</v>
      </c>
      <c r="AF43">
        <v>0</v>
      </c>
      <c r="AG43">
        <v>0</v>
      </c>
      <c r="AH43">
        <v>0</v>
      </c>
      <c r="AI43">
        <v>5.21</v>
      </c>
      <c r="AJ43">
        <v>1</v>
      </c>
      <c r="AK43">
        <v>1</v>
      </c>
      <c r="AL43">
        <v>1</v>
      </c>
      <c r="AM43">
        <v>2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5</v>
      </c>
      <c r="AT43">
        <v>6.4942000000000002</v>
      </c>
      <c r="AU43" t="s">
        <v>54</v>
      </c>
      <c r="AV43">
        <v>0</v>
      </c>
      <c r="AW43">
        <v>2</v>
      </c>
      <c r="AX43">
        <v>67204718</v>
      </c>
      <c r="AY43">
        <v>1</v>
      </c>
      <c r="AZ43">
        <v>0</v>
      </c>
      <c r="BA43">
        <v>47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ROUND(Y43*Source!I35,9)</f>
        <v>35.068680000000001</v>
      </c>
      <c r="CY43">
        <f t="shared" si="21"/>
        <v>24.02</v>
      </c>
      <c r="CZ43">
        <f t="shared" si="22"/>
        <v>4.6100000000000003</v>
      </c>
      <c r="DA43">
        <f t="shared" si="23"/>
        <v>5.21</v>
      </c>
      <c r="DB43">
        <f t="shared" si="24"/>
        <v>29.94</v>
      </c>
      <c r="DC43">
        <f t="shared" si="25"/>
        <v>0</v>
      </c>
      <c r="DD43" t="s">
        <v>5</v>
      </c>
      <c r="DE43" t="s">
        <v>5</v>
      </c>
      <c r="DF43">
        <f t="shared" si="26"/>
        <v>842.35</v>
      </c>
      <c r="DG43">
        <f t="shared" si="27"/>
        <v>0</v>
      </c>
      <c r="DH43">
        <f t="shared" si="28"/>
        <v>0</v>
      </c>
      <c r="DI43">
        <f t="shared" si="10"/>
        <v>0</v>
      </c>
      <c r="DJ43">
        <f t="shared" si="29"/>
        <v>842.35</v>
      </c>
      <c r="DK43">
        <v>0</v>
      </c>
      <c r="DL43" t="s">
        <v>5</v>
      </c>
      <c r="DM43">
        <v>0</v>
      </c>
      <c r="DN43" t="s">
        <v>5</v>
      </c>
      <c r="DO43">
        <v>0</v>
      </c>
    </row>
    <row r="44" spans="1:119" x14ac:dyDescent="0.2">
      <c r="A44">
        <f>ROW(Source!A35)</f>
        <v>35</v>
      </c>
      <c r="B44">
        <v>67204543</v>
      </c>
      <c r="C44">
        <v>67204687</v>
      </c>
      <c r="D44">
        <v>66210623</v>
      </c>
      <c r="E44">
        <v>1</v>
      </c>
      <c r="F44">
        <v>1</v>
      </c>
      <c r="G44">
        <v>1073</v>
      </c>
      <c r="H44">
        <v>3</v>
      </c>
      <c r="I44" t="s">
        <v>247</v>
      </c>
      <c r="J44" t="s">
        <v>248</v>
      </c>
      <c r="K44" t="s">
        <v>249</v>
      </c>
      <c r="L44">
        <v>1355</v>
      </c>
      <c r="N44">
        <v>1010</v>
      </c>
      <c r="O44" t="s">
        <v>246</v>
      </c>
      <c r="P44" t="s">
        <v>246</v>
      </c>
      <c r="Q44">
        <v>100</v>
      </c>
      <c r="W44">
        <v>0</v>
      </c>
      <c r="X44">
        <v>-888077677</v>
      </c>
      <c r="Y44">
        <f t="shared" si="20"/>
        <v>1.121</v>
      </c>
      <c r="AA44">
        <v>843.31</v>
      </c>
      <c r="AB44">
        <v>0</v>
      </c>
      <c r="AC44">
        <v>0</v>
      </c>
      <c r="AD44">
        <v>0</v>
      </c>
      <c r="AE44">
        <v>84.84</v>
      </c>
      <c r="AF44">
        <v>0</v>
      </c>
      <c r="AG44">
        <v>0</v>
      </c>
      <c r="AH44">
        <v>0</v>
      </c>
      <c r="AI44">
        <v>9.94</v>
      </c>
      <c r="AJ44">
        <v>1</v>
      </c>
      <c r="AK44">
        <v>1</v>
      </c>
      <c r="AL44">
        <v>1</v>
      </c>
      <c r="AM44">
        <v>2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5</v>
      </c>
      <c r="AT44">
        <v>1.121</v>
      </c>
      <c r="AU44" t="s">
        <v>54</v>
      </c>
      <c r="AV44">
        <v>0</v>
      </c>
      <c r="AW44">
        <v>2</v>
      </c>
      <c r="AX44">
        <v>67204719</v>
      </c>
      <c r="AY44">
        <v>1</v>
      </c>
      <c r="AZ44">
        <v>0</v>
      </c>
      <c r="BA44">
        <v>48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ROUND(Y44*Source!I35,9)</f>
        <v>6.0533999999999999</v>
      </c>
      <c r="CY44">
        <f t="shared" si="21"/>
        <v>843.31</v>
      </c>
      <c r="CZ44">
        <f t="shared" si="22"/>
        <v>84.84</v>
      </c>
      <c r="DA44">
        <f t="shared" si="23"/>
        <v>9.94</v>
      </c>
      <c r="DB44">
        <f t="shared" si="24"/>
        <v>95.11</v>
      </c>
      <c r="DC44">
        <f t="shared" si="25"/>
        <v>0</v>
      </c>
      <c r="DD44" t="s">
        <v>5</v>
      </c>
      <c r="DE44" t="s">
        <v>5</v>
      </c>
      <c r="DF44">
        <f t="shared" si="26"/>
        <v>5104.8900000000003</v>
      </c>
      <c r="DG44">
        <f t="shared" si="27"/>
        <v>0</v>
      </c>
      <c r="DH44">
        <f t="shared" si="28"/>
        <v>0</v>
      </c>
      <c r="DI44">
        <f t="shared" si="10"/>
        <v>0</v>
      </c>
      <c r="DJ44">
        <f t="shared" si="29"/>
        <v>5104.8900000000003</v>
      </c>
      <c r="DK44">
        <v>0</v>
      </c>
      <c r="DL44" t="s">
        <v>5</v>
      </c>
      <c r="DM44">
        <v>0</v>
      </c>
      <c r="DN44" t="s">
        <v>5</v>
      </c>
      <c r="DO44">
        <v>0</v>
      </c>
    </row>
    <row r="45" spans="1:119" x14ac:dyDescent="0.2">
      <c r="A45">
        <f>ROW(Source!A35)</f>
        <v>35</v>
      </c>
      <c r="B45">
        <v>67204543</v>
      </c>
      <c r="C45">
        <v>67204687</v>
      </c>
      <c r="D45">
        <v>66210972</v>
      </c>
      <c r="E45">
        <v>1</v>
      </c>
      <c r="F45">
        <v>1</v>
      </c>
      <c r="G45">
        <v>1073</v>
      </c>
      <c r="H45">
        <v>3</v>
      </c>
      <c r="I45" t="s">
        <v>250</v>
      </c>
      <c r="J45" t="s">
        <v>251</v>
      </c>
      <c r="K45" t="s">
        <v>281</v>
      </c>
      <c r="L45">
        <v>1354</v>
      </c>
      <c r="N45">
        <v>1010</v>
      </c>
      <c r="O45" t="s">
        <v>62</v>
      </c>
      <c r="P45" t="s">
        <v>62</v>
      </c>
      <c r="Q45">
        <v>1</v>
      </c>
      <c r="W45">
        <v>0</v>
      </c>
      <c r="X45">
        <v>1217211041</v>
      </c>
      <c r="Y45">
        <f t="shared" si="20"/>
        <v>10.1533</v>
      </c>
      <c r="AA45">
        <v>4252.24</v>
      </c>
      <c r="AB45">
        <v>0</v>
      </c>
      <c r="AC45">
        <v>0</v>
      </c>
      <c r="AD45">
        <v>0</v>
      </c>
      <c r="AE45">
        <v>497.92</v>
      </c>
      <c r="AF45">
        <v>0</v>
      </c>
      <c r="AG45">
        <v>0</v>
      </c>
      <c r="AH45">
        <v>0</v>
      </c>
      <c r="AI45">
        <v>8.5399999999999991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5</v>
      </c>
      <c r="AT45">
        <v>10.1533</v>
      </c>
      <c r="AU45" t="s">
        <v>54</v>
      </c>
      <c r="AV45">
        <v>0</v>
      </c>
      <c r="AW45">
        <v>2</v>
      </c>
      <c r="AX45">
        <v>67204720</v>
      </c>
      <c r="AY45">
        <v>1</v>
      </c>
      <c r="AZ45">
        <v>0</v>
      </c>
      <c r="BA45">
        <v>49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ROUND(Y45*Source!I35,9)</f>
        <v>54.827820000000003</v>
      </c>
      <c r="CY45">
        <f t="shared" si="21"/>
        <v>4252.24</v>
      </c>
      <c r="CZ45">
        <f t="shared" si="22"/>
        <v>497.92</v>
      </c>
      <c r="DA45">
        <f t="shared" si="23"/>
        <v>8.5399999999999991</v>
      </c>
      <c r="DB45">
        <f t="shared" si="24"/>
        <v>5055.53</v>
      </c>
      <c r="DC45">
        <f t="shared" si="25"/>
        <v>0</v>
      </c>
      <c r="DD45" t="s">
        <v>5</v>
      </c>
      <c r="DE45" t="s">
        <v>5</v>
      </c>
      <c r="DF45">
        <f t="shared" si="26"/>
        <v>233141.05</v>
      </c>
      <c r="DG45">
        <f t="shared" si="27"/>
        <v>0</v>
      </c>
      <c r="DH45">
        <f t="shared" si="28"/>
        <v>0</v>
      </c>
      <c r="DI45">
        <f t="shared" si="10"/>
        <v>0</v>
      </c>
      <c r="DJ45">
        <f t="shared" si="29"/>
        <v>233141.05</v>
      </c>
      <c r="DK45">
        <v>0</v>
      </c>
      <c r="DL45" t="s">
        <v>5</v>
      </c>
      <c r="DM45">
        <v>0</v>
      </c>
      <c r="DN45" t="s">
        <v>5</v>
      </c>
      <c r="DO45">
        <v>0</v>
      </c>
    </row>
    <row r="46" spans="1:119" x14ac:dyDescent="0.2">
      <c r="A46">
        <f>ROW(Source!A35)</f>
        <v>35</v>
      </c>
      <c r="B46">
        <v>67204543</v>
      </c>
      <c r="C46">
        <v>67204687</v>
      </c>
      <c r="D46">
        <v>66234664</v>
      </c>
      <c r="E46">
        <v>1</v>
      </c>
      <c r="F46">
        <v>1</v>
      </c>
      <c r="G46">
        <v>1073</v>
      </c>
      <c r="H46">
        <v>3</v>
      </c>
      <c r="I46" t="s">
        <v>89</v>
      </c>
      <c r="J46" t="s">
        <v>91</v>
      </c>
      <c r="K46" t="s">
        <v>90</v>
      </c>
      <c r="L46">
        <v>1327</v>
      </c>
      <c r="N46">
        <v>1005</v>
      </c>
      <c r="O46" t="s">
        <v>42</v>
      </c>
      <c r="P46" t="s">
        <v>42</v>
      </c>
      <c r="Q46">
        <v>1</v>
      </c>
      <c r="W46">
        <v>0</v>
      </c>
      <c r="X46">
        <v>936716391</v>
      </c>
      <c r="Y46">
        <f t="shared" si="20"/>
        <v>15</v>
      </c>
      <c r="AA46">
        <v>458.07</v>
      </c>
      <c r="AB46">
        <v>0</v>
      </c>
      <c r="AC46">
        <v>0</v>
      </c>
      <c r="AD46">
        <v>0</v>
      </c>
      <c r="AE46">
        <v>149.21</v>
      </c>
      <c r="AF46">
        <v>0</v>
      </c>
      <c r="AG46">
        <v>0</v>
      </c>
      <c r="AH46">
        <v>0</v>
      </c>
      <c r="AI46">
        <v>3.07</v>
      </c>
      <c r="AJ46">
        <v>1</v>
      </c>
      <c r="AK46">
        <v>1</v>
      </c>
      <c r="AL46">
        <v>1</v>
      </c>
      <c r="AM46">
        <v>0</v>
      </c>
      <c r="AN46">
        <v>0</v>
      </c>
      <c r="AO46">
        <v>0</v>
      </c>
      <c r="AP46">
        <v>1</v>
      </c>
      <c r="AQ46">
        <v>0</v>
      </c>
      <c r="AR46">
        <v>0</v>
      </c>
      <c r="AS46" t="s">
        <v>5</v>
      </c>
      <c r="AT46">
        <v>15</v>
      </c>
      <c r="AU46" t="s">
        <v>54</v>
      </c>
      <c r="AV46">
        <v>0</v>
      </c>
      <c r="AW46">
        <v>1</v>
      </c>
      <c r="AX46">
        <v>-1</v>
      </c>
      <c r="AY46">
        <v>0</v>
      </c>
      <c r="AZ46">
        <v>0</v>
      </c>
      <c r="BA46" t="s">
        <v>5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ROUND(Y46*Source!I35,9)</f>
        <v>81</v>
      </c>
      <c r="CY46">
        <f t="shared" si="21"/>
        <v>458.07</v>
      </c>
      <c r="CZ46">
        <f t="shared" si="22"/>
        <v>149.21</v>
      </c>
      <c r="DA46">
        <f t="shared" si="23"/>
        <v>3.07</v>
      </c>
      <c r="DB46">
        <f t="shared" si="24"/>
        <v>2238.15</v>
      </c>
      <c r="DC46">
        <f t="shared" si="25"/>
        <v>0</v>
      </c>
      <c r="DD46" t="s">
        <v>5</v>
      </c>
      <c r="DE46" t="s">
        <v>5</v>
      </c>
      <c r="DF46">
        <f t="shared" si="26"/>
        <v>37103.67</v>
      </c>
      <c r="DG46">
        <f t="shared" si="27"/>
        <v>0</v>
      </c>
      <c r="DH46">
        <f t="shared" si="28"/>
        <v>0</v>
      </c>
      <c r="DI46">
        <f t="shared" si="10"/>
        <v>0</v>
      </c>
      <c r="DJ46">
        <f t="shared" si="29"/>
        <v>37103.67</v>
      </c>
      <c r="DK46">
        <v>0</v>
      </c>
      <c r="DL46" t="s">
        <v>5</v>
      </c>
      <c r="DM46">
        <v>0</v>
      </c>
      <c r="DN46" t="s">
        <v>5</v>
      </c>
      <c r="DO46">
        <v>0</v>
      </c>
    </row>
    <row r="47" spans="1:119" x14ac:dyDescent="0.2">
      <c r="A47">
        <f>ROW(Source!A35)</f>
        <v>35</v>
      </c>
      <c r="B47">
        <v>67204543</v>
      </c>
      <c r="C47">
        <v>67204687</v>
      </c>
      <c r="D47">
        <v>66235183</v>
      </c>
      <c r="E47">
        <v>1</v>
      </c>
      <c r="F47">
        <v>1</v>
      </c>
      <c r="G47">
        <v>1073</v>
      </c>
      <c r="H47">
        <v>3</v>
      </c>
      <c r="I47" t="s">
        <v>81</v>
      </c>
      <c r="J47" t="s">
        <v>83</v>
      </c>
      <c r="K47" t="s">
        <v>82</v>
      </c>
      <c r="L47">
        <v>1354</v>
      </c>
      <c r="N47">
        <v>1010</v>
      </c>
      <c r="O47" t="s">
        <v>62</v>
      </c>
      <c r="P47" t="s">
        <v>62</v>
      </c>
      <c r="Q47">
        <v>1</v>
      </c>
      <c r="W47">
        <v>0</v>
      </c>
      <c r="X47">
        <v>-282603845</v>
      </c>
      <c r="Y47">
        <f t="shared" si="20"/>
        <v>10</v>
      </c>
      <c r="AA47">
        <v>195.6</v>
      </c>
      <c r="AB47">
        <v>0</v>
      </c>
      <c r="AC47">
        <v>0</v>
      </c>
      <c r="AD47">
        <v>0</v>
      </c>
      <c r="AE47">
        <v>42.43</v>
      </c>
      <c r="AF47">
        <v>0</v>
      </c>
      <c r="AG47">
        <v>0</v>
      </c>
      <c r="AH47">
        <v>0</v>
      </c>
      <c r="AI47">
        <v>4.6100000000000003</v>
      </c>
      <c r="AJ47">
        <v>1</v>
      </c>
      <c r="AK47">
        <v>1</v>
      </c>
      <c r="AL47">
        <v>1</v>
      </c>
      <c r="AM47">
        <v>0</v>
      </c>
      <c r="AN47">
        <v>0</v>
      </c>
      <c r="AO47">
        <v>0</v>
      </c>
      <c r="AP47">
        <v>1</v>
      </c>
      <c r="AQ47">
        <v>0</v>
      </c>
      <c r="AR47">
        <v>0</v>
      </c>
      <c r="AS47" t="s">
        <v>5</v>
      </c>
      <c r="AT47">
        <v>10</v>
      </c>
      <c r="AU47" t="s">
        <v>54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V47">
        <v>0</v>
      </c>
      <c r="CW47">
        <v>0</v>
      </c>
      <c r="CX47">
        <f>ROUND(Y47*Source!I35,9)</f>
        <v>54</v>
      </c>
      <c r="CY47">
        <f t="shared" si="21"/>
        <v>195.6</v>
      </c>
      <c r="CZ47">
        <f t="shared" si="22"/>
        <v>42.43</v>
      </c>
      <c r="DA47">
        <f t="shared" si="23"/>
        <v>4.6100000000000003</v>
      </c>
      <c r="DB47">
        <f t="shared" si="24"/>
        <v>424.3</v>
      </c>
      <c r="DC47">
        <f t="shared" si="25"/>
        <v>0</v>
      </c>
      <c r="DD47" t="s">
        <v>5</v>
      </c>
      <c r="DE47" t="s">
        <v>5</v>
      </c>
      <c r="DF47">
        <f t="shared" si="26"/>
        <v>10562.4</v>
      </c>
      <c r="DG47">
        <f t="shared" si="27"/>
        <v>0</v>
      </c>
      <c r="DH47">
        <f t="shared" si="28"/>
        <v>0</v>
      </c>
      <c r="DI47">
        <f t="shared" si="10"/>
        <v>0</v>
      </c>
      <c r="DJ47">
        <f t="shared" si="29"/>
        <v>10562.4</v>
      </c>
      <c r="DK47">
        <v>0</v>
      </c>
      <c r="DL47" t="s">
        <v>5</v>
      </c>
      <c r="DM47">
        <v>0</v>
      </c>
      <c r="DN47" t="s">
        <v>5</v>
      </c>
      <c r="DO47">
        <v>0</v>
      </c>
    </row>
    <row r="48" spans="1:119" x14ac:dyDescent="0.2">
      <c r="A48">
        <f>ROW(Source!A35)</f>
        <v>35</v>
      </c>
      <c r="B48">
        <v>67204543</v>
      </c>
      <c r="C48">
        <v>67204687</v>
      </c>
      <c r="D48">
        <v>66235122</v>
      </c>
      <c r="E48">
        <v>1</v>
      </c>
      <c r="F48">
        <v>1</v>
      </c>
      <c r="G48">
        <v>1073</v>
      </c>
      <c r="H48">
        <v>3</v>
      </c>
      <c r="I48" t="s">
        <v>72</v>
      </c>
      <c r="J48" t="s">
        <v>74</v>
      </c>
      <c r="K48" t="s">
        <v>73</v>
      </c>
      <c r="L48">
        <v>1354</v>
      </c>
      <c r="N48">
        <v>1010</v>
      </c>
      <c r="O48" t="s">
        <v>62</v>
      </c>
      <c r="P48" t="s">
        <v>62</v>
      </c>
      <c r="Q48">
        <v>1</v>
      </c>
      <c r="W48">
        <v>0</v>
      </c>
      <c r="X48">
        <v>-1301051137</v>
      </c>
      <c r="Y48">
        <f t="shared" si="20"/>
        <v>10</v>
      </c>
      <c r="AA48">
        <v>219.58</v>
      </c>
      <c r="AB48">
        <v>0</v>
      </c>
      <c r="AC48">
        <v>0</v>
      </c>
      <c r="AD48">
        <v>0</v>
      </c>
      <c r="AE48">
        <v>105.06</v>
      </c>
      <c r="AF48">
        <v>0</v>
      </c>
      <c r="AG48">
        <v>0</v>
      </c>
      <c r="AH48">
        <v>0</v>
      </c>
      <c r="AI48">
        <v>2.09</v>
      </c>
      <c r="AJ48">
        <v>1</v>
      </c>
      <c r="AK48">
        <v>1</v>
      </c>
      <c r="AL48">
        <v>1</v>
      </c>
      <c r="AM48">
        <v>0</v>
      </c>
      <c r="AN48">
        <v>0</v>
      </c>
      <c r="AO48">
        <v>0</v>
      </c>
      <c r="AP48">
        <v>1</v>
      </c>
      <c r="AQ48">
        <v>0</v>
      </c>
      <c r="AR48">
        <v>0</v>
      </c>
      <c r="AS48" t="s">
        <v>5</v>
      </c>
      <c r="AT48">
        <v>10</v>
      </c>
      <c r="AU48" t="s">
        <v>54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5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ROUND(Y48*Source!I35,9)</f>
        <v>54</v>
      </c>
      <c r="CY48">
        <f t="shared" si="21"/>
        <v>219.58</v>
      </c>
      <c r="CZ48">
        <f t="shared" si="22"/>
        <v>105.06</v>
      </c>
      <c r="DA48">
        <f t="shared" si="23"/>
        <v>2.09</v>
      </c>
      <c r="DB48">
        <f t="shared" si="24"/>
        <v>1050.5999999999999</v>
      </c>
      <c r="DC48">
        <f t="shared" si="25"/>
        <v>0</v>
      </c>
      <c r="DD48" t="s">
        <v>5</v>
      </c>
      <c r="DE48" t="s">
        <v>5</v>
      </c>
      <c r="DF48">
        <f t="shared" si="26"/>
        <v>11857.32</v>
      </c>
      <c r="DG48">
        <f t="shared" si="27"/>
        <v>0</v>
      </c>
      <c r="DH48">
        <f t="shared" si="28"/>
        <v>0</v>
      </c>
      <c r="DI48">
        <f t="shared" si="10"/>
        <v>0</v>
      </c>
      <c r="DJ48">
        <f t="shared" si="29"/>
        <v>11857.32</v>
      </c>
      <c r="DK48">
        <v>0</v>
      </c>
      <c r="DL48" t="s">
        <v>5</v>
      </c>
      <c r="DM48">
        <v>0</v>
      </c>
      <c r="DN48" t="s">
        <v>5</v>
      </c>
      <c r="DO48">
        <v>0</v>
      </c>
    </row>
    <row r="49" spans="1:119" x14ac:dyDescent="0.2">
      <c r="A49">
        <f>ROW(Source!A35)</f>
        <v>35</v>
      </c>
      <c r="B49">
        <v>67204543</v>
      </c>
      <c r="C49">
        <v>67204687</v>
      </c>
      <c r="D49">
        <v>66235148</v>
      </c>
      <c r="E49">
        <v>1</v>
      </c>
      <c r="F49">
        <v>1</v>
      </c>
      <c r="G49">
        <v>1073</v>
      </c>
      <c r="H49">
        <v>3</v>
      </c>
      <c r="I49" t="s">
        <v>85</v>
      </c>
      <c r="J49" t="s">
        <v>87</v>
      </c>
      <c r="K49" t="s">
        <v>86</v>
      </c>
      <c r="L49">
        <v>1354</v>
      </c>
      <c r="N49">
        <v>1010</v>
      </c>
      <c r="O49" t="s">
        <v>62</v>
      </c>
      <c r="P49" t="s">
        <v>62</v>
      </c>
      <c r="Q49">
        <v>1</v>
      </c>
      <c r="W49">
        <v>0</v>
      </c>
      <c r="X49">
        <v>1984899682</v>
      </c>
      <c r="Y49">
        <f t="shared" si="20"/>
        <v>5</v>
      </c>
      <c r="AA49">
        <v>18.7</v>
      </c>
      <c r="AB49">
        <v>0</v>
      </c>
      <c r="AC49">
        <v>0</v>
      </c>
      <c r="AD49">
        <v>0</v>
      </c>
      <c r="AE49">
        <v>4.3600000000000003</v>
      </c>
      <c r="AF49">
        <v>0</v>
      </c>
      <c r="AG49">
        <v>0</v>
      </c>
      <c r="AH49">
        <v>0</v>
      </c>
      <c r="AI49">
        <v>4.29</v>
      </c>
      <c r="AJ49">
        <v>1</v>
      </c>
      <c r="AK49">
        <v>1</v>
      </c>
      <c r="AL49">
        <v>1</v>
      </c>
      <c r="AM49">
        <v>0</v>
      </c>
      <c r="AN49">
        <v>0</v>
      </c>
      <c r="AO49">
        <v>0</v>
      </c>
      <c r="AP49">
        <v>1</v>
      </c>
      <c r="AQ49">
        <v>0</v>
      </c>
      <c r="AR49">
        <v>0</v>
      </c>
      <c r="AS49" t="s">
        <v>5</v>
      </c>
      <c r="AT49">
        <v>5</v>
      </c>
      <c r="AU49" t="s">
        <v>54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5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V49">
        <v>0</v>
      </c>
      <c r="CW49">
        <v>0</v>
      </c>
      <c r="CX49">
        <f>ROUND(Y49*Source!I35,9)</f>
        <v>27</v>
      </c>
      <c r="CY49">
        <f t="shared" si="21"/>
        <v>18.7</v>
      </c>
      <c r="CZ49">
        <f t="shared" si="22"/>
        <v>4.3600000000000003</v>
      </c>
      <c r="DA49">
        <f t="shared" si="23"/>
        <v>4.29</v>
      </c>
      <c r="DB49">
        <f t="shared" si="24"/>
        <v>21.8</v>
      </c>
      <c r="DC49">
        <f t="shared" si="25"/>
        <v>0</v>
      </c>
      <c r="DD49" t="s">
        <v>5</v>
      </c>
      <c r="DE49" t="s">
        <v>5</v>
      </c>
      <c r="DF49">
        <f t="shared" si="26"/>
        <v>504.9</v>
      </c>
      <c r="DG49">
        <f t="shared" si="27"/>
        <v>0</v>
      </c>
      <c r="DH49">
        <f t="shared" si="28"/>
        <v>0</v>
      </c>
      <c r="DI49">
        <f t="shared" si="10"/>
        <v>0</v>
      </c>
      <c r="DJ49">
        <f t="shared" si="29"/>
        <v>504.9</v>
      </c>
      <c r="DK49">
        <v>0</v>
      </c>
      <c r="DL49" t="s">
        <v>5</v>
      </c>
      <c r="DM49">
        <v>0</v>
      </c>
      <c r="DN49" t="s">
        <v>5</v>
      </c>
      <c r="DO49">
        <v>0</v>
      </c>
    </row>
    <row r="50" spans="1:119" x14ac:dyDescent="0.2">
      <c r="A50">
        <f>ROW(Source!A35)</f>
        <v>35</v>
      </c>
      <c r="B50">
        <v>67204543</v>
      </c>
      <c r="C50">
        <v>67204687</v>
      </c>
      <c r="D50">
        <v>66182803</v>
      </c>
      <c r="E50">
        <v>1073</v>
      </c>
      <c r="F50">
        <v>1</v>
      </c>
      <c r="G50">
        <v>1073</v>
      </c>
      <c r="H50">
        <v>3</v>
      </c>
      <c r="I50" t="s">
        <v>223</v>
      </c>
      <c r="J50" t="s">
        <v>5</v>
      </c>
      <c r="K50" t="s">
        <v>224</v>
      </c>
      <c r="L50">
        <v>1344</v>
      </c>
      <c r="N50">
        <v>1008</v>
      </c>
      <c r="O50" t="s">
        <v>210</v>
      </c>
      <c r="P50" t="s">
        <v>210</v>
      </c>
      <c r="Q50">
        <v>1</v>
      </c>
      <c r="W50">
        <v>0</v>
      </c>
      <c r="X50">
        <v>-94250534</v>
      </c>
      <c r="Y50">
        <f t="shared" si="20"/>
        <v>0.01</v>
      </c>
      <c r="AA50">
        <v>1</v>
      </c>
      <c r="AB50">
        <v>0</v>
      </c>
      <c r="AC50">
        <v>0</v>
      </c>
      <c r="AD50">
        <v>0</v>
      </c>
      <c r="AE50">
        <v>1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5</v>
      </c>
      <c r="AT50">
        <v>0.01</v>
      </c>
      <c r="AU50" t="s">
        <v>54</v>
      </c>
      <c r="AV50">
        <v>0</v>
      </c>
      <c r="AW50">
        <v>2</v>
      </c>
      <c r="AX50">
        <v>67204725</v>
      </c>
      <c r="AY50">
        <v>1</v>
      </c>
      <c r="AZ50">
        <v>0</v>
      </c>
      <c r="BA50">
        <v>54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ROUND(Y50*Source!I35,9)</f>
        <v>5.3999999999999999E-2</v>
      </c>
      <c r="CY50">
        <f t="shared" si="21"/>
        <v>1</v>
      </c>
      <c r="CZ50">
        <f t="shared" si="22"/>
        <v>1</v>
      </c>
      <c r="DA50">
        <f t="shared" si="23"/>
        <v>1</v>
      </c>
      <c r="DB50">
        <f t="shared" si="24"/>
        <v>0.01</v>
      </c>
      <c r="DC50">
        <f t="shared" si="25"/>
        <v>0</v>
      </c>
      <c r="DD50" t="s">
        <v>5</v>
      </c>
      <c r="DE50" t="s">
        <v>5</v>
      </c>
      <c r="DF50">
        <f t="shared" ref="DF50:DF58" si="30">ROUND(ROUND(AE50,2)*CX50,2)</f>
        <v>0.05</v>
      </c>
      <c r="DG50">
        <f t="shared" si="27"/>
        <v>0</v>
      </c>
      <c r="DH50">
        <f t="shared" si="28"/>
        <v>0</v>
      </c>
      <c r="DI50">
        <f t="shared" si="10"/>
        <v>0</v>
      </c>
      <c r="DJ50">
        <f t="shared" si="29"/>
        <v>0.05</v>
      </c>
      <c r="DK50">
        <v>0</v>
      </c>
      <c r="DL50" t="s">
        <v>5</v>
      </c>
      <c r="DM50">
        <v>0</v>
      </c>
      <c r="DN50" t="s">
        <v>5</v>
      </c>
      <c r="DO50">
        <v>0</v>
      </c>
    </row>
    <row r="51" spans="1:119" x14ac:dyDescent="0.2">
      <c r="A51">
        <f>ROW(Source!A35)</f>
        <v>35</v>
      </c>
      <c r="B51">
        <v>67204543</v>
      </c>
      <c r="C51">
        <v>67204687</v>
      </c>
      <c r="D51">
        <v>66182804</v>
      </c>
      <c r="E51">
        <v>1073</v>
      </c>
      <c r="F51">
        <v>1</v>
      </c>
      <c r="G51">
        <v>1073</v>
      </c>
      <c r="H51">
        <v>3</v>
      </c>
      <c r="I51" t="s">
        <v>208</v>
      </c>
      <c r="J51" t="s">
        <v>5</v>
      </c>
      <c r="K51" t="s">
        <v>209</v>
      </c>
      <c r="L51">
        <v>1344</v>
      </c>
      <c r="N51">
        <v>1008</v>
      </c>
      <c r="O51" t="s">
        <v>210</v>
      </c>
      <c r="P51" t="s">
        <v>210</v>
      </c>
      <c r="Q51">
        <v>1</v>
      </c>
      <c r="W51">
        <v>0</v>
      </c>
      <c r="X51">
        <v>-1201287655</v>
      </c>
      <c r="Y51">
        <f>(AT51*1.25)</f>
        <v>2.5000000000000001E-2</v>
      </c>
      <c r="AA51">
        <v>0</v>
      </c>
      <c r="AB51">
        <v>1</v>
      </c>
      <c r="AC51">
        <v>0</v>
      </c>
      <c r="AD51">
        <v>0</v>
      </c>
      <c r="AE51">
        <v>0</v>
      </c>
      <c r="AF51">
        <v>1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5</v>
      </c>
      <c r="AT51">
        <v>0.02</v>
      </c>
      <c r="AU51" t="s">
        <v>29</v>
      </c>
      <c r="AV51">
        <v>0</v>
      </c>
      <c r="AW51">
        <v>2</v>
      </c>
      <c r="AX51">
        <v>67204714</v>
      </c>
      <c r="AY51">
        <v>1</v>
      </c>
      <c r="AZ51">
        <v>2048</v>
      </c>
      <c r="BA51">
        <v>55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V51">
        <v>0</v>
      </c>
      <c r="CW51">
        <v>0</v>
      </c>
      <c r="CX51">
        <f>ROUND(Y51*Source!I35,9)</f>
        <v>0.13500000000000001</v>
      </c>
      <c r="CY51">
        <f t="shared" si="21"/>
        <v>0</v>
      </c>
      <c r="CZ51">
        <f t="shared" si="22"/>
        <v>0</v>
      </c>
      <c r="DA51">
        <f t="shared" si="23"/>
        <v>1</v>
      </c>
      <c r="DB51">
        <f>ROUND((ROUND(AT51*CZ51,2)*1.25),6)</f>
        <v>0</v>
      </c>
      <c r="DC51">
        <f>ROUND((ROUND(AT51*AG51,2)*1.25),6)</f>
        <v>0</v>
      </c>
      <c r="DD51" t="s">
        <v>5</v>
      </c>
      <c r="DE51" t="s">
        <v>5</v>
      </c>
      <c r="DF51">
        <f t="shared" si="30"/>
        <v>0</v>
      </c>
      <c r="DG51">
        <f t="shared" si="27"/>
        <v>0.14000000000000001</v>
      </c>
      <c r="DH51">
        <f t="shared" si="28"/>
        <v>0</v>
      </c>
      <c r="DI51">
        <f t="shared" si="10"/>
        <v>0</v>
      </c>
      <c r="DJ51">
        <f t="shared" si="29"/>
        <v>0</v>
      </c>
      <c r="DK51">
        <v>0</v>
      </c>
      <c r="DL51" t="s">
        <v>5</v>
      </c>
      <c r="DM51">
        <v>0</v>
      </c>
      <c r="DN51" t="s">
        <v>5</v>
      </c>
      <c r="DO51">
        <v>0</v>
      </c>
    </row>
    <row r="52" spans="1:119" x14ac:dyDescent="0.2">
      <c r="A52">
        <f>ROW(Source!A40)</f>
        <v>40</v>
      </c>
      <c r="B52">
        <v>67204543</v>
      </c>
      <c r="C52">
        <v>67204730</v>
      </c>
      <c r="D52">
        <v>66140260</v>
      </c>
      <c r="E52">
        <v>1073</v>
      </c>
      <c r="F52">
        <v>1</v>
      </c>
      <c r="G52">
        <v>1073</v>
      </c>
      <c r="H52">
        <v>1</v>
      </c>
      <c r="I52" t="s">
        <v>188</v>
      </c>
      <c r="J52" t="s">
        <v>5</v>
      </c>
      <c r="K52" t="s">
        <v>189</v>
      </c>
      <c r="L52">
        <v>1191</v>
      </c>
      <c r="N52">
        <v>1013</v>
      </c>
      <c r="O52" t="s">
        <v>190</v>
      </c>
      <c r="P52" t="s">
        <v>190</v>
      </c>
      <c r="Q52">
        <v>1</v>
      </c>
      <c r="W52">
        <v>0</v>
      </c>
      <c r="X52">
        <v>476480486</v>
      </c>
      <c r="Y52">
        <f>(AT52*1.15)</f>
        <v>116.43749999999999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5</v>
      </c>
      <c r="AT52">
        <v>101.25</v>
      </c>
      <c r="AU52" t="s">
        <v>30</v>
      </c>
      <c r="AV52">
        <v>1</v>
      </c>
      <c r="AW52">
        <v>2</v>
      </c>
      <c r="AX52">
        <v>67204735</v>
      </c>
      <c r="AY52">
        <v>1</v>
      </c>
      <c r="AZ52">
        <v>2048</v>
      </c>
      <c r="BA52">
        <v>56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U52">
        <f>ROUND(AT52*Source!I40*AH52*AL52,2)</f>
        <v>0</v>
      </c>
      <c r="CV52">
        <f>ROUND(Y52*Source!I40,9)</f>
        <v>628.76250000000005</v>
      </c>
      <c r="CW52">
        <v>0</v>
      </c>
      <c r="CX52">
        <f>ROUND(Y52*Source!I40,9)</f>
        <v>628.76250000000005</v>
      </c>
      <c r="CY52">
        <f>AD52</f>
        <v>0</v>
      </c>
      <c r="CZ52">
        <f>AH52</f>
        <v>0</v>
      </c>
      <c r="DA52">
        <f>AL52</f>
        <v>1</v>
      </c>
      <c r="DB52">
        <f>ROUND((ROUND(AT52*CZ52,2)*1.15),6)</f>
        <v>0</v>
      </c>
      <c r="DC52">
        <f>ROUND((ROUND(AT52*AG52,2)*1.15),6)</f>
        <v>0</v>
      </c>
      <c r="DD52" t="s">
        <v>5</v>
      </c>
      <c r="DE52" t="s">
        <v>5</v>
      </c>
      <c r="DF52">
        <f t="shared" si="30"/>
        <v>0</v>
      </c>
      <c r="DG52">
        <f t="shared" si="27"/>
        <v>0</v>
      </c>
      <c r="DH52">
        <f t="shared" si="28"/>
        <v>0</v>
      </c>
      <c r="DI52">
        <f t="shared" si="10"/>
        <v>0</v>
      </c>
      <c r="DJ52">
        <f>DI52</f>
        <v>0</v>
      </c>
      <c r="DK52">
        <v>0</v>
      </c>
      <c r="DL52" t="s">
        <v>5</v>
      </c>
      <c r="DM52">
        <v>0</v>
      </c>
      <c r="DN52" t="s">
        <v>5</v>
      </c>
      <c r="DO52">
        <v>0</v>
      </c>
    </row>
    <row r="53" spans="1:119" x14ac:dyDescent="0.2">
      <c r="A53">
        <f>ROW(Source!A40)</f>
        <v>40</v>
      </c>
      <c r="B53">
        <v>67204543</v>
      </c>
      <c r="C53">
        <v>67204730</v>
      </c>
      <c r="D53">
        <v>66295663</v>
      </c>
      <c r="E53">
        <v>1</v>
      </c>
      <c r="F53">
        <v>1</v>
      </c>
      <c r="G53">
        <v>1073</v>
      </c>
      <c r="H53">
        <v>2</v>
      </c>
      <c r="I53" t="s">
        <v>253</v>
      </c>
      <c r="J53" t="s">
        <v>254</v>
      </c>
      <c r="K53" t="s">
        <v>255</v>
      </c>
      <c r="L53">
        <v>1368</v>
      </c>
      <c r="N53">
        <v>1011</v>
      </c>
      <c r="O53" t="s">
        <v>194</v>
      </c>
      <c r="P53" t="s">
        <v>194</v>
      </c>
      <c r="Q53">
        <v>1</v>
      </c>
      <c r="W53">
        <v>0</v>
      </c>
      <c r="X53">
        <v>224659202</v>
      </c>
      <c r="Y53">
        <f>(AT53*1.25)</f>
        <v>0.2</v>
      </c>
      <c r="AA53">
        <v>0</v>
      </c>
      <c r="AB53">
        <v>2231.92</v>
      </c>
      <c r="AC53">
        <v>635.08000000000004</v>
      </c>
      <c r="AD53">
        <v>0</v>
      </c>
      <c r="AE53">
        <v>0</v>
      </c>
      <c r="AF53">
        <v>179.17</v>
      </c>
      <c r="AG53">
        <v>16.93</v>
      </c>
      <c r="AH53">
        <v>0</v>
      </c>
      <c r="AI53">
        <v>1</v>
      </c>
      <c r="AJ53">
        <v>11.46</v>
      </c>
      <c r="AK53">
        <v>34.51</v>
      </c>
      <c r="AL53">
        <v>1</v>
      </c>
      <c r="AM53">
        <v>2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5</v>
      </c>
      <c r="AT53">
        <v>0.16</v>
      </c>
      <c r="AU53" t="s">
        <v>29</v>
      </c>
      <c r="AV53">
        <v>0</v>
      </c>
      <c r="AW53">
        <v>2</v>
      </c>
      <c r="AX53">
        <v>67204736</v>
      </c>
      <c r="AY53">
        <v>1</v>
      </c>
      <c r="AZ53">
        <v>0</v>
      </c>
      <c r="BA53">
        <v>57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V53">
        <v>0</v>
      </c>
      <c r="CW53">
        <f>ROUND(Y53*Source!I40*DO53,9)</f>
        <v>0</v>
      </c>
      <c r="CX53">
        <f>ROUND(Y53*Source!I40,9)</f>
        <v>1.08</v>
      </c>
      <c r="CY53">
        <f>AB53</f>
        <v>2231.92</v>
      </c>
      <c r="CZ53">
        <f>AF53</f>
        <v>179.17</v>
      </c>
      <c r="DA53">
        <f>AJ53</f>
        <v>11.46</v>
      </c>
      <c r="DB53">
        <f>ROUND((ROUND(AT53*CZ53,2)*1.25),6)</f>
        <v>35.837499999999999</v>
      </c>
      <c r="DC53">
        <f>ROUND((ROUND(AT53*AG53,2)*1.25),6)</f>
        <v>3.3875000000000002</v>
      </c>
      <c r="DD53" t="s">
        <v>5</v>
      </c>
      <c r="DE53" t="s">
        <v>5</v>
      </c>
      <c r="DF53">
        <f t="shared" si="30"/>
        <v>0</v>
      </c>
      <c r="DG53">
        <f>ROUND(ROUND(AF53*AJ53,2)*CX53,2)</f>
        <v>2217.5500000000002</v>
      </c>
      <c r="DH53">
        <f>ROUND(ROUND(AG53*AK53,2)*CX53,2)</f>
        <v>630.99</v>
      </c>
      <c r="DI53">
        <f t="shared" si="10"/>
        <v>0</v>
      </c>
      <c r="DJ53">
        <f>DG53</f>
        <v>2217.5500000000002</v>
      </c>
      <c r="DK53">
        <v>0</v>
      </c>
      <c r="DL53" t="s">
        <v>5</v>
      </c>
      <c r="DM53">
        <v>0</v>
      </c>
      <c r="DN53" t="s">
        <v>5</v>
      </c>
      <c r="DO53">
        <v>0</v>
      </c>
    </row>
    <row r="54" spans="1:119" x14ac:dyDescent="0.2">
      <c r="A54">
        <f>ROW(Source!A40)</f>
        <v>40</v>
      </c>
      <c r="B54">
        <v>67204543</v>
      </c>
      <c r="C54">
        <v>67204730</v>
      </c>
      <c r="D54">
        <v>66295770</v>
      </c>
      <c r="E54">
        <v>1</v>
      </c>
      <c r="F54">
        <v>1</v>
      </c>
      <c r="G54">
        <v>1073</v>
      </c>
      <c r="H54">
        <v>2</v>
      </c>
      <c r="I54" t="s">
        <v>256</v>
      </c>
      <c r="J54" t="s">
        <v>257</v>
      </c>
      <c r="K54" t="s">
        <v>258</v>
      </c>
      <c r="L54">
        <v>1368</v>
      </c>
      <c r="N54">
        <v>1011</v>
      </c>
      <c r="O54" t="s">
        <v>194</v>
      </c>
      <c r="P54" t="s">
        <v>194</v>
      </c>
      <c r="Q54">
        <v>1</v>
      </c>
      <c r="W54">
        <v>0</v>
      </c>
      <c r="X54">
        <v>-530485774</v>
      </c>
      <c r="Y54">
        <f>(AT54*1.25)</f>
        <v>0.44999999999999996</v>
      </c>
      <c r="AA54">
        <v>0</v>
      </c>
      <c r="AB54">
        <v>1442.79</v>
      </c>
      <c r="AC54">
        <v>473.41</v>
      </c>
      <c r="AD54">
        <v>0</v>
      </c>
      <c r="AE54">
        <v>0</v>
      </c>
      <c r="AF54">
        <v>103.94</v>
      </c>
      <c r="AG54">
        <v>12.62</v>
      </c>
      <c r="AH54">
        <v>0</v>
      </c>
      <c r="AI54">
        <v>1</v>
      </c>
      <c r="AJ54">
        <v>12.77</v>
      </c>
      <c r="AK54">
        <v>34.51</v>
      </c>
      <c r="AL54">
        <v>1</v>
      </c>
      <c r="AM54">
        <v>2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5</v>
      </c>
      <c r="AT54">
        <v>0.36</v>
      </c>
      <c r="AU54" t="s">
        <v>29</v>
      </c>
      <c r="AV54">
        <v>0</v>
      </c>
      <c r="AW54">
        <v>2</v>
      </c>
      <c r="AX54">
        <v>67204737</v>
      </c>
      <c r="AY54">
        <v>1</v>
      </c>
      <c r="AZ54">
        <v>2048</v>
      </c>
      <c r="BA54">
        <v>58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f>ROUND(Y54*Source!I40*DO54,9)</f>
        <v>0</v>
      </c>
      <c r="CX54">
        <f>ROUND(Y54*Source!I40,9)</f>
        <v>2.4300000000000002</v>
      </c>
      <c r="CY54">
        <f>AB54</f>
        <v>1442.79</v>
      </c>
      <c r="CZ54">
        <f>AF54</f>
        <v>103.94</v>
      </c>
      <c r="DA54">
        <f>AJ54</f>
        <v>12.77</v>
      </c>
      <c r="DB54">
        <f>ROUND((ROUND(AT54*CZ54,2)*1.25),6)</f>
        <v>46.774999999999999</v>
      </c>
      <c r="DC54">
        <f>ROUND((ROUND(AT54*AG54,2)*1.25),6)</f>
        <v>5.6749999999999998</v>
      </c>
      <c r="DD54" t="s">
        <v>5</v>
      </c>
      <c r="DE54" t="s">
        <v>5</v>
      </c>
      <c r="DF54">
        <f t="shared" si="30"/>
        <v>0</v>
      </c>
      <c r="DG54">
        <f>ROUND(ROUND(AF54*AJ54,2)*CX54,2)</f>
        <v>3225.36</v>
      </c>
      <c r="DH54">
        <f>ROUND(ROUND(AG54*AK54,2)*CX54,2)</f>
        <v>1058.31</v>
      </c>
      <c r="DI54">
        <f t="shared" si="10"/>
        <v>0</v>
      </c>
      <c r="DJ54">
        <f>DG54</f>
        <v>3225.36</v>
      </c>
      <c r="DK54">
        <v>0</v>
      </c>
      <c r="DL54" t="s">
        <v>5</v>
      </c>
      <c r="DM54">
        <v>0</v>
      </c>
      <c r="DN54" t="s">
        <v>5</v>
      </c>
      <c r="DO54">
        <v>0</v>
      </c>
    </row>
    <row r="55" spans="1:119" x14ac:dyDescent="0.2">
      <c r="A55">
        <f>ROW(Source!A40)</f>
        <v>40</v>
      </c>
      <c r="B55">
        <v>67204543</v>
      </c>
      <c r="C55">
        <v>67204730</v>
      </c>
      <c r="D55">
        <v>0</v>
      </c>
      <c r="E55">
        <v>1073</v>
      </c>
      <c r="F55">
        <v>1</v>
      </c>
      <c r="G55">
        <v>1073</v>
      </c>
      <c r="H55">
        <v>3</v>
      </c>
      <c r="I55" t="s">
        <v>40</v>
      </c>
      <c r="J55" t="s">
        <v>5</v>
      </c>
      <c r="K55" t="s">
        <v>97</v>
      </c>
      <c r="L55">
        <v>1327</v>
      </c>
      <c r="N55">
        <v>1005</v>
      </c>
      <c r="O55" t="s">
        <v>42</v>
      </c>
      <c r="P55" t="s">
        <v>42</v>
      </c>
      <c r="Q55">
        <v>1</v>
      </c>
      <c r="W55">
        <v>0</v>
      </c>
      <c r="X55">
        <v>-77962236</v>
      </c>
      <c r="Y55">
        <f>(AT55*1)</f>
        <v>100</v>
      </c>
      <c r="AA55">
        <v>12750</v>
      </c>
      <c r="AB55">
        <v>0</v>
      </c>
      <c r="AC55">
        <v>0</v>
      </c>
      <c r="AD55">
        <v>0</v>
      </c>
      <c r="AE55">
        <v>12750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 t="s">
        <v>5</v>
      </c>
      <c r="AT55">
        <v>100</v>
      </c>
      <c r="AU55" t="s">
        <v>54</v>
      </c>
      <c r="AV55">
        <v>0</v>
      </c>
      <c r="AW55">
        <v>1</v>
      </c>
      <c r="AX55">
        <v>-1</v>
      </c>
      <c r="AY55">
        <v>0</v>
      </c>
      <c r="AZ55">
        <v>0</v>
      </c>
      <c r="BA55" t="s">
        <v>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ROUND(Y55*Source!I40,9)</f>
        <v>540</v>
      </c>
      <c r="CY55">
        <f>AA55</f>
        <v>12750</v>
      </c>
      <c r="CZ55">
        <f>AE55</f>
        <v>12750</v>
      </c>
      <c r="DA55">
        <f>AI55</f>
        <v>1</v>
      </c>
      <c r="DB55">
        <f>ROUND((ROUND(AT55*CZ55,2)*1),6)</f>
        <v>1275000</v>
      </c>
      <c r="DC55">
        <f>ROUND((ROUND(AT55*AG55,2)*1),6)</f>
        <v>0</v>
      </c>
      <c r="DD55" t="s">
        <v>5</v>
      </c>
      <c r="DE55" t="s">
        <v>5</v>
      </c>
      <c r="DF55">
        <f t="shared" si="30"/>
        <v>6885000</v>
      </c>
      <c r="DG55">
        <f>ROUND(ROUND(AF55,2)*CX55,2)</f>
        <v>0</v>
      </c>
      <c r="DH55">
        <f>ROUND(ROUND(AG55,2)*CX55,2)</f>
        <v>0</v>
      </c>
      <c r="DI55">
        <f t="shared" si="10"/>
        <v>0</v>
      </c>
      <c r="DJ55">
        <f>DF55</f>
        <v>6885000</v>
      </c>
      <c r="DK55">
        <v>0</v>
      </c>
      <c r="DL55" t="s">
        <v>5</v>
      </c>
      <c r="DM55">
        <v>0</v>
      </c>
      <c r="DN55" t="s">
        <v>5</v>
      </c>
      <c r="DO55">
        <v>0</v>
      </c>
    </row>
    <row r="56" spans="1:119" x14ac:dyDescent="0.2">
      <c r="A56">
        <f>ROW(Source!A42)</f>
        <v>42</v>
      </c>
      <c r="B56">
        <v>67204543</v>
      </c>
      <c r="C56">
        <v>67204739</v>
      </c>
      <c r="D56">
        <v>66182804</v>
      </c>
      <c r="E56">
        <v>1073</v>
      </c>
      <c r="F56">
        <v>1</v>
      </c>
      <c r="G56">
        <v>1073</v>
      </c>
      <c r="H56">
        <v>3</v>
      </c>
      <c r="I56" t="s">
        <v>208</v>
      </c>
      <c r="J56" t="s">
        <v>5</v>
      </c>
      <c r="K56" t="s">
        <v>209</v>
      </c>
      <c r="L56">
        <v>1344</v>
      </c>
      <c r="N56">
        <v>1008</v>
      </c>
      <c r="O56" t="s">
        <v>210</v>
      </c>
      <c r="P56" t="s">
        <v>210</v>
      </c>
      <c r="Q56">
        <v>1</v>
      </c>
      <c r="W56">
        <v>0</v>
      </c>
      <c r="X56">
        <v>-1201287655</v>
      </c>
      <c r="Y56">
        <f>AT56</f>
        <v>8.86</v>
      </c>
      <c r="AA56">
        <v>0</v>
      </c>
      <c r="AB56">
        <v>1</v>
      </c>
      <c r="AC56">
        <v>0</v>
      </c>
      <c r="AD56">
        <v>0</v>
      </c>
      <c r="AE56">
        <v>0</v>
      </c>
      <c r="AF56">
        <v>1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M56">
        <v>-2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5</v>
      </c>
      <c r="AT56">
        <v>8.86</v>
      </c>
      <c r="AU56" t="s">
        <v>5</v>
      </c>
      <c r="AV56">
        <v>0</v>
      </c>
      <c r="AW56">
        <v>2</v>
      </c>
      <c r="AX56">
        <v>67204741</v>
      </c>
      <c r="AY56">
        <v>1</v>
      </c>
      <c r="AZ56">
        <v>0</v>
      </c>
      <c r="BA56">
        <v>59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ROUND(Y56*Source!I42,9)</f>
        <v>181.00980000000001</v>
      </c>
      <c r="CY56">
        <f>AA56</f>
        <v>0</v>
      </c>
      <c r="CZ56">
        <f>AE56</f>
        <v>0</v>
      </c>
      <c r="DA56">
        <f>AI56</f>
        <v>1</v>
      </c>
      <c r="DB56">
        <f>ROUND(ROUND(AT56*CZ56,2),6)</f>
        <v>0</v>
      </c>
      <c r="DC56">
        <f>ROUND(ROUND(AT56*AG56,2),6)</f>
        <v>0</v>
      </c>
      <c r="DD56" t="s">
        <v>5</v>
      </c>
      <c r="DE56" t="s">
        <v>5</v>
      </c>
      <c r="DF56">
        <f t="shared" si="30"/>
        <v>0</v>
      </c>
      <c r="DG56">
        <f>ROUND(ROUND(AF56,2)*CX56,2)</f>
        <v>181.01</v>
      </c>
      <c r="DH56">
        <f>ROUND(ROUND(AG56,2)*CX56,2)</f>
        <v>0</v>
      </c>
      <c r="DI56">
        <f t="shared" si="10"/>
        <v>0</v>
      </c>
      <c r="DJ56">
        <f>DF56</f>
        <v>0</v>
      </c>
      <c r="DK56">
        <v>0</v>
      </c>
      <c r="DL56" t="s">
        <v>5</v>
      </c>
      <c r="DM56">
        <v>0</v>
      </c>
      <c r="DN56" t="s">
        <v>5</v>
      </c>
      <c r="DO56">
        <v>0</v>
      </c>
    </row>
    <row r="57" spans="1:119" x14ac:dyDescent="0.2">
      <c r="A57">
        <f>ROW(Source!A43)</f>
        <v>43</v>
      </c>
      <c r="B57">
        <v>67204543</v>
      </c>
      <c r="C57">
        <v>67204742</v>
      </c>
      <c r="D57">
        <v>66182804</v>
      </c>
      <c r="E57">
        <v>1073</v>
      </c>
      <c r="F57">
        <v>1</v>
      </c>
      <c r="G57">
        <v>1073</v>
      </c>
      <c r="H57">
        <v>3</v>
      </c>
      <c r="I57" t="s">
        <v>208</v>
      </c>
      <c r="J57" t="s">
        <v>5</v>
      </c>
      <c r="K57" t="s">
        <v>209</v>
      </c>
      <c r="L57">
        <v>1344</v>
      </c>
      <c r="N57">
        <v>1008</v>
      </c>
      <c r="O57" t="s">
        <v>210</v>
      </c>
      <c r="P57" t="s">
        <v>210</v>
      </c>
      <c r="Q57">
        <v>1</v>
      </c>
      <c r="W57">
        <v>0</v>
      </c>
      <c r="X57">
        <v>-1201287655</v>
      </c>
      <c r="Y57">
        <f>AT57</f>
        <v>36.39</v>
      </c>
      <c r="AA57">
        <v>0</v>
      </c>
      <c r="AB57">
        <v>1</v>
      </c>
      <c r="AC57">
        <v>0</v>
      </c>
      <c r="AD57">
        <v>0</v>
      </c>
      <c r="AE57">
        <v>0</v>
      </c>
      <c r="AF57">
        <v>1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M57">
        <v>-2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5</v>
      </c>
      <c r="AT57">
        <v>36.39</v>
      </c>
      <c r="AU57" t="s">
        <v>5</v>
      </c>
      <c r="AV57">
        <v>0</v>
      </c>
      <c r="AW57">
        <v>2</v>
      </c>
      <c r="AX57">
        <v>67204744</v>
      </c>
      <c r="AY57">
        <v>1</v>
      </c>
      <c r="AZ57">
        <v>0</v>
      </c>
      <c r="BA57">
        <v>60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ROUND(Y57*Source!I43,9)</f>
        <v>743.44770000000005</v>
      </c>
      <c r="CY57">
        <f>AA57</f>
        <v>0</v>
      </c>
      <c r="CZ57">
        <f>AE57</f>
        <v>0</v>
      </c>
      <c r="DA57">
        <f>AI57</f>
        <v>1</v>
      </c>
      <c r="DB57">
        <f>ROUND(ROUND(AT57*CZ57,2),6)</f>
        <v>0</v>
      </c>
      <c r="DC57">
        <f>ROUND(ROUND(AT57*AG57,2),6)</f>
        <v>0</v>
      </c>
      <c r="DD57" t="s">
        <v>5</v>
      </c>
      <c r="DE57" t="s">
        <v>5</v>
      </c>
      <c r="DF57">
        <f t="shared" si="30"/>
        <v>0</v>
      </c>
      <c r="DG57">
        <f>ROUND(ROUND(AF57,2)*CX57,2)</f>
        <v>743.45</v>
      </c>
      <c r="DH57">
        <f>ROUND(ROUND(AG57,2)*CX57,2)</f>
        <v>0</v>
      </c>
      <c r="DI57">
        <f t="shared" si="10"/>
        <v>0</v>
      </c>
      <c r="DJ57">
        <f>DF57</f>
        <v>0</v>
      </c>
      <c r="DK57">
        <v>0</v>
      </c>
      <c r="DL57" t="s">
        <v>5</v>
      </c>
      <c r="DM57">
        <v>0</v>
      </c>
      <c r="DN57" t="s">
        <v>5</v>
      </c>
      <c r="DO57">
        <v>0</v>
      </c>
    </row>
    <row r="58" spans="1:119" x14ac:dyDescent="0.2">
      <c r="A58">
        <f>ROW(Source!A44)</f>
        <v>44</v>
      </c>
      <c r="B58">
        <v>67204543</v>
      </c>
      <c r="C58">
        <v>67204745</v>
      </c>
      <c r="D58">
        <v>66182804</v>
      </c>
      <c r="E58">
        <v>1073</v>
      </c>
      <c r="F58">
        <v>1</v>
      </c>
      <c r="G58">
        <v>1073</v>
      </c>
      <c r="H58">
        <v>3</v>
      </c>
      <c r="I58" t="s">
        <v>208</v>
      </c>
      <c r="J58" t="s">
        <v>5</v>
      </c>
      <c r="K58" t="s">
        <v>209</v>
      </c>
      <c r="L58">
        <v>1344</v>
      </c>
      <c r="N58">
        <v>1008</v>
      </c>
      <c r="O58" t="s">
        <v>210</v>
      </c>
      <c r="P58" t="s">
        <v>210</v>
      </c>
      <c r="Q58">
        <v>1</v>
      </c>
      <c r="W58">
        <v>0</v>
      </c>
      <c r="X58">
        <v>-1201287655</v>
      </c>
      <c r="Y58">
        <f>AT58</f>
        <v>31.67</v>
      </c>
      <c r="AA58">
        <v>0</v>
      </c>
      <c r="AB58">
        <v>1</v>
      </c>
      <c r="AC58">
        <v>0</v>
      </c>
      <c r="AD58">
        <v>0</v>
      </c>
      <c r="AE58">
        <v>0</v>
      </c>
      <c r="AF58">
        <v>1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M58">
        <v>-2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5</v>
      </c>
      <c r="AT58">
        <v>31.67</v>
      </c>
      <c r="AU58" t="s">
        <v>5</v>
      </c>
      <c r="AV58">
        <v>0</v>
      </c>
      <c r="AW58">
        <v>2</v>
      </c>
      <c r="AX58">
        <v>67204747</v>
      </c>
      <c r="AY58">
        <v>1</v>
      </c>
      <c r="AZ58">
        <v>0</v>
      </c>
      <c r="BA58">
        <v>61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ROUND(Y58*Source!I44,9)</f>
        <v>647.0181</v>
      </c>
      <c r="CY58">
        <f>AA58</f>
        <v>0</v>
      </c>
      <c r="CZ58">
        <f>AE58</f>
        <v>0</v>
      </c>
      <c r="DA58">
        <f>AI58</f>
        <v>1</v>
      </c>
      <c r="DB58">
        <f>ROUND(ROUND(AT58*CZ58,2),6)</f>
        <v>0</v>
      </c>
      <c r="DC58">
        <f>ROUND(ROUND(AT58*AG58,2),6)</f>
        <v>0</v>
      </c>
      <c r="DD58" t="s">
        <v>5</v>
      </c>
      <c r="DE58" t="s">
        <v>5</v>
      </c>
      <c r="DF58">
        <f t="shared" si="30"/>
        <v>0</v>
      </c>
      <c r="DG58">
        <f>ROUND(ROUND(AF58,2)*CX58,2)</f>
        <v>647.02</v>
      </c>
      <c r="DH58">
        <f>ROUND(ROUND(AG58,2)*CX58,2)</f>
        <v>0</v>
      </c>
      <c r="DI58">
        <f t="shared" si="10"/>
        <v>0</v>
      </c>
      <c r="DJ58">
        <f>DF58</f>
        <v>0</v>
      </c>
      <c r="DK58">
        <v>0</v>
      </c>
      <c r="DL58" t="s">
        <v>5</v>
      </c>
      <c r="DM58">
        <v>0</v>
      </c>
      <c r="DN58" t="s">
        <v>5</v>
      </c>
      <c r="DO5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6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ROW(Source!A24)</f>
        <v>24</v>
      </c>
      <c r="B1">
        <v>67204616</v>
      </c>
      <c r="C1">
        <v>67204608</v>
      </c>
      <c r="D1">
        <v>66140260</v>
      </c>
      <c r="E1">
        <v>1073</v>
      </c>
      <c r="F1">
        <v>1</v>
      </c>
      <c r="G1">
        <v>1073</v>
      </c>
      <c r="H1">
        <v>1</v>
      </c>
      <c r="I1" t="s">
        <v>188</v>
      </c>
      <c r="J1" t="s">
        <v>5</v>
      </c>
      <c r="K1" t="s">
        <v>189</v>
      </c>
      <c r="L1">
        <v>1191</v>
      </c>
      <c r="N1">
        <v>1013</v>
      </c>
      <c r="O1" t="s">
        <v>190</v>
      </c>
      <c r="P1" t="s">
        <v>190</v>
      </c>
      <c r="Q1">
        <v>1</v>
      </c>
      <c r="X1">
        <v>188.92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22</v>
      </c>
      <c r="AG1">
        <v>151.136</v>
      </c>
      <c r="AH1">
        <v>2</v>
      </c>
      <c r="AI1">
        <v>67204609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ROW(Source!A24)</f>
        <v>24</v>
      </c>
      <c r="B2">
        <v>67204617</v>
      </c>
      <c r="C2">
        <v>67204608</v>
      </c>
      <c r="D2">
        <v>66296384</v>
      </c>
      <c r="E2">
        <v>1</v>
      </c>
      <c r="F2">
        <v>1</v>
      </c>
      <c r="G2">
        <v>1073</v>
      </c>
      <c r="H2">
        <v>2</v>
      </c>
      <c r="I2" t="s">
        <v>191</v>
      </c>
      <c r="J2" t="s">
        <v>192</v>
      </c>
      <c r="K2" t="s">
        <v>193</v>
      </c>
      <c r="L2">
        <v>1368</v>
      </c>
      <c r="N2">
        <v>1011</v>
      </c>
      <c r="O2" t="s">
        <v>194</v>
      </c>
      <c r="P2" t="s">
        <v>194</v>
      </c>
      <c r="Q2">
        <v>1</v>
      </c>
      <c r="X2">
        <v>3.28</v>
      </c>
      <c r="Y2">
        <v>0</v>
      </c>
      <c r="Z2">
        <v>83.1</v>
      </c>
      <c r="AA2">
        <v>12.62</v>
      </c>
      <c r="AB2">
        <v>0</v>
      </c>
      <c r="AC2">
        <v>0</v>
      </c>
      <c r="AD2">
        <v>1</v>
      </c>
      <c r="AE2">
        <v>0</v>
      </c>
      <c r="AF2" t="s">
        <v>22</v>
      </c>
      <c r="AG2">
        <v>2.6240000000000001</v>
      </c>
      <c r="AH2">
        <v>2</v>
      </c>
      <c r="AI2">
        <v>67204610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ROW(Source!A24)</f>
        <v>24</v>
      </c>
      <c r="B3">
        <v>67204618</v>
      </c>
      <c r="C3">
        <v>67204608</v>
      </c>
      <c r="D3">
        <v>66296434</v>
      </c>
      <c r="E3">
        <v>1</v>
      </c>
      <c r="F3">
        <v>1</v>
      </c>
      <c r="G3">
        <v>1073</v>
      </c>
      <c r="H3">
        <v>2</v>
      </c>
      <c r="I3" t="s">
        <v>195</v>
      </c>
      <c r="J3" t="s">
        <v>196</v>
      </c>
      <c r="K3" t="s">
        <v>197</v>
      </c>
      <c r="L3">
        <v>1368</v>
      </c>
      <c r="N3">
        <v>1011</v>
      </c>
      <c r="O3" t="s">
        <v>194</v>
      </c>
      <c r="P3" t="s">
        <v>194</v>
      </c>
      <c r="Q3">
        <v>1</v>
      </c>
      <c r="X3">
        <v>30.23</v>
      </c>
      <c r="Y3">
        <v>0</v>
      </c>
      <c r="Z3">
        <v>0.77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22</v>
      </c>
      <c r="AG3">
        <v>24.184000000000001</v>
      </c>
      <c r="AH3">
        <v>2</v>
      </c>
      <c r="AI3">
        <v>67204611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ROW(Source!A24)</f>
        <v>24</v>
      </c>
      <c r="B4">
        <v>67204619</v>
      </c>
      <c r="C4">
        <v>67204608</v>
      </c>
      <c r="D4">
        <v>66296467</v>
      </c>
      <c r="E4">
        <v>1</v>
      </c>
      <c r="F4">
        <v>1</v>
      </c>
      <c r="G4">
        <v>1073</v>
      </c>
      <c r="H4">
        <v>2</v>
      </c>
      <c r="I4" t="s">
        <v>198</v>
      </c>
      <c r="J4" t="s">
        <v>199</v>
      </c>
      <c r="K4" t="s">
        <v>200</v>
      </c>
      <c r="L4">
        <v>1368</v>
      </c>
      <c r="N4">
        <v>1011</v>
      </c>
      <c r="O4" t="s">
        <v>194</v>
      </c>
      <c r="P4" t="s">
        <v>194</v>
      </c>
      <c r="Q4">
        <v>1</v>
      </c>
      <c r="X4">
        <v>19.43</v>
      </c>
      <c r="Y4">
        <v>0</v>
      </c>
      <c r="Z4">
        <v>0.47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22</v>
      </c>
      <c r="AG4">
        <v>15.544</v>
      </c>
      <c r="AH4">
        <v>2</v>
      </c>
      <c r="AI4">
        <v>67204612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ROW(Source!A24)</f>
        <v>24</v>
      </c>
      <c r="B5">
        <v>67204621</v>
      </c>
      <c r="C5">
        <v>67204608</v>
      </c>
      <c r="D5">
        <v>66209647</v>
      </c>
      <c r="E5">
        <v>1</v>
      </c>
      <c r="F5">
        <v>1</v>
      </c>
      <c r="G5">
        <v>1073</v>
      </c>
      <c r="H5">
        <v>3</v>
      </c>
      <c r="I5" t="s">
        <v>201</v>
      </c>
      <c r="J5" t="s">
        <v>202</v>
      </c>
      <c r="K5" t="s">
        <v>203</v>
      </c>
      <c r="L5">
        <v>1354</v>
      </c>
      <c r="N5">
        <v>1010</v>
      </c>
      <c r="O5" t="s">
        <v>62</v>
      </c>
      <c r="P5" t="s">
        <v>62</v>
      </c>
      <c r="Q5">
        <v>1</v>
      </c>
      <c r="X5">
        <v>606</v>
      </c>
      <c r="Y5">
        <v>9.6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21</v>
      </c>
      <c r="AG5">
        <v>0</v>
      </c>
      <c r="AH5">
        <v>2</v>
      </c>
      <c r="AI5">
        <v>67204614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ROW(Source!A24)</f>
        <v>24</v>
      </c>
      <c r="B6">
        <v>67204622</v>
      </c>
      <c r="C6">
        <v>67204608</v>
      </c>
      <c r="D6">
        <v>66208399</v>
      </c>
      <c r="E6">
        <v>1</v>
      </c>
      <c r="F6">
        <v>1</v>
      </c>
      <c r="G6">
        <v>1073</v>
      </c>
      <c r="H6">
        <v>3</v>
      </c>
      <c r="I6" t="s">
        <v>204</v>
      </c>
      <c r="J6" t="s">
        <v>205</v>
      </c>
      <c r="K6" t="s">
        <v>206</v>
      </c>
      <c r="L6">
        <v>1296</v>
      </c>
      <c r="N6">
        <v>1002</v>
      </c>
      <c r="O6" t="s">
        <v>207</v>
      </c>
      <c r="P6" t="s">
        <v>207</v>
      </c>
      <c r="Q6">
        <v>1</v>
      </c>
      <c r="X6">
        <v>72</v>
      </c>
      <c r="Y6">
        <v>54.7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21</v>
      </c>
      <c r="AG6">
        <v>0</v>
      </c>
      <c r="AH6">
        <v>2</v>
      </c>
      <c r="AI6">
        <v>67204615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ROW(Source!A24)</f>
        <v>24</v>
      </c>
      <c r="B7">
        <v>67204623</v>
      </c>
      <c r="C7">
        <v>67204608</v>
      </c>
      <c r="D7">
        <v>66146359</v>
      </c>
      <c r="E7">
        <v>1073</v>
      </c>
      <c r="F7">
        <v>1</v>
      </c>
      <c r="G7">
        <v>1073</v>
      </c>
      <c r="H7">
        <v>3</v>
      </c>
      <c r="I7" t="s">
        <v>259</v>
      </c>
      <c r="J7" t="s">
        <v>5</v>
      </c>
      <c r="K7" t="s">
        <v>260</v>
      </c>
      <c r="L7">
        <v>1301</v>
      </c>
      <c r="N7">
        <v>1003</v>
      </c>
      <c r="O7" t="s">
        <v>34</v>
      </c>
      <c r="P7" t="s">
        <v>34</v>
      </c>
      <c r="Q7">
        <v>1</v>
      </c>
      <c r="X7">
        <v>353.5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 t="s">
        <v>21</v>
      </c>
      <c r="AG7">
        <v>0</v>
      </c>
      <c r="AH7">
        <v>3</v>
      </c>
      <c r="AI7">
        <v>-1</v>
      </c>
      <c r="AJ7" t="s">
        <v>5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ROW(Source!A24)</f>
        <v>24</v>
      </c>
      <c r="B8">
        <v>67204624</v>
      </c>
      <c r="C8">
        <v>67204608</v>
      </c>
      <c r="D8">
        <v>66146359</v>
      </c>
      <c r="E8">
        <v>1073</v>
      </c>
      <c r="F8">
        <v>1</v>
      </c>
      <c r="G8">
        <v>1073</v>
      </c>
      <c r="H8">
        <v>3</v>
      </c>
      <c r="I8" t="s">
        <v>259</v>
      </c>
      <c r="J8" t="s">
        <v>5</v>
      </c>
      <c r="K8" t="s">
        <v>261</v>
      </c>
      <c r="L8">
        <v>1301</v>
      </c>
      <c r="N8">
        <v>1003</v>
      </c>
      <c r="O8" t="s">
        <v>34</v>
      </c>
      <c r="P8" t="s">
        <v>34</v>
      </c>
      <c r="Q8">
        <v>1</v>
      </c>
      <c r="X8">
        <v>85.5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 t="s">
        <v>21</v>
      </c>
      <c r="AG8">
        <v>0</v>
      </c>
      <c r="AH8">
        <v>3</v>
      </c>
      <c r="AI8">
        <v>-1</v>
      </c>
      <c r="AJ8" t="s">
        <v>5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ROW(Source!A24)</f>
        <v>24</v>
      </c>
      <c r="B9">
        <v>67204625</v>
      </c>
      <c r="C9">
        <v>67204608</v>
      </c>
      <c r="D9">
        <v>66150202</v>
      </c>
      <c r="E9">
        <v>1073</v>
      </c>
      <c r="F9">
        <v>1</v>
      </c>
      <c r="G9">
        <v>1073</v>
      </c>
      <c r="H9">
        <v>3</v>
      </c>
      <c r="I9" t="s">
        <v>262</v>
      </c>
      <c r="J9" t="s">
        <v>5</v>
      </c>
      <c r="K9" t="s">
        <v>263</v>
      </c>
      <c r="L9">
        <v>1327</v>
      </c>
      <c r="N9">
        <v>1005</v>
      </c>
      <c r="O9" t="s">
        <v>42</v>
      </c>
      <c r="P9" t="s">
        <v>42</v>
      </c>
      <c r="Q9">
        <v>1</v>
      </c>
      <c r="X9">
        <v>100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 t="s">
        <v>21</v>
      </c>
      <c r="AG9">
        <v>0</v>
      </c>
      <c r="AH9">
        <v>3</v>
      </c>
      <c r="AI9">
        <v>-1</v>
      </c>
      <c r="AJ9" t="s">
        <v>5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ROW(Source!A24)</f>
        <v>24</v>
      </c>
      <c r="B10">
        <v>67204626</v>
      </c>
      <c r="C10">
        <v>67204608</v>
      </c>
      <c r="D10">
        <v>66178345</v>
      </c>
      <c r="E10">
        <v>1073</v>
      </c>
      <c r="F10">
        <v>1</v>
      </c>
      <c r="G10">
        <v>1073</v>
      </c>
      <c r="H10">
        <v>3</v>
      </c>
      <c r="I10" t="s">
        <v>264</v>
      </c>
      <c r="J10" t="s">
        <v>5</v>
      </c>
      <c r="K10" t="s">
        <v>265</v>
      </c>
      <c r="L10">
        <v>1301</v>
      </c>
      <c r="N10">
        <v>1003</v>
      </c>
      <c r="O10" t="s">
        <v>34</v>
      </c>
      <c r="P10" t="s">
        <v>34</v>
      </c>
      <c r="Q10">
        <v>1</v>
      </c>
      <c r="X10">
        <v>207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 t="s">
        <v>21</v>
      </c>
      <c r="AG10">
        <v>0</v>
      </c>
      <c r="AH10">
        <v>3</v>
      </c>
      <c r="AI10">
        <v>-1</v>
      </c>
      <c r="AJ10" t="s">
        <v>5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ROW(Source!A24)</f>
        <v>24</v>
      </c>
      <c r="B11">
        <v>67204620</v>
      </c>
      <c r="C11">
        <v>67204608</v>
      </c>
      <c r="D11">
        <v>66182804</v>
      </c>
      <c r="E11">
        <v>1073</v>
      </c>
      <c r="F11">
        <v>1</v>
      </c>
      <c r="G11">
        <v>1073</v>
      </c>
      <c r="H11">
        <v>3</v>
      </c>
      <c r="I11" t="s">
        <v>208</v>
      </c>
      <c r="J11" t="s">
        <v>5</v>
      </c>
      <c r="K11" t="s">
        <v>209</v>
      </c>
      <c r="L11">
        <v>1344</v>
      </c>
      <c r="N11">
        <v>1008</v>
      </c>
      <c r="O11" t="s">
        <v>210</v>
      </c>
      <c r="P11" t="s">
        <v>210</v>
      </c>
      <c r="Q11">
        <v>1</v>
      </c>
      <c r="X11">
        <v>0.01</v>
      </c>
      <c r="Y11">
        <v>0</v>
      </c>
      <c r="Z11">
        <v>1</v>
      </c>
      <c r="AA11">
        <v>0</v>
      </c>
      <c r="AB11">
        <v>0</v>
      </c>
      <c r="AC11">
        <v>0</v>
      </c>
      <c r="AD11">
        <v>1</v>
      </c>
      <c r="AE11">
        <v>0</v>
      </c>
      <c r="AF11" t="s">
        <v>21</v>
      </c>
      <c r="AG11">
        <v>0</v>
      </c>
      <c r="AH11">
        <v>2</v>
      </c>
      <c r="AI11">
        <v>67204613</v>
      </c>
      <c r="AJ11">
        <v>7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ROW(Source!A25)</f>
        <v>25</v>
      </c>
      <c r="B12">
        <v>67204639</v>
      </c>
      <c r="C12">
        <v>67204627</v>
      </c>
      <c r="D12">
        <v>66140260</v>
      </c>
      <c r="E12">
        <v>1073</v>
      </c>
      <c r="F12">
        <v>1</v>
      </c>
      <c r="G12">
        <v>1073</v>
      </c>
      <c r="H12">
        <v>1</v>
      </c>
      <c r="I12" t="s">
        <v>188</v>
      </c>
      <c r="J12" t="s">
        <v>5</v>
      </c>
      <c r="K12" t="s">
        <v>189</v>
      </c>
      <c r="L12">
        <v>1191</v>
      </c>
      <c r="N12">
        <v>1013</v>
      </c>
      <c r="O12" t="s">
        <v>190</v>
      </c>
      <c r="P12" t="s">
        <v>190</v>
      </c>
      <c r="Q12">
        <v>1</v>
      </c>
      <c r="X12">
        <v>188.92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1</v>
      </c>
      <c r="AF12" t="s">
        <v>30</v>
      </c>
      <c r="AG12">
        <v>217.25799999999998</v>
      </c>
      <c r="AH12">
        <v>2</v>
      </c>
      <c r="AI12">
        <v>67204628</v>
      </c>
      <c r="AJ12">
        <v>8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ROW(Source!A25)</f>
        <v>25</v>
      </c>
      <c r="B13">
        <v>67204640</v>
      </c>
      <c r="C13">
        <v>67204627</v>
      </c>
      <c r="D13">
        <v>66296384</v>
      </c>
      <c r="E13">
        <v>1</v>
      </c>
      <c r="F13">
        <v>1</v>
      </c>
      <c r="G13">
        <v>1073</v>
      </c>
      <c r="H13">
        <v>2</v>
      </c>
      <c r="I13" t="s">
        <v>191</v>
      </c>
      <c r="J13" t="s">
        <v>192</v>
      </c>
      <c r="K13" t="s">
        <v>193</v>
      </c>
      <c r="L13">
        <v>1368</v>
      </c>
      <c r="N13">
        <v>1011</v>
      </c>
      <c r="O13" t="s">
        <v>194</v>
      </c>
      <c r="P13" t="s">
        <v>194</v>
      </c>
      <c r="Q13">
        <v>1</v>
      </c>
      <c r="X13">
        <v>3.28</v>
      </c>
      <c r="Y13">
        <v>0</v>
      </c>
      <c r="Z13">
        <v>83.1</v>
      </c>
      <c r="AA13">
        <v>12.62</v>
      </c>
      <c r="AB13">
        <v>0</v>
      </c>
      <c r="AC13">
        <v>0</v>
      </c>
      <c r="AD13">
        <v>1</v>
      </c>
      <c r="AE13">
        <v>0</v>
      </c>
      <c r="AF13" t="s">
        <v>29</v>
      </c>
      <c r="AG13">
        <v>4.0999999999999996</v>
      </c>
      <c r="AH13">
        <v>2</v>
      </c>
      <c r="AI13">
        <v>67204629</v>
      </c>
      <c r="AJ13">
        <v>9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ROW(Source!A25)</f>
        <v>25</v>
      </c>
      <c r="B14">
        <v>67204641</v>
      </c>
      <c r="C14">
        <v>67204627</v>
      </c>
      <c r="D14">
        <v>66296434</v>
      </c>
      <c r="E14">
        <v>1</v>
      </c>
      <c r="F14">
        <v>1</v>
      </c>
      <c r="G14">
        <v>1073</v>
      </c>
      <c r="H14">
        <v>2</v>
      </c>
      <c r="I14" t="s">
        <v>195</v>
      </c>
      <c r="J14" t="s">
        <v>196</v>
      </c>
      <c r="K14" t="s">
        <v>197</v>
      </c>
      <c r="L14">
        <v>1368</v>
      </c>
      <c r="N14">
        <v>1011</v>
      </c>
      <c r="O14" t="s">
        <v>194</v>
      </c>
      <c r="P14" t="s">
        <v>194</v>
      </c>
      <c r="Q14">
        <v>1</v>
      </c>
      <c r="X14">
        <v>30.23</v>
      </c>
      <c r="Y14">
        <v>0</v>
      </c>
      <c r="Z14">
        <v>0.77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29</v>
      </c>
      <c r="AG14">
        <v>37.787500000000001</v>
      </c>
      <c r="AH14">
        <v>2</v>
      </c>
      <c r="AI14">
        <v>67204630</v>
      </c>
      <c r="AJ14">
        <v>10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ROW(Source!A25)</f>
        <v>25</v>
      </c>
      <c r="B15">
        <v>67204642</v>
      </c>
      <c r="C15">
        <v>67204627</v>
      </c>
      <c r="D15">
        <v>66296467</v>
      </c>
      <c r="E15">
        <v>1</v>
      </c>
      <c r="F15">
        <v>1</v>
      </c>
      <c r="G15">
        <v>1073</v>
      </c>
      <c r="H15">
        <v>2</v>
      </c>
      <c r="I15" t="s">
        <v>198</v>
      </c>
      <c r="J15" t="s">
        <v>199</v>
      </c>
      <c r="K15" t="s">
        <v>200</v>
      </c>
      <c r="L15">
        <v>1368</v>
      </c>
      <c r="N15">
        <v>1011</v>
      </c>
      <c r="O15" t="s">
        <v>194</v>
      </c>
      <c r="P15" t="s">
        <v>194</v>
      </c>
      <c r="Q15">
        <v>1</v>
      </c>
      <c r="X15">
        <v>19.43</v>
      </c>
      <c r="Y15">
        <v>0</v>
      </c>
      <c r="Z15">
        <v>0.47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29</v>
      </c>
      <c r="AG15">
        <v>24.287500000000001</v>
      </c>
      <c r="AH15">
        <v>2</v>
      </c>
      <c r="AI15">
        <v>67204631</v>
      </c>
      <c r="AJ15">
        <v>11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ROW(Source!A25)</f>
        <v>25</v>
      </c>
      <c r="B16">
        <v>67204644</v>
      </c>
      <c r="C16">
        <v>67204627</v>
      </c>
      <c r="D16">
        <v>66209647</v>
      </c>
      <c r="E16">
        <v>1</v>
      </c>
      <c r="F16">
        <v>1</v>
      </c>
      <c r="G16">
        <v>1073</v>
      </c>
      <c r="H16">
        <v>3</v>
      </c>
      <c r="I16" t="s">
        <v>201</v>
      </c>
      <c r="J16" t="s">
        <v>202</v>
      </c>
      <c r="K16" t="s">
        <v>203</v>
      </c>
      <c r="L16">
        <v>1354</v>
      </c>
      <c r="N16">
        <v>1010</v>
      </c>
      <c r="O16" t="s">
        <v>62</v>
      </c>
      <c r="P16" t="s">
        <v>62</v>
      </c>
      <c r="Q16">
        <v>1</v>
      </c>
      <c r="X16">
        <v>606</v>
      </c>
      <c r="Y16">
        <v>9.6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5</v>
      </c>
      <c r="AG16">
        <v>606</v>
      </c>
      <c r="AH16">
        <v>2</v>
      </c>
      <c r="AI16">
        <v>67204633</v>
      </c>
      <c r="AJ16">
        <v>12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ROW(Source!A25)</f>
        <v>25</v>
      </c>
      <c r="B17">
        <v>67204645</v>
      </c>
      <c r="C17">
        <v>67204627</v>
      </c>
      <c r="D17">
        <v>66208399</v>
      </c>
      <c r="E17">
        <v>1</v>
      </c>
      <c r="F17">
        <v>1</v>
      </c>
      <c r="G17">
        <v>1073</v>
      </c>
      <c r="H17">
        <v>3</v>
      </c>
      <c r="I17" t="s">
        <v>204</v>
      </c>
      <c r="J17" t="s">
        <v>205</v>
      </c>
      <c r="K17" t="s">
        <v>206</v>
      </c>
      <c r="L17">
        <v>1296</v>
      </c>
      <c r="N17">
        <v>1002</v>
      </c>
      <c r="O17" t="s">
        <v>207</v>
      </c>
      <c r="P17" t="s">
        <v>207</v>
      </c>
      <c r="Q17">
        <v>1</v>
      </c>
      <c r="X17">
        <v>72</v>
      </c>
      <c r="Y17">
        <v>54.7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5</v>
      </c>
      <c r="AG17">
        <v>72</v>
      </c>
      <c r="AH17">
        <v>2</v>
      </c>
      <c r="AI17">
        <v>67204634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ROW(Source!A25)</f>
        <v>25</v>
      </c>
      <c r="B18">
        <v>67204646</v>
      </c>
      <c r="C18">
        <v>67204627</v>
      </c>
      <c r="D18">
        <v>66146359</v>
      </c>
      <c r="E18">
        <v>1073</v>
      </c>
      <c r="F18">
        <v>1</v>
      </c>
      <c r="G18">
        <v>1073</v>
      </c>
      <c r="H18">
        <v>3</v>
      </c>
      <c r="I18" t="s">
        <v>259</v>
      </c>
      <c r="J18" t="s">
        <v>5</v>
      </c>
      <c r="K18" t="s">
        <v>260</v>
      </c>
      <c r="L18">
        <v>1301</v>
      </c>
      <c r="N18">
        <v>1003</v>
      </c>
      <c r="O18" t="s">
        <v>34</v>
      </c>
      <c r="P18" t="s">
        <v>34</v>
      </c>
      <c r="Q18">
        <v>1</v>
      </c>
      <c r="X18">
        <v>353.5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 t="s">
        <v>5</v>
      </c>
      <c r="AG18">
        <v>353.5</v>
      </c>
      <c r="AH18">
        <v>3</v>
      </c>
      <c r="AI18">
        <v>-1</v>
      </c>
      <c r="AJ18" t="s">
        <v>5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ROW(Source!A25)</f>
        <v>25</v>
      </c>
      <c r="B19">
        <v>67204647</v>
      </c>
      <c r="C19">
        <v>67204627</v>
      </c>
      <c r="D19">
        <v>66146359</v>
      </c>
      <c r="E19">
        <v>1073</v>
      </c>
      <c r="F19">
        <v>1</v>
      </c>
      <c r="G19">
        <v>1073</v>
      </c>
      <c r="H19">
        <v>3</v>
      </c>
      <c r="I19" t="s">
        <v>259</v>
      </c>
      <c r="J19" t="s">
        <v>5</v>
      </c>
      <c r="K19" t="s">
        <v>261</v>
      </c>
      <c r="L19">
        <v>1301</v>
      </c>
      <c r="N19">
        <v>1003</v>
      </c>
      <c r="O19" t="s">
        <v>34</v>
      </c>
      <c r="P19" t="s">
        <v>34</v>
      </c>
      <c r="Q19">
        <v>1</v>
      </c>
      <c r="X19">
        <v>85.5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 t="s">
        <v>5</v>
      </c>
      <c r="AG19">
        <v>85.5</v>
      </c>
      <c r="AH19">
        <v>3</v>
      </c>
      <c r="AI19">
        <v>-1</v>
      </c>
      <c r="AJ19" t="s">
        <v>5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ROW(Source!A25)</f>
        <v>25</v>
      </c>
      <c r="B20">
        <v>67204648</v>
      </c>
      <c r="C20">
        <v>67204627</v>
      </c>
      <c r="D20">
        <v>66150202</v>
      </c>
      <c r="E20">
        <v>1073</v>
      </c>
      <c r="F20">
        <v>1</v>
      </c>
      <c r="G20">
        <v>1073</v>
      </c>
      <c r="H20">
        <v>3</v>
      </c>
      <c r="I20" t="s">
        <v>262</v>
      </c>
      <c r="J20" t="s">
        <v>5</v>
      </c>
      <c r="K20" t="s">
        <v>263</v>
      </c>
      <c r="L20">
        <v>1327</v>
      </c>
      <c r="N20">
        <v>1005</v>
      </c>
      <c r="O20" t="s">
        <v>42</v>
      </c>
      <c r="P20" t="s">
        <v>42</v>
      </c>
      <c r="Q20">
        <v>1</v>
      </c>
      <c r="X20">
        <v>100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 t="s">
        <v>5</v>
      </c>
      <c r="AG20">
        <v>100</v>
      </c>
      <c r="AH20">
        <v>3</v>
      </c>
      <c r="AI20">
        <v>-1</v>
      </c>
      <c r="AJ20" t="s">
        <v>5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ROW(Source!A25)</f>
        <v>25</v>
      </c>
      <c r="B21">
        <v>67204649</v>
      </c>
      <c r="C21">
        <v>67204627</v>
      </c>
      <c r="D21">
        <v>66178345</v>
      </c>
      <c r="E21">
        <v>1073</v>
      </c>
      <c r="F21">
        <v>1</v>
      </c>
      <c r="G21">
        <v>1073</v>
      </c>
      <c r="H21">
        <v>3</v>
      </c>
      <c r="I21" t="s">
        <v>264</v>
      </c>
      <c r="J21" t="s">
        <v>5</v>
      </c>
      <c r="K21" t="s">
        <v>265</v>
      </c>
      <c r="L21">
        <v>1301</v>
      </c>
      <c r="N21">
        <v>1003</v>
      </c>
      <c r="O21" t="s">
        <v>34</v>
      </c>
      <c r="P21" t="s">
        <v>34</v>
      </c>
      <c r="Q21">
        <v>1</v>
      </c>
      <c r="X21">
        <v>207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 t="s">
        <v>5</v>
      </c>
      <c r="AG21">
        <v>207</v>
      </c>
      <c r="AH21">
        <v>3</v>
      </c>
      <c r="AI21">
        <v>-1</v>
      </c>
      <c r="AJ21" t="s">
        <v>5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ROW(Source!A25)</f>
        <v>25</v>
      </c>
      <c r="B22">
        <v>67204643</v>
      </c>
      <c r="C22">
        <v>67204627</v>
      </c>
      <c r="D22">
        <v>66182804</v>
      </c>
      <c r="E22">
        <v>1073</v>
      </c>
      <c r="F22">
        <v>1</v>
      </c>
      <c r="G22">
        <v>1073</v>
      </c>
      <c r="H22">
        <v>3</v>
      </c>
      <c r="I22" t="s">
        <v>208</v>
      </c>
      <c r="J22" t="s">
        <v>5</v>
      </c>
      <c r="K22" t="s">
        <v>209</v>
      </c>
      <c r="L22">
        <v>1344</v>
      </c>
      <c r="N22">
        <v>1008</v>
      </c>
      <c r="O22" t="s">
        <v>210</v>
      </c>
      <c r="P22" t="s">
        <v>210</v>
      </c>
      <c r="Q22">
        <v>1</v>
      </c>
      <c r="X22">
        <v>0.01</v>
      </c>
      <c r="Y22">
        <v>0</v>
      </c>
      <c r="Z22">
        <v>1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5</v>
      </c>
      <c r="AG22">
        <v>0.01</v>
      </c>
      <c r="AH22">
        <v>2</v>
      </c>
      <c r="AI22">
        <v>67204632</v>
      </c>
      <c r="AJ22">
        <v>17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ROW(Source!A30)</f>
        <v>30</v>
      </c>
      <c r="B23">
        <v>67204660</v>
      </c>
      <c r="C23">
        <v>67204654</v>
      </c>
      <c r="D23">
        <v>66140260</v>
      </c>
      <c r="E23">
        <v>1073</v>
      </c>
      <c r="F23">
        <v>1</v>
      </c>
      <c r="G23">
        <v>1073</v>
      </c>
      <c r="H23">
        <v>1</v>
      </c>
      <c r="I23" t="s">
        <v>188</v>
      </c>
      <c r="J23" t="s">
        <v>5</v>
      </c>
      <c r="K23" t="s">
        <v>189</v>
      </c>
      <c r="L23">
        <v>1191</v>
      </c>
      <c r="N23">
        <v>1013</v>
      </c>
      <c r="O23" t="s">
        <v>190</v>
      </c>
      <c r="P23" t="s">
        <v>190</v>
      </c>
      <c r="Q23">
        <v>1</v>
      </c>
      <c r="X23">
        <v>19.440000000000001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30</v>
      </c>
      <c r="AG23">
        <v>22.355999999999998</v>
      </c>
      <c r="AH23">
        <v>2</v>
      </c>
      <c r="AI23">
        <v>67204655</v>
      </c>
      <c r="AJ23">
        <v>19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ROW(Source!A30)</f>
        <v>30</v>
      </c>
      <c r="B24">
        <v>67204661</v>
      </c>
      <c r="C24">
        <v>67204654</v>
      </c>
      <c r="D24">
        <v>66296384</v>
      </c>
      <c r="E24">
        <v>1</v>
      </c>
      <c r="F24">
        <v>1</v>
      </c>
      <c r="G24">
        <v>1073</v>
      </c>
      <c r="H24">
        <v>2</v>
      </c>
      <c r="I24" t="s">
        <v>191</v>
      </c>
      <c r="J24" t="s">
        <v>192</v>
      </c>
      <c r="K24" t="s">
        <v>193</v>
      </c>
      <c r="L24">
        <v>1368</v>
      </c>
      <c r="N24">
        <v>1011</v>
      </c>
      <c r="O24" t="s">
        <v>194</v>
      </c>
      <c r="P24" t="s">
        <v>194</v>
      </c>
      <c r="Q24">
        <v>1</v>
      </c>
      <c r="X24">
        <v>0.14000000000000001</v>
      </c>
      <c r="Y24">
        <v>0</v>
      </c>
      <c r="Z24">
        <v>83.1</v>
      </c>
      <c r="AA24">
        <v>12.62</v>
      </c>
      <c r="AB24">
        <v>0</v>
      </c>
      <c r="AC24">
        <v>0</v>
      </c>
      <c r="AD24">
        <v>1</v>
      </c>
      <c r="AE24">
        <v>0</v>
      </c>
      <c r="AF24" t="s">
        <v>29</v>
      </c>
      <c r="AG24">
        <v>0.17500000000000002</v>
      </c>
      <c r="AH24">
        <v>2</v>
      </c>
      <c r="AI24">
        <v>67204656</v>
      </c>
      <c r="AJ24">
        <v>20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ROW(Source!A30)</f>
        <v>30</v>
      </c>
      <c r="B25">
        <v>67204662</v>
      </c>
      <c r="C25">
        <v>67204654</v>
      </c>
      <c r="D25">
        <v>66208399</v>
      </c>
      <c r="E25">
        <v>1</v>
      </c>
      <c r="F25">
        <v>1</v>
      </c>
      <c r="G25">
        <v>1073</v>
      </c>
      <c r="H25">
        <v>3</v>
      </c>
      <c r="I25" t="s">
        <v>204</v>
      </c>
      <c r="J25" t="s">
        <v>205</v>
      </c>
      <c r="K25" t="s">
        <v>206</v>
      </c>
      <c r="L25">
        <v>1296</v>
      </c>
      <c r="N25">
        <v>1002</v>
      </c>
      <c r="O25" t="s">
        <v>207</v>
      </c>
      <c r="P25" t="s">
        <v>207</v>
      </c>
      <c r="Q25">
        <v>1</v>
      </c>
      <c r="X25">
        <v>42.45</v>
      </c>
      <c r="Y25">
        <v>54.7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54</v>
      </c>
      <c r="AG25">
        <v>42.45</v>
      </c>
      <c r="AH25">
        <v>2</v>
      </c>
      <c r="AI25">
        <v>67204657</v>
      </c>
      <c r="AJ25">
        <v>21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ROW(Source!A30)</f>
        <v>30</v>
      </c>
      <c r="B26">
        <v>67204663</v>
      </c>
      <c r="C26">
        <v>67204654</v>
      </c>
      <c r="D26">
        <v>66177900</v>
      </c>
      <c r="E26">
        <v>1073</v>
      </c>
      <c r="F26">
        <v>1</v>
      </c>
      <c r="G26">
        <v>1073</v>
      </c>
      <c r="H26">
        <v>3</v>
      </c>
      <c r="I26" t="s">
        <v>266</v>
      </c>
      <c r="J26" t="s">
        <v>5</v>
      </c>
      <c r="K26" t="s">
        <v>267</v>
      </c>
      <c r="L26">
        <v>1301</v>
      </c>
      <c r="N26">
        <v>1003</v>
      </c>
      <c r="O26" t="s">
        <v>34</v>
      </c>
      <c r="P26" t="s">
        <v>34</v>
      </c>
      <c r="Q26">
        <v>1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 t="s">
        <v>54</v>
      </c>
      <c r="AG26">
        <v>0</v>
      </c>
      <c r="AH26">
        <v>3</v>
      </c>
      <c r="AI26">
        <v>-1</v>
      </c>
      <c r="AJ26" t="s">
        <v>5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ROW(Source!A30)</f>
        <v>30</v>
      </c>
      <c r="B27">
        <v>67204664</v>
      </c>
      <c r="C27">
        <v>67204654</v>
      </c>
      <c r="D27">
        <v>66177907</v>
      </c>
      <c r="E27">
        <v>1073</v>
      </c>
      <c r="F27">
        <v>1</v>
      </c>
      <c r="G27">
        <v>1073</v>
      </c>
      <c r="H27">
        <v>3</v>
      </c>
      <c r="I27" t="s">
        <v>268</v>
      </c>
      <c r="J27" t="s">
        <v>5</v>
      </c>
      <c r="K27" t="s">
        <v>269</v>
      </c>
      <c r="L27">
        <v>1354</v>
      </c>
      <c r="N27">
        <v>1010</v>
      </c>
      <c r="O27" t="s">
        <v>62</v>
      </c>
      <c r="P27" t="s">
        <v>62</v>
      </c>
      <c r="Q27">
        <v>1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 t="s">
        <v>54</v>
      </c>
      <c r="AG27">
        <v>0</v>
      </c>
      <c r="AH27">
        <v>3</v>
      </c>
      <c r="AI27">
        <v>-1</v>
      </c>
      <c r="AJ27" t="s">
        <v>5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ROW(Source!A33)</f>
        <v>33</v>
      </c>
      <c r="B28">
        <v>67204677</v>
      </c>
      <c r="C28">
        <v>67204667</v>
      </c>
      <c r="D28">
        <v>66140260</v>
      </c>
      <c r="E28">
        <v>1073</v>
      </c>
      <c r="F28">
        <v>1</v>
      </c>
      <c r="G28">
        <v>1073</v>
      </c>
      <c r="H28">
        <v>1</v>
      </c>
      <c r="I28" t="s">
        <v>188</v>
      </c>
      <c r="J28" t="s">
        <v>5</v>
      </c>
      <c r="K28" t="s">
        <v>189</v>
      </c>
      <c r="L28">
        <v>1191</v>
      </c>
      <c r="N28">
        <v>1013</v>
      </c>
      <c r="O28" t="s">
        <v>190</v>
      </c>
      <c r="P28" t="s">
        <v>190</v>
      </c>
      <c r="Q28">
        <v>1</v>
      </c>
      <c r="X28">
        <v>58.29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30</v>
      </c>
      <c r="AG28">
        <v>67.033499999999989</v>
      </c>
      <c r="AH28">
        <v>2</v>
      </c>
      <c r="AI28">
        <v>67204668</v>
      </c>
      <c r="AJ28">
        <v>24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ROW(Source!A33)</f>
        <v>33</v>
      </c>
      <c r="B29">
        <v>67204678</v>
      </c>
      <c r="C29">
        <v>67204667</v>
      </c>
      <c r="D29">
        <v>66296384</v>
      </c>
      <c r="E29">
        <v>1</v>
      </c>
      <c r="F29">
        <v>1</v>
      </c>
      <c r="G29">
        <v>1073</v>
      </c>
      <c r="H29">
        <v>2</v>
      </c>
      <c r="I29" t="s">
        <v>191</v>
      </c>
      <c r="J29" t="s">
        <v>192</v>
      </c>
      <c r="K29" t="s">
        <v>193</v>
      </c>
      <c r="L29">
        <v>1368</v>
      </c>
      <c r="N29">
        <v>1011</v>
      </c>
      <c r="O29" t="s">
        <v>194</v>
      </c>
      <c r="P29" t="s">
        <v>194</v>
      </c>
      <c r="Q29">
        <v>1</v>
      </c>
      <c r="X29">
        <v>0.17</v>
      </c>
      <c r="Y29">
        <v>0</v>
      </c>
      <c r="Z29">
        <v>83.1</v>
      </c>
      <c r="AA29">
        <v>12.62</v>
      </c>
      <c r="AB29">
        <v>0</v>
      </c>
      <c r="AC29">
        <v>0</v>
      </c>
      <c r="AD29">
        <v>1</v>
      </c>
      <c r="AE29">
        <v>0</v>
      </c>
      <c r="AF29" t="s">
        <v>29</v>
      </c>
      <c r="AG29">
        <v>0.21250000000000002</v>
      </c>
      <c r="AH29">
        <v>2</v>
      </c>
      <c r="AI29">
        <v>67204669</v>
      </c>
      <c r="AJ29">
        <v>25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ROW(Source!A33)</f>
        <v>33</v>
      </c>
      <c r="B30">
        <v>67204679</v>
      </c>
      <c r="C30">
        <v>67204667</v>
      </c>
      <c r="D30">
        <v>66296502</v>
      </c>
      <c r="E30">
        <v>1</v>
      </c>
      <c r="F30">
        <v>1</v>
      </c>
      <c r="G30">
        <v>1073</v>
      </c>
      <c r="H30">
        <v>2</v>
      </c>
      <c r="I30" t="s">
        <v>211</v>
      </c>
      <c r="J30" t="s">
        <v>212</v>
      </c>
      <c r="K30" t="s">
        <v>213</v>
      </c>
      <c r="L30">
        <v>1368</v>
      </c>
      <c r="N30">
        <v>1011</v>
      </c>
      <c r="O30" t="s">
        <v>194</v>
      </c>
      <c r="P30" t="s">
        <v>194</v>
      </c>
      <c r="Q30">
        <v>1</v>
      </c>
      <c r="X30">
        <v>4.4000000000000004</v>
      </c>
      <c r="Y30">
        <v>0</v>
      </c>
      <c r="Z30">
        <v>1.1100000000000001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29</v>
      </c>
      <c r="AG30">
        <v>5.5</v>
      </c>
      <c r="AH30">
        <v>2</v>
      </c>
      <c r="AI30">
        <v>67204670</v>
      </c>
      <c r="AJ30">
        <v>26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ROW(Source!A33)</f>
        <v>33</v>
      </c>
      <c r="B31">
        <v>67204680</v>
      </c>
      <c r="C31">
        <v>67204667</v>
      </c>
      <c r="D31">
        <v>66296467</v>
      </c>
      <c r="E31">
        <v>1</v>
      </c>
      <c r="F31">
        <v>1</v>
      </c>
      <c r="G31">
        <v>1073</v>
      </c>
      <c r="H31">
        <v>2</v>
      </c>
      <c r="I31" t="s">
        <v>198</v>
      </c>
      <c r="J31" t="s">
        <v>199</v>
      </c>
      <c r="K31" t="s">
        <v>200</v>
      </c>
      <c r="L31">
        <v>1368</v>
      </c>
      <c r="N31">
        <v>1011</v>
      </c>
      <c r="O31" t="s">
        <v>194</v>
      </c>
      <c r="P31" t="s">
        <v>194</v>
      </c>
      <c r="Q31">
        <v>1</v>
      </c>
      <c r="X31">
        <v>4.26</v>
      </c>
      <c r="Y31">
        <v>0</v>
      </c>
      <c r="Z31">
        <v>0.47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29</v>
      </c>
      <c r="AG31">
        <v>5.3249999999999993</v>
      </c>
      <c r="AH31">
        <v>2</v>
      </c>
      <c r="AI31">
        <v>67204671</v>
      </c>
      <c r="AJ31">
        <v>27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ROW(Source!A33)</f>
        <v>33</v>
      </c>
      <c r="B32">
        <v>67204681</v>
      </c>
      <c r="C32">
        <v>67204667</v>
      </c>
      <c r="D32">
        <v>66209094</v>
      </c>
      <c r="E32">
        <v>1</v>
      </c>
      <c r="F32">
        <v>1</v>
      </c>
      <c r="G32">
        <v>1073</v>
      </c>
      <c r="H32">
        <v>3</v>
      </c>
      <c r="I32" t="s">
        <v>214</v>
      </c>
      <c r="J32" t="s">
        <v>215</v>
      </c>
      <c r="K32" t="s">
        <v>216</v>
      </c>
      <c r="L32">
        <v>1348</v>
      </c>
      <c r="N32">
        <v>1009</v>
      </c>
      <c r="O32" t="s">
        <v>110</v>
      </c>
      <c r="P32" t="s">
        <v>110</v>
      </c>
      <c r="Q32">
        <v>1000</v>
      </c>
      <c r="X32">
        <v>4.7000000000000002E-3</v>
      </c>
      <c r="Y32">
        <v>20486.7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54</v>
      </c>
      <c r="AG32">
        <v>4.7000000000000002E-3</v>
      </c>
      <c r="AH32">
        <v>2</v>
      </c>
      <c r="AI32">
        <v>67204672</v>
      </c>
      <c r="AJ32">
        <v>28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ROW(Source!A33)</f>
        <v>33</v>
      </c>
      <c r="B33">
        <v>67204682</v>
      </c>
      <c r="C33">
        <v>67204667</v>
      </c>
      <c r="D33">
        <v>66210381</v>
      </c>
      <c r="E33">
        <v>1</v>
      </c>
      <c r="F33">
        <v>1</v>
      </c>
      <c r="G33">
        <v>1073</v>
      </c>
      <c r="H33">
        <v>3</v>
      </c>
      <c r="I33" t="s">
        <v>217</v>
      </c>
      <c r="J33" t="s">
        <v>218</v>
      </c>
      <c r="K33" t="s">
        <v>219</v>
      </c>
      <c r="L33">
        <v>1354</v>
      </c>
      <c r="N33">
        <v>1010</v>
      </c>
      <c r="O33" t="s">
        <v>62</v>
      </c>
      <c r="P33" t="s">
        <v>62</v>
      </c>
      <c r="Q33">
        <v>1</v>
      </c>
      <c r="X33">
        <v>202</v>
      </c>
      <c r="Y33">
        <v>0.1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54</v>
      </c>
      <c r="AG33">
        <v>202</v>
      </c>
      <c r="AH33">
        <v>2</v>
      </c>
      <c r="AI33">
        <v>67204673</v>
      </c>
      <c r="AJ33">
        <v>29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ROW(Source!A33)</f>
        <v>33</v>
      </c>
      <c r="B34">
        <v>67204683</v>
      </c>
      <c r="C34">
        <v>67204667</v>
      </c>
      <c r="D34">
        <v>66207894</v>
      </c>
      <c r="E34">
        <v>1</v>
      </c>
      <c r="F34">
        <v>1</v>
      </c>
      <c r="G34">
        <v>1073</v>
      </c>
      <c r="H34">
        <v>3</v>
      </c>
      <c r="I34" t="s">
        <v>220</v>
      </c>
      <c r="J34" t="s">
        <v>221</v>
      </c>
      <c r="K34" t="s">
        <v>222</v>
      </c>
      <c r="L34">
        <v>1348</v>
      </c>
      <c r="N34">
        <v>1009</v>
      </c>
      <c r="O34" t="s">
        <v>110</v>
      </c>
      <c r="P34" t="s">
        <v>110</v>
      </c>
      <c r="Q34">
        <v>1000</v>
      </c>
      <c r="X34">
        <v>1.52E-2</v>
      </c>
      <c r="Y34">
        <v>26876.01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54</v>
      </c>
      <c r="AG34">
        <v>1.52E-2</v>
      </c>
      <c r="AH34">
        <v>2</v>
      </c>
      <c r="AI34">
        <v>67204674</v>
      </c>
      <c r="AJ34">
        <v>30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ROW(Source!A33)</f>
        <v>33</v>
      </c>
      <c r="B35">
        <v>67204684</v>
      </c>
      <c r="C35">
        <v>67204667</v>
      </c>
      <c r="D35">
        <v>66162948</v>
      </c>
      <c r="E35">
        <v>1073</v>
      </c>
      <c r="F35">
        <v>1</v>
      </c>
      <c r="G35">
        <v>1073</v>
      </c>
      <c r="H35">
        <v>3</v>
      </c>
      <c r="I35" t="s">
        <v>270</v>
      </c>
      <c r="J35" t="s">
        <v>5</v>
      </c>
      <c r="K35" t="s">
        <v>271</v>
      </c>
      <c r="L35">
        <v>1354</v>
      </c>
      <c r="N35">
        <v>1010</v>
      </c>
      <c r="O35" t="s">
        <v>62</v>
      </c>
      <c r="P35" t="s">
        <v>62</v>
      </c>
      <c r="Q35">
        <v>1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54</v>
      </c>
      <c r="AG35">
        <v>0</v>
      </c>
      <c r="AH35">
        <v>3</v>
      </c>
      <c r="AI35">
        <v>-1</v>
      </c>
      <c r="AJ35" t="s">
        <v>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ROW(Source!A33)</f>
        <v>33</v>
      </c>
      <c r="B36">
        <v>67204685</v>
      </c>
      <c r="C36">
        <v>67204667</v>
      </c>
      <c r="D36">
        <v>66182803</v>
      </c>
      <c r="E36">
        <v>1073</v>
      </c>
      <c r="F36">
        <v>1</v>
      </c>
      <c r="G36">
        <v>1073</v>
      </c>
      <c r="H36">
        <v>3</v>
      </c>
      <c r="I36" t="s">
        <v>223</v>
      </c>
      <c r="J36" t="s">
        <v>5</v>
      </c>
      <c r="K36" t="s">
        <v>224</v>
      </c>
      <c r="L36">
        <v>1344</v>
      </c>
      <c r="N36">
        <v>1008</v>
      </c>
      <c r="O36" t="s">
        <v>210</v>
      </c>
      <c r="P36" t="s">
        <v>210</v>
      </c>
      <c r="Q36">
        <v>1</v>
      </c>
      <c r="X36">
        <v>0.01</v>
      </c>
      <c r="Y36">
        <v>1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54</v>
      </c>
      <c r="AG36">
        <v>0.01</v>
      </c>
      <c r="AH36">
        <v>2</v>
      </c>
      <c r="AI36">
        <v>67204675</v>
      </c>
      <c r="AJ36">
        <v>32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ROW(Source!A35)</f>
        <v>35</v>
      </c>
      <c r="B37">
        <v>67204707</v>
      </c>
      <c r="C37">
        <v>67204687</v>
      </c>
      <c r="D37">
        <v>66140260</v>
      </c>
      <c r="E37">
        <v>1073</v>
      </c>
      <c r="F37">
        <v>1</v>
      </c>
      <c r="G37">
        <v>1073</v>
      </c>
      <c r="H37">
        <v>1</v>
      </c>
      <c r="I37" t="s">
        <v>188</v>
      </c>
      <c r="J37" t="s">
        <v>5</v>
      </c>
      <c r="K37" t="s">
        <v>189</v>
      </c>
      <c r="L37">
        <v>1191</v>
      </c>
      <c r="N37">
        <v>1013</v>
      </c>
      <c r="O37" t="s">
        <v>190</v>
      </c>
      <c r="P37" t="s">
        <v>190</v>
      </c>
      <c r="Q37">
        <v>1</v>
      </c>
      <c r="X37">
        <v>144.74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1</v>
      </c>
      <c r="AF37" t="s">
        <v>30</v>
      </c>
      <c r="AG37">
        <v>166.45099999999999</v>
      </c>
      <c r="AH37">
        <v>2</v>
      </c>
      <c r="AI37">
        <v>67204688</v>
      </c>
      <c r="AJ37">
        <v>33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ROW(Source!A35)</f>
        <v>35</v>
      </c>
      <c r="B38">
        <v>67204708</v>
      </c>
      <c r="C38">
        <v>67204687</v>
      </c>
      <c r="D38">
        <v>66296126</v>
      </c>
      <c r="E38">
        <v>1</v>
      </c>
      <c r="F38">
        <v>1</v>
      </c>
      <c r="G38">
        <v>1073</v>
      </c>
      <c r="H38">
        <v>2</v>
      </c>
      <c r="I38" t="s">
        <v>225</v>
      </c>
      <c r="J38" t="s">
        <v>226</v>
      </c>
      <c r="K38" t="s">
        <v>227</v>
      </c>
      <c r="L38">
        <v>1368</v>
      </c>
      <c r="N38">
        <v>1011</v>
      </c>
      <c r="O38" t="s">
        <v>194</v>
      </c>
      <c r="P38" t="s">
        <v>194</v>
      </c>
      <c r="Q38">
        <v>1</v>
      </c>
      <c r="X38">
        <v>7.22</v>
      </c>
      <c r="Y38">
        <v>0</v>
      </c>
      <c r="Z38">
        <v>4.6900000000000004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29</v>
      </c>
      <c r="AG38">
        <v>9.0250000000000004</v>
      </c>
      <c r="AH38">
        <v>2</v>
      </c>
      <c r="AI38">
        <v>67204689</v>
      </c>
      <c r="AJ38">
        <v>34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ROW(Source!A35)</f>
        <v>35</v>
      </c>
      <c r="B39">
        <v>67204709</v>
      </c>
      <c r="C39">
        <v>67204687</v>
      </c>
      <c r="D39">
        <v>66296384</v>
      </c>
      <c r="E39">
        <v>1</v>
      </c>
      <c r="F39">
        <v>1</v>
      </c>
      <c r="G39">
        <v>1073</v>
      </c>
      <c r="H39">
        <v>2</v>
      </c>
      <c r="I39" t="s">
        <v>191</v>
      </c>
      <c r="J39" t="s">
        <v>192</v>
      </c>
      <c r="K39" t="s">
        <v>193</v>
      </c>
      <c r="L39">
        <v>1368</v>
      </c>
      <c r="N39">
        <v>1011</v>
      </c>
      <c r="O39" t="s">
        <v>194</v>
      </c>
      <c r="P39" t="s">
        <v>194</v>
      </c>
      <c r="Q39">
        <v>1</v>
      </c>
      <c r="X39">
        <v>1.02</v>
      </c>
      <c r="Y39">
        <v>0</v>
      </c>
      <c r="Z39">
        <v>83.1</v>
      </c>
      <c r="AA39">
        <v>12.62</v>
      </c>
      <c r="AB39">
        <v>0</v>
      </c>
      <c r="AC39">
        <v>0</v>
      </c>
      <c r="AD39">
        <v>1</v>
      </c>
      <c r="AE39">
        <v>0</v>
      </c>
      <c r="AF39" t="s">
        <v>29</v>
      </c>
      <c r="AG39">
        <v>1.2749999999999999</v>
      </c>
      <c r="AH39">
        <v>2</v>
      </c>
      <c r="AI39">
        <v>67204690</v>
      </c>
      <c r="AJ39">
        <v>35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ROW(Source!A35)</f>
        <v>35</v>
      </c>
      <c r="B40">
        <v>67204710</v>
      </c>
      <c r="C40">
        <v>67204687</v>
      </c>
      <c r="D40">
        <v>66296502</v>
      </c>
      <c r="E40">
        <v>1</v>
      </c>
      <c r="F40">
        <v>1</v>
      </c>
      <c r="G40">
        <v>1073</v>
      </c>
      <c r="H40">
        <v>2</v>
      </c>
      <c r="I40" t="s">
        <v>211</v>
      </c>
      <c r="J40" t="s">
        <v>212</v>
      </c>
      <c r="K40" t="s">
        <v>213</v>
      </c>
      <c r="L40">
        <v>1368</v>
      </c>
      <c r="N40">
        <v>1011</v>
      </c>
      <c r="O40" t="s">
        <v>194</v>
      </c>
      <c r="P40" t="s">
        <v>194</v>
      </c>
      <c r="Q40">
        <v>1</v>
      </c>
      <c r="X40">
        <v>2.44</v>
      </c>
      <c r="Y40">
        <v>0</v>
      </c>
      <c r="Z40">
        <v>1.1100000000000001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29</v>
      </c>
      <c r="AG40">
        <v>3.05</v>
      </c>
      <c r="AH40">
        <v>2</v>
      </c>
      <c r="AI40">
        <v>67204691</v>
      </c>
      <c r="AJ40">
        <v>36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ROW(Source!A35)</f>
        <v>35</v>
      </c>
      <c r="B41">
        <v>67204711</v>
      </c>
      <c r="C41">
        <v>67204687</v>
      </c>
      <c r="D41">
        <v>66296441</v>
      </c>
      <c r="E41">
        <v>1</v>
      </c>
      <c r="F41">
        <v>1</v>
      </c>
      <c r="G41">
        <v>1073</v>
      </c>
      <c r="H41">
        <v>2</v>
      </c>
      <c r="I41" t="s">
        <v>228</v>
      </c>
      <c r="J41" t="s">
        <v>229</v>
      </c>
      <c r="K41" t="s">
        <v>230</v>
      </c>
      <c r="L41">
        <v>1368</v>
      </c>
      <c r="N41">
        <v>1011</v>
      </c>
      <c r="O41" t="s">
        <v>194</v>
      </c>
      <c r="P41" t="s">
        <v>194</v>
      </c>
      <c r="Q41">
        <v>1</v>
      </c>
      <c r="X41">
        <v>7.28</v>
      </c>
      <c r="Y41">
        <v>0</v>
      </c>
      <c r="Z41">
        <v>0.42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29</v>
      </c>
      <c r="AG41">
        <v>9.1</v>
      </c>
      <c r="AH41">
        <v>2</v>
      </c>
      <c r="AI41">
        <v>67204692</v>
      </c>
      <c r="AJ41">
        <v>37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ROW(Source!A35)</f>
        <v>35</v>
      </c>
      <c r="B42">
        <v>67204712</v>
      </c>
      <c r="C42">
        <v>67204687</v>
      </c>
      <c r="D42">
        <v>66296467</v>
      </c>
      <c r="E42">
        <v>1</v>
      </c>
      <c r="F42">
        <v>1</v>
      </c>
      <c r="G42">
        <v>1073</v>
      </c>
      <c r="H42">
        <v>2</v>
      </c>
      <c r="I42" t="s">
        <v>198</v>
      </c>
      <c r="J42" t="s">
        <v>199</v>
      </c>
      <c r="K42" t="s">
        <v>200</v>
      </c>
      <c r="L42">
        <v>1368</v>
      </c>
      <c r="N42">
        <v>1011</v>
      </c>
      <c r="O42" t="s">
        <v>194</v>
      </c>
      <c r="P42" t="s">
        <v>194</v>
      </c>
      <c r="Q42">
        <v>1</v>
      </c>
      <c r="X42">
        <v>14.42</v>
      </c>
      <c r="Y42">
        <v>0</v>
      </c>
      <c r="Z42">
        <v>0.47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29</v>
      </c>
      <c r="AG42">
        <v>18.024999999999999</v>
      </c>
      <c r="AH42">
        <v>2</v>
      </c>
      <c r="AI42">
        <v>67204693</v>
      </c>
      <c r="AJ42">
        <v>38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ROW(Source!A35)</f>
        <v>35</v>
      </c>
      <c r="B43">
        <v>67204713</v>
      </c>
      <c r="C43">
        <v>67204687</v>
      </c>
      <c r="D43">
        <v>66295738</v>
      </c>
      <c r="E43">
        <v>1</v>
      </c>
      <c r="F43">
        <v>1</v>
      </c>
      <c r="G43">
        <v>1073</v>
      </c>
      <c r="H43">
        <v>2</v>
      </c>
      <c r="I43" t="s">
        <v>231</v>
      </c>
      <c r="J43" t="s">
        <v>232</v>
      </c>
      <c r="K43" t="s">
        <v>233</v>
      </c>
      <c r="L43">
        <v>1368</v>
      </c>
      <c r="N43">
        <v>1011</v>
      </c>
      <c r="O43" t="s">
        <v>194</v>
      </c>
      <c r="P43" t="s">
        <v>194</v>
      </c>
      <c r="Q43">
        <v>1</v>
      </c>
      <c r="X43">
        <v>6.02</v>
      </c>
      <c r="Y43">
        <v>0</v>
      </c>
      <c r="Z43">
        <v>0.77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29</v>
      </c>
      <c r="AG43">
        <v>7.5249999999999995</v>
      </c>
      <c r="AH43">
        <v>2</v>
      </c>
      <c r="AI43">
        <v>67204694</v>
      </c>
      <c r="AJ43">
        <v>39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ROW(Source!A35)</f>
        <v>35</v>
      </c>
      <c r="B44">
        <v>67204715</v>
      </c>
      <c r="C44">
        <v>67204687</v>
      </c>
      <c r="D44">
        <v>66209773</v>
      </c>
      <c r="E44">
        <v>1</v>
      </c>
      <c r="F44">
        <v>1</v>
      </c>
      <c r="G44">
        <v>1073</v>
      </c>
      <c r="H44">
        <v>3</v>
      </c>
      <c r="I44" t="s">
        <v>234</v>
      </c>
      <c r="J44" t="s">
        <v>235</v>
      </c>
      <c r="K44" t="s">
        <v>236</v>
      </c>
      <c r="L44">
        <v>1348</v>
      </c>
      <c r="N44">
        <v>1009</v>
      </c>
      <c r="O44" t="s">
        <v>110</v>
      </c>
      <c r="P44" t="s">
        <v>110</v>
      </c>
      <c r="Q44">
        <v>1000</v>
      </c>
      <c r="X44">
        <v>1.1000000000000001E-3</v>
      </c>
      <c r="Y44">
        <v>13658.25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54</v>
      </c>
      <c r="AG44">
        <v>1.1000000000000001E-3</v>
      </c>
      <c r="AH44">
        <v>2</v>
      </c>
      <c r="AI44">
        <v>67204696</v>
      </c>
      <c r="AJ44">
        <v>40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ROW(Source!A35)</f>
        <v>35</v>
      </c>
      <c r="B45">
        <v>67204716</v>
      </c>
      <c r="C45">
        <v>67204687</v>
      </c>
      <c r="D45">
        <v>66209780</v>
      </c>
      <c r="E45">
        <v>1</v>
      </c>
      <c r="F45">
        <v>1</v>
      </c>
      <c r="G45">
        <v>1073</v>
      </c>
      <c r="H45">
        <v>3</v>
      </c>
      <c r="I45" t="s">
        <v>237</v>
      </c>
      <c r="J45" t="s">
        <v>238</v>
      </c>
      <c r="K45" t="s">
        <v>239</v>
      </c>
      <c r="L45">
        <v>1348</v>
      </c>
      <c r="N45">
        <v>1009</v>
      </c>
      <c r="O45" t="s">
        <v>110</v>
      </c>
      <c r="P45" t="s">
        <v>110</v>
      </c>
      <c r="Q45">
        <v>1000</v>
      </c>
      <c r="X45">
        <v>4.0000000000000002E-4</v>
      </c>
      <c r="Y45">
        <v>36216.07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54</v>
      </c>
      <c r="AG45">
        <v>4.0000000000000002E-4</v>
      </c>
      <c r="AH45">
        <v>2</v>
      </c>
      <c r="AI45">
        <v>67204697</v>
      </c>
      <c r="AJ45">
        <v>41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ROW(Source!A35)</f>
        <v>35</v>
      </c>
      <c r="B46">
        <v>67204717</v>
      </c>
      <c r="C46">
        <v>67204687</v>
      </c>
      <c r="D46">
        <v>66209781</v>
      </c>
      <c r="E46">
        <v>1</v>
      </c>
      <c r="F46">
        <v>1</v>
      </c>
      <c r="G46">
        <v>1073</v>
      </c>
      <c r="H46">
        <v>3</v>
      </c>
      <c r="I46" t="s">
        <v>240</v>
      </c>
      <c r="J46" t="s">
        <v>241</v>
      </c>
      <c r="K46" t="s">
        <v>242</v>
      </c>
      <c r="L46">
        <v>1348</v>
      </c>
      <c r="N46">
        <v>1009</v>
      </c>
      <c r="O46" t="s">
        <v>110</v>
      </c>
      <c r="P46" t="s">
        <v>110</v>
      </c>
      <c r="Q46">
        <v>1000</v>
      </c>
      <c r="X46">
        <v>2.9999999999999997E-4</v>
      </c>
      <c r="Y46">
        <v>32960.730000000003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54</v>
      </c>
      <c r="AG46">
        <v>2.9999999999999997E-4</v>
      </c>
      <c r="AH46">
        <v>2</v>
      </c>
      <c r="AI46">
        <v>67204698</v>
      </c>
      <c r="AJ46">
        <v>42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ROW(Source!A35)</f>
        <v>35</v>
      </c>
      <c r="B47">
        <v>67204718</v>
      </c>
      <c r="C47">
        <v>67204687</v>
      </c>
      <c r="D47">
        <v>66209832</v>
      </c>
      <c r="E47">
        <v>1</v>
      </c>
      <c r="F47">
        <v>1</v>
      </c>
      <c r="G47">
        <v>1073</v>
      </c>
      <c r="H47">
        <v>3</v>
      </c>
      <c r="I47" t="s">
        <v>243</v>
      </c>
      <c r="J47" t="s">
        <v>244</v>
      </c>
      <c r="K47" t="s">
        <v>245</v>
      </c>
      <c r="L47">
        <v>1355</v>
      </c>
      <c r="N47">
        <v>1010</v>
      </c>
      <c r="O47" t="s">
        <v>246</v>
      </c>
      <c r="P47" t="s">
        <v>246</v>
      </c>
      <c r="Q47">
        <v>100</v>
      </c>
      <c r="X47">
        <v>6.4942000000000002</v>
      </c>
      <c r="Y47">
        <v>4.6100000000000003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54</v>
      </c>
      <c r="AG47">
        <v>6.4942000000000002</v>
      </c>
      <c r="AH47">
        <v>2</v>
      </c>
      <c r="AI47">
        <v>67204699</v>
      </c>
      <c r="AJ47">
        <v>43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ROW(Source!A35)</f>
        <v>35</v>
      </c>
      <c r="B48">
        <v>67204719</v>
      </c>
      <c r="C48">
        <v>67204687</v>
      </c>
      <c r="D48">
        <v>66210623</v>
      </c>
      <c r="E48">
        <v>1</v>
      </c>
      <c r="F48">
        <v>1</v>
      </c>
      <c r="G48">
        <v>1073</v>
      </c>
      <c r="H48">
        <v>3</v>
      </c>
      <c r="I48" t="s">
        <v>247</v>
      </c>
      <c r="J48" t="s">
        <v>248</v>
      </c>
      <c r="K48" t="s">
        <v>249</v>
      </c>
      <c r="L48">
        <v>1355</v>
      </c>
      <c r="N48">
        <v>1010</v>
      </c>
      <c r="O48" t="s">
        <v>246</v>
      </c>
      <c r="P48" t="s">
        <v>246</v>
      </c>
      <c r="Q48">
        <v>100</v>
      </c>
      <c r="X48">
        <v>1.121</v>
      </c>
      <c r="Y48">
        <v>84.84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54</v>
      </c>
      <c r="AG48">
        <v>1.121</v>
      </c>
      <c r="AH48">
        <v>2</v>
      </c>
      <c r="AI48">
        <v>67204700</v>
      </c>
      <c r="AJ48">
        <v>44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ROW(Source!A35)</f>
        <v>35</v>
      </c>
      <c r="B49">
        <v>67204720</v>
      </c>
      <c r="C49">
        <v>67204687</v>
      </c>
      <c r="D49">
        <v>66210972</v>
      </c>
      <c r="E49">
        <v>1</v>
      </c>
      <c r="F49">
        <v>1</v>
      </c>
      <c r="G49">
        <v>1073</v>
      </c>
      <c r="H49">
        <v>3</v>
      </c>
      <c r="I49" t="s">
        <v>250</v>
      </c>
      <c r="J49" t="s">
        <v>251</v>
      </c>
      <c r="K49" t="s">
        <v>252</v>
      </c>
      <c r="L49">
        <v>1354</v>
      </c>
      <c r="N49">
        <v>1010</v>
      </c>
      <c r="O49" t="s">
        <v>62</v>
      </c>
      <c r="P49" t="s">
        <v>62</v>
      </c>
      <c r="Q49">
        <v>1</v>
      </c>
      <c r="X49">
        <v>10.1533</v>
      </c>
      <c r="Y49">
        <v>497.92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54</v>
      </c>
      <c r="AG49">
        <v>10.1533</v>
      </c>
      <c r="AH49">
        <v>2</v>
      </c>
      <c r="AI49">
        <v>67204701</v>
      </c>
      <c r="AJ49">
        <v>45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ROW(Source!A35)</f>
        <v>35</v>
      </c>
      <c r="B50">
        <v>67204721</v>
      </c>
      <c r="C50">
        <v>67204687</v>
      </c>
      <c r="D50">
        <v>66162948</v>
      </c>
      <c r="E50">
        <v>1073</v>
      </c>
      <c r="F50">
        <v>1</v>
      </c>
      <c r="G50">
        <v>1073</v>
      </c>
      <c r="H50">
        <v>3</v>
      </c>
      <c r="I50" t="s">
        <v>270</v>
      </c>
      <c r="J50" t="s">
        <v>5</v>
      </c>
      <c r="K50" t="s">
        <v>271</v>
      </c>
      <c r="L50">
        <v>1354</v>
      </c>
      <c r="N50">
        <v>1010</v>
      </c>
      <c r="O50" t="s">
        <v>62</v>
      </c>
      <c r="P50" t="s">
        <v>62</v>
      </c>
      <c r="Q50">
        <v>1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 t="s">
        <v>54</v>
      </c>
      <c r="AG50">
        <v>0</v>
      </c>
      <c r="AH50">
        <v>3</v>
      </c>
      <c r="AI50">
        <v>-1</v>
      </c>
      <c r="AJ50" t="s">
        <v>5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ROW(Source!A35)</f>
        <v>35</v>
      </c>
      <c r="B51">
        <v>67204722</v>
      </c>
      <c r="C51">
        <v>67204687</v>
      </c>
      <c r="D51">
        <v>66162968</v>
      </c>
      <c r="E51">
        <v>1073</v>
      </c>
      <c r="F51">
        <v>1</v>
      </c>
      <c r="G51">
        <v>1073</v>
      </c>
      <c r="H51">
        <v>3</v>
      </c>
      <c r="I51" t="s">
        <v>272</v>
      </c>
      <c r="J51" t="s">
        <v>5</v>
      </c>
      <c r="K51" t="s">
        <v>273</v>
      </c>
      <c r="L51">
        <v>1354</v>
      </c>
      <c r="N51">
        <v>1010</v>
      </c>
      <c r="O51" t="s">
        <v>62</v>
      </c>
      <c r="P51" t="s">
        <v>62</v>
      </c>
      <c r="Q51">
        <v>1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54</v>
      </c>
      <c r="AG51">
        <v>0</v>
      </c>
      <c r="AH51">
        <v>3</v>
      </c>
      <c r="AI51">
        <v>-1</v>
      </c>
      <c r="AJ51" t="s">
        <v>5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ROW(Source!A35)</f>
        <v>35</v>
      </c>
      <c r="B52">
        <v>67204723</v>
      </c>
      <c r="C52">
        <v>67204687</v>
      </c>
      <c r="D52">
        <v>66163017</v>
      </c>
      <c r="E52">
        <v>1073</v>
      </c>
      <c r="F52">
        <v>1</v>
      </c>
      <c r="G52">
        <v>1073</v>
      </c>
      <c r="H52">
        <v>3</v>
      </c>
      <c r="I52" t="s">
        <v>274</v>
      </c>
      <c r="J52" t="s">
        <v>5</v>
      </c>
      <c r="K52" t="s">
        <v>275</v>
      </c>
      <c r="L52">
        <v>1354</v>
      </c>
      <c r="N52">
        <v>1010</v>
      </c>
      <c r="O52" t="s">
        <v>62</v>
      </c>
      <c r="P52" t="s">
        <v>62</v>
      </c>
      <c r="Q52">
        <v>1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 t="s">
        <v>54</v>
      </c>
      <c r="AG52">
        <v>0</v>
      </c>
      <c r="AH52">
        <v>3</v>
      </c>
      <c r="AI52">
        <v>-1</v>
      </c>
      <c r="AJ52" t="s">
        <v>5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ROW(Source!A35)</f>
        <v>35</v>
      </c>
      <c r="B53">
        <v>67204724</v>
      </c>
      <c r="C53">
        <v>67204687</v>
      </c>
      <c r="D53">
        <v>66169264</v>
      </c>
      <c r="E53">
        <v>1073</v>
      </c>
      <c r="F53">
        <v>1</v>
      </c>
      <c r="G53">
        <v>1073</v>
      </c>
      <c r="H53">
        <v>3</v>
      </c>
      <c r="I53" t="s">
        <v>276</v>
      </c>
      <c r="J53" t="s">
        <v>5</v>
      </c>
      <c r="K53" t="s">
        <v>277</v>
      </c>
      <c r="L53">
        <v>1327</v>
      </c>
      <c r="N53">
        <v>1005</v>
      </c>
      <c r="O53" t="s">
        <v>42</v>
      </c>
      <c r="P53" t="s">
        <v>42</v>
      </c>
      <c r="Q53">
        <v>1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 t="s">
        <v>54</v>
      </c>
      <c r="AG53">
        <v>0</v>
      </c>
      <c r="AH53">
        <v>3</v>
      </c>
      <c r="AI53">
        <v>-1</v>
      </c>
      <c r="AJ53" t="s">
        <v>5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ROW(Source!A35)</f>
        <v>35</v>
      </c>
      <c r="B54">
        <v>67204725</v>
      </c>
      <c r="C54">
        <v>67204687</v>
      </c>
      <c r="D54">
        <v>66182803</v>
      </c>
      <c r="E54">
        <v>1073</v>
      </c>
      <c r="F54">
        <v>1</v>
      </c>
      <c r="G54">
        <v>1073</v>
      </c>
      <c r="H54">
        <v>3</v>
      </c>
      <c r="I54" t="s">
        <v>223</v>
      </c>
      <c r="J54" t="s">
        <v>5</v>
      </c>
      <c r="K54" t="s">
        <v>224</v>
      </c>
      <c r="L54">
        <v>1344</v>
      </c>
      <c r="N54">
        <v>1008</v>
      </c>
      <c r="O54" t="s">
        <v>210</v>
      </c>
      <c r="P54" t="s">
        <v>210</v>
      </c>
      <c r="Q54">
        <v>1</v>
      </c>
      <c r="X54">
        <v>0.01</v>
      </c>
      <c r="Y54">
        <v>1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54</v>
      </c>
      <c r="AG54">
        <v>0.01</v>
      </c>
      <c r="AH54">
        <v>2</v>
      </c>
      <c r="AI54">
        <v>67204703</v>
      </c>
      <c r="AJ54">
        <v>50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ROW(Source!A35)</f>
        <v>35</v>
      </c>
      <c r="B55">
        <v>67204714</v>
      </c>
      <c r="C55">
        <v>67204687</v>
      </c>
      <c r="D55">
        <v>66182804</v>
      </c>
      <c r="E55">
        <v>1073</v>
      </c>
      <c r="F55">
        <v>1</v>
      </c>
      <c r="G55">
        <v>1073</v>
      </c>
      <c r="H55">
        <v>3</v>
      </c>
      <c r="I55" t="s">
        <v>208</v>
      </c>
      <c r="J55" t="s">
        <v>5</v>
      </c>
      <c r="K55" t="s">
        <v>209</v>
      </c>
      <c r="L55">
        <v>1344</v>
      </c>
      <c r="N55">
        <v>1008</v>
      </c>
      <c r="O55" t="s">
        <v>210</v>
      </c>
      <c r="P55" t="s">
        <v>210</v>
      </c>
      <c r="Q55">
        <v>1</v>
      </c>
      <c r="X55">
        <v>0.02</v>
      </c>
      <c r="Y55">
        <v>0</v>
      </c>
      <c r="Z55">
        <v>1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54</v>
      </c>
      <c r="AG55">
        <v>0.02</v>
      </c>
      <c r="AH55">
        <v>2</v>
      </c>
      <c r="AI55">
        <v>67204695</v>
      </c>
      <c r="AJ55">
        <v>51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ROW(Source!A40)</f>
        <v>40</v>
      </c>
      <c r="B56">
        <v>67204735</v>
      </c>
      <c r="C56">
        <v>67204730</v>
      </c>
      <c r="D56">
        <v>66140260</v>
      </c>
      <c r="E56">
        <v>1073</v>
      </c>
      <c r="F56">
        <v>1</v>
      </c>
      <c r="G56">
        <v>1073</v>
      </c>
      <c r="H56">
        <v>1</v>
      </c>
      <c r="I56" t="s">
        <v>188</v>
      </c>
      <c r="J56" t="s">
        <v>5</v>
      </c>
      <c r="K56" t="s">
        <v>189</v>
      </c>
      <c r="L56">
        <v>1191</v>
      </c>
      <c r="N56">
        <v>1013</v>
      </c>
      <c r="O56" t="s">
        <v>190</v>
      </c>
      <c r="P56" t="s">
        <v>190</v>
      </c>
      <c r="Q56">
        <v>1</v>
      </c>
      <c r="X56">
        <v>101.25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30</v>
      </c>
      <c r="AG56">
        <v>116.43749999999999</v>
      </c>
      <c r="AH56">
        <v>2</v>
      </c>
      <c r="AI56">
        <v>67204731</v>
      </c>
      <c r="AJ56">
        <v>52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ROW(Source!A40)</f>
        <v>40</v>
      </c>
      <c r="B57">
        <v>67204736</v>
      </c>
      <c r="C57">
        <v>67204730</v>
      </c>
      <c r="D57">
        <v>66295663</v>
      </c>
      <c r="E57">
        <v>1</v>
      </c>
      <c r="F57">
        <v>1</v>
      </c>
      <c r="G57">
        <v>1073</v>
      </c>
      <c r="H57">
        <v>2</v>
      </c>
      <c r="I57" t="s">
        <v>253</v>
      </c>
      <c r="J57" t="s">
        <v>254</v>
      </c>
      <c r="K57" t="s">
        <v>255</v>
      </c>
      <c r="L57">
        <v>1368</v>
      </c>
      <c r="N57">
        <v>1011</v>
      </c>
      <c r="O57" t="s">
        <v>194</v>
      </c>
      <c r="P57" t="s">
        <v>194</v>
      </c>
      <c r="Q57">
        <v>1</v>
      </c>
      <c r="X57">
        <v>0.16</v>
      </c>
      <c r="Y57">
        <v>0</v>
      </c>
      <c r="Z57">
        <v>179.17</v>
      </c>
      <c r="AA57">
        <v>16.93</v>
      </c>
      <c r="AB57">
        <v>0</v>
      </c>
      <c r="AC57">
        <v>0</v>
      </c>
      <c r="AD57">
        <v>1</v>
      </c>
      <c r="AE57">
        <v>0</v>
      </c>
      <c r="AF57" t="s">
        <v>29</v>
      </c>
      <c r="AG57">
        <v>0.2</v>
      </c>
      <c r="AH57">
        <v>2</v>
      </c>
      <c r="AI57">
        <v>67204732</v>
      </c>
      <c r="AJ57">
        <v>53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ROW(Source!A40)</f>
        <v>40</v>
      </c>
      <c r="B58">
        <v>67204737</v>
      </c>
      <c r="C58">
        <v>67204730</v>
      </c>
      <c r="D58">
        <v>66295770</v>
      </c>
      <c r="E58">
        <v>1</v>
      </c>
      <c r="F58">
        <v>1</v>
      </c>
      <c r="G58">
        <v>1073</v>
      </c>
      <c r="H58">
        <v>2</v>
      </c>
      <c r="I58" t="s">
        <v>256</v>
      </c>
      <c r="J58" t="s">
        <v>257</v>
      </c>
      <c r="K58" t="s">
        <v>258</v>
      </c>
      <c r="L58">
        <v>1368</v>
      </c>
      <c r="N58">
        <v>1011</v>
      </c>
      <c r="O58" t="s">
        <v>194</v>
      </c>
      <c r="P58" t="s">
        <v>194</v>
      </c>
      <c r="Q58">
        <v>1</v>
      </c>
      <c r="X58">
        <v>0.36</v>
      </c>
      <c r="Y58">
        <v>0</v>
      </c>
      <c r="Z58">
        <v>103.94</v>
      </c>
      <c r="AA58">
        <v>12.62</v>
      </c>
      <c r="AB58">
        <v>0</v>
      </c>
      <c r="AC58">
        <v>0</v>
      </c>
      <c r="AD58">
        <v>1</v>
      </c>
      <c r="AE58">
        <v>0</v>
      </c>
      <c r="AF58" t="s">
        <v>29</v>
      </c>
      <c r="AG58">
        <v>0.44999999999999996</v>
      </c>
      <c r="AH58">
        <v>2</v>
      </c>
      <c r="AI58">
        <v>67204733</v>
      </c>
      <c r="AJ58">
        <v>54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ROW(Source!A42)</f>
        <v>42</v>
      </c>
      <c r="B59">
        <v>67204741</v>
      </c>
      <c r="C59">
        <v>67204739</v>
      </c>
      <c r="D59">
        <v>66182804</v>
      </c>
      <c r="E59">
        <v>1073</v>
      </c>
      <c r="F59">
        <v>1</v>
      </c>
      <c r="G59">
        <v>1073</v>
      </c>
      <c r="H59">
        <v>3</v>
      </c>
      <c r="I59" t="s">
        <v>208</v>
      </c>
      <c r="J59" t="s">
        <v>5</v>
      </c>
      <c r="K59" t="s">
        <v>209</v>
      </c>
      <c r="L59">
        <v>1344</v>
      </c>
      <c r="N59">
        <v>1008</v>
      </c>
      <c r="O59" t="s">
        <v>210</v>
      </c>
      <c r="P59" t="s">
        <v>210</v>
      </c>
      <c r="Q59">
        <v>1</v>
      </c>
      <c r="X59">
        <v>8.86</v>
      </c>
      <c r="Y59">
        <v>0</v>
      </c>
      <c r="Z59">
        <v>1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5</v>
      </c>
      <c r="AG59">
        <v>8.86</v>
      </c>
      <c r="AH59">
        <v>2</v>
      </c>
      <c r="AI59">
        <v>67204740</v>
      </c>
      <c r="AJ59">
        <v>56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ROW(Source!A43)</f>
        <v>43</v>
      </c>
      <c r="B60">
        <v>67204744</v>
      </c>
      <c r="C60">
        <v>67204742</v>
      </c>
      <c r="D60">
        <v>66182804</v>
      </c>
      <c r="E60">
        <v>1073</v>
      </c>
      <c r="F60">
        <v>1</v>
      </c>
      <c r="G60">
        <v>1073</v>
      </c>
      <c r="H60">
        <v>3</v>
      </c>
      <c r="I60" t="s">
        <v>208</v>
      </c>
      <c r="J60" t="s">
        <v>5</v>
      </c>
      <c r="K60" t="s">
        <v>209</v>
      </c>
      <c r="L60">
        <v>1344</v>
      </c>
      <c r="N60">
        <v>1008</v>
      </c>
      <c r="O60" t="s">
        <v>210</v>
      </c>
      <c r="P60" t="s">
        <v>210</v>
      </c>
      <c r="Q60">
        <v>1</v>
      </c>
      <c r="X60">
        <v>36.39</v>
      </c>
      <c r="Y60">
        <v>0</v>
      </c>
      <c r="Z60">
        <v>1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5</v>
      </c>
      <c r="AG60">
        <v>36.39</v>
      </c>
      <c r="AH60">
        <v>2</v>
      </c>
      <c r="AI60">
        <v>67204743</v>
      </c>
      <c r="AJ60">
        <v>57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ROW(Source!A44)</f>
        <v>44</v>
      </c>
      <c r="B61">
        <v>67204747</v>
      </c>
      <c r="C61">
        <v>67204745</v>
      </c>
      <c r="D61">
        <v>66182804</v>
      </c>
      <c r="E61">
        <v>1073</v>
      </c>
      <c r="F61">
        <v>1</v>
      </c>
      <c r="G61">
        <v>1073</v>
      </c>
      <c r="H61">
        <v>3</v>
      </c>
      <c r="I61" t="s">
        <v>208</v>
      </c>
      <c r="J61" t="s">
        <v>5</v>
      </c>
      <c r="K61" t="s">
        <v>209</v>
      </c>
      <c r="L61">
        <v>1344</v>
      </c>
      <c r="N61">
        <v>1008</v>
      </c>
      <c r="O61" t="s">
        <v>210</v>
      </c>
      <c r="P61" t="s">
        <v>210</v>
      </c>
      <c r="Q61">
        <v>1</v>
      </c>
      <c r="X61">
        <v>31.67</v>
      </c>
      <c r="Y61">
        <v>0</v>
      </c>
      <c r="Z61">
        <v>1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5</v>
      </c>
      <c r="AG61">
        <v>31.67</v>
      </c>
      <c r="AH61">
        <v>2</v>
      </c>
      <c r="AI61">
        <v>67204746</v>
      </c>
      <c r="AJ61">
        <v>58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9.140625" defaultRowHeight="12.75" x14ac:dyDescent="0.2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Смета по ТСН-2001(с доп.43</vt:lpstr>
      <vt:lpstr>Source</vt:lpstr>
      <vt:lpstr>SourceObSm</vt:lpstr>
      <vt:lpstr>SmtRes</vt:lpstr>
      <vt:lpstr>EtalonRes</vt:lpstr>
      <vt:lpstr>SrcKA</vt:lpstr>
      <vt:lpstr>'Смета по ТСН-2001(с доп.43'!Заголовки_для_печати</vt:lpstr>
      <vt:lpstr>'Смета по ТСН-2001(с доп.43'!Область_печати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 И.Н.</dc:creator>
  <cp:lastModifiedBy>RDW</cp:lastModifiedBy>
  <cp:lastPrinted>2024-09-18T14:40:04Z</cp:lastPrinted>
  <dcterms:created xsi:type="dcterms:W3CDTF">2024-09-18T14:39:14Z</dcterms:created>
  <dcterms:modified xsi:type="dcterms:W3CDTF">2024-11-18T09:56:56Z</dcterms:modified>
</cp:coreProperties>
</file>