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22125" windowHeight="8265" activeTab="1"/>
  </bookViews>
  <sheets>
    <sheet name="Смета СН-2012 по гл. 1-5" sheetId="7" r:id="rId1"/>
    <sheet name="Дефектная ведомость" sheetId="8" r:id="rId2"/>
    <sheet name="RV_DATA" sheetId="10" state="hidden" r:id="rId3"/>
    <sheet name="Расчет стоимости ресурсов" sheetId="9" r:id="rId4"/>
    <sheet name="Source" sheetId="1" r:id="rId5"/>
    <sheet name="SourceObSm" sheetId="2" r:id="rId6"/>
    <sheet name="SmtRes" sheetId="3" r:id="rId7"/>
    <sheet name="EtalonRes" sheetId="4" r:id="rId8"/>
    <sheet name="SrcPoprs" sheetId="5" r:id="rId9"/>
    <sheet name="SrcKA" sheetId="6" r:id="rId10"/>
  </sheets>
  <definedNames>
    <definedName name="_xlnm.Print_Titles" localSheetId="1">'Дефектная ведомость'!$19:$19</definedName>
    <definedName name="_xlnm.Print_Titles" localSheetId="3">'Расчет стоимости ресурсов'!$4:$7</definedName>
    <definedName name="_xlnm.Print_Titles" localSheetId="0">'Смета СН-2012 по гл. 1-5'!$30:$30</definedName>
    <definedName name="_xlnm.Print_Area" localSheetId="1">'Дефектная ведомость'!$A$1:$E$55</definedName>
    <definedName name="_xlnm.Print_Area" localSheetId="3">'Расчет стоимости ресурсов'!$A$1:$G$90</definedName>
    <definedName name="_xlnm.Print_Area" localSheetId="0">'Смета СН-2012 по гл. 1-5'!$A$1:$K$196</definedName>
  </definedNames>
  <calcPr calcId="145621"/>
</workbook>
</file>

<file path=xl/calcChain.xml><?xml version="1.0" encoding="utf-8"?>
<calcChain xmlns="http://schemas.openxmlformats.org/spreadsheetml/2006/main">
  <c r="E63" i="9" l="1"/>
  <c r="E86" i="9"/>
  <c r="E61" i="9"/>
  <c r="E65" i="9"/>
  <c r="E69" i="9"/>
  <c r="E75" i="9"/>
  <c r="E79" i="9"/>
  <c r="E82" i="9"/>
  <c r="E70" i="9"/>
  <c r="E64" i="9"/>
  <c r="E74" i="9"/>
  <c r="E88" i="9"/>
  <c r="E56" i="9"/>
  <c r="F55" i="9"/>
  <c r="A53" i="9"/>
  <c r="A52" i="9"/>
  <c r="E42" i="9"/>
  <c r="E45" i="9"/>
  <c r="E28" i="9"/>
  <c r="E43" i="9"/>
  <c r="E48" i="9"/>
  <c r="A10" i="9"/>
  <c r="A9" i="9"/>
  <c r="A8" i="9"/>
  <c r="A3" i="9"/>
  <c r="Z113" i="10"/>
  <c r="S113" i="10"/>
  <c r="P113" i="10"/>
  <c r="N113" i="10"/>
  <c r="K113" i="10"/>
  <c r="E87" i="9" s="1"/>
  <c r="I113" i="10"/>
  <c r="T113" i="10" s="1"/>
  <c r="H113" i="10"/>
  <c r="G113" i="10"/>
  <c r="F113" i="10"/>
  <c r="E113" i="10"/>
  <c r="D113" i="10"/>
  <c r="A113" i="10"/>
  <c r="Z112" i="10"/>
  <c r="T112" i="10"/>
  <c r="S112" i="10"/>
  <c r="P112" i="10"/>
  <c r="N112" i="10"/>
  <c r="K112" i="10"/>
  <c r="I112" i="10"/>
  <c r="H112" i="10"/>
  <c r="G112" i="10"/>
  <c r="F112" i="10"/>
  <c r="E112" i="10"/>
  <c r="D112" i="10"/>
  <c r="A112" i="10"/>
  <c r="Z111" i="10"/>
  <c r="T111" i="10"/>
  <c r="S111" i="10"/>
  <c r="P111" i="10"/>
  <c r="R111" i="10" s="1"/>
  <c r="N111" i="10"/>
  <c r="O111" i="10" s="1"/>
  <c r="G62" i="9" s="1"/>
  <c r="K111" i="10"/>
  <c r="E62" i="9" s="1"/>
  <c r="I111" i="10"/>
  <c r="H111" i="10"/>
  <c r="G111" i="10"/>
  <c r="F111" i="10"/>
  <c r="E111" i="10"/>
  <c r="D111" i="10"/>
  <c r="A111" i="10"/>
  <c r="Z110" i="10"/>
  <c r="S110" i="10"/>
  <c r="P110" i="10"/>
  <c r="N110" i="10"/>
  <c r="K110" i="10"/>
  <c r="I110" i="10"/>
  <c r="H110" i="10"/>
  <c r="G110" i="10"/>
  <c r="F110" i="10"/>
  <c r="E110" i="10"/>
  <c r="D110" i="10"/>
  <c r="A110" i="10"/>
  <c r="Z109" i="10"/>
  <c r="T109" i="10"/>
  <c r="S109" i="10"/>
  <c r="P109" i="10"/>
  <c r="N109" i="10"/>
  <c r="K109" i="10"/>
  <c r="E77" i="9" s="1"/>
  <c r="I109" i="10"/>
  <c r="H109" i="10"/>
  <c r="G109" i="10"/>
  <c r="F109" i="10"/>
  <c r="E109" i="10"/>
  <c r="D109" i="10"/>
  <c r="A109" i="10"/>
  <c r="Z108" i="10"/>
  <c r="T108" i="10"/>
  <c r="Q108" i="10"/>
  <c r="R108" i="10" s="1"/>
  <c r="S108" i="10"/>
  <c r="P108" i="10"/>
  <c r="O108" i="10"/>
  <c r="G61" i="9" s="1"/>
  <c r="M108" i="10"/>
  <c r="F61" i="9" s="1"/>
  <c r="L108" i="10"/>
  <c r="N108" i="10"/>
  <c r="K108" i="10"/>
  <c r="J108" i="10"/>
  <c r="I108" i="10"/>
  <c r="D61" i="9" s="1"/>
  <c r="H108" i="10"/>
  <c r="G108" i="10"/>
  <c r="F108" i="10"/>
  <c r="E108" i="10"/>
  <c r="Z107" i="10"/>
  <c r="R107" i="10"/>
  <c r="Q107" i="10"/>
  <c r="T107" i="10" s="1"/>
  <c r="S107" i="10"/>
  <c r="P107" i="10"/>
  <c r="L107" i="10"/>
  <c r="N107" i="10"/>
  <c r="K107" i="10"/>
  <c r="J107" i="10"/>
  <c r="I107" i="10"/>
  <c r="H107" i="10"/>
  <c r="G107" i="10"/>
  <c r="F107" i="10"/>
  <c r="E107" i="10"/>
  <c r="Z106" i="10"/>
  <c r="T106" i="10"/>
  <c r="R106" i="10"/>
  <c r="Q106" i="10"/>
  <c r="S106" i="10"/>
  <c r="P106" i="10"/>
  <c r="O106" i="10"/>
  <c r="M106" i="10"/>
  <c r="L106" i="10"/>
  <c r="N106" i="10"/>
  <c r="K106" i="10"/>
  <c r="J106" i="10"/>
  <c r="I106" i="10"/>
  <c r="H106" i="10"/>
  <c r="G106" i="10"/>
  <c r="F106" i="10"/>
  <c r="E106" i="10"/>
  <c r="Z105" i="10"/>
  <c r="Q105" i="10"/>
  <c r="T105" i="10" s="1"/>
  <c r="S105" i="10"/>
  <c r="P105" i="10"/>
  <c r="O105" i="10"/>
  <c r="G56" i="9" s="1"/>
  <c r="L105" i="10"/>
  <c r="M105" i="10" s="1"/>
  <c r="F56" i="9" s="1"/>
  <c r="N105" i="10"/>
  <c r="K105" i="10"/>
  <c r="J105" i="10"/>
  <c r="I105" i="10"/>
  <c r="D56" i="9" s="1"/>
  <c r="H105" i="10"/>
  <c r="G105" i="10"/>
  <c r="F105" i="10"/>
  <c r="E105" i="10"/>
  <c r="Z104" i="10"/>
  <c r="Q104" i="10"/>
  <c r="T104" i="10" s="1"/>
  <c r="S104" i="10"/>
  <c r="P104" i="10"/>
  <c r="M104" i="10"/>
  <c r="L104" i="10"/>
  <c r="O104" i="10" s="1"/>
  <c r="N104" i="10"/>
  <c r="K104" i="10"/>
  <c r="J104" i="10"/>
  <c r="I104" i="10"/>
  <c r="H104" i="10"/>
  <c r="G104" i="10"/>
  <c r="F104" i="10"/>
  <c r="E104" i="10"/>
  <c r="Z103" i="10"/>
  <c r="T103" i="10"/>
  <c r="R103" i="10"/>
  <c r="Q103" i="10"/>
  <c r="S103" i="10"/>
  <c r="P103" i="10"/>
  <c r="O103" i="10"/>
  <c r="M103" i="10"/>
  <c r="L103" i="10"/>
  <c r="N103" i="10"/>
  <c r="K103" i="10"/>
  <c r="J103" i="10"/>
  <c r="I103" i="10"/>
  <c r="H103" i="10"/>
  <c r="G103" i="10"/>
  <c r="F103" i="10"/>
  <c r="E103" i="10"/>
  <c r="Z102" i="10"/>
  <c r="Q102" i="10"/>
  <c r="S102" i="10"/>
  <c r="P102" i="10"/>
  <c r="L102" i="10"/>
  <c r="O102" i="10" s="1"/>
  <c r="G67" i="9" s="1"/>
  <c r="N102" i="10"/>
  <c r="K102" i="10"/>
  <c r="E67" i="9" s="1"/>
  <c r="J102" i="10"/>
  <c r="I102" i="10"/>
  <c r="D67" i="9" s="1"/>
  <c r="H102" i="10"/>
  <c r="G102" i="10"/>
  <c r="F102" i="10"/>
  <c r="E102" i="10"/>
  <c r="Z101" i="10"/>
  <c r="T101" i="10"/>
  <c r="R101" i="10"/>
  <c r="Q101" i="10"/>
  <c r="S101" i="10"/>
  <c r="P101" i="10"/>
  <c r="L101" i="10"/>
  <c r="O101" i="10" s="1"/>
  <c r="G71" i="9" s="1"/>
  <c r="N101" i="10"/>
  <c r="K101" i="10"/>
  <c r="E71" i="9" s="1"/>
  <c r="J101" i="10"/>
  <c r="I101" i="10"/>
  <c r="D71" i="9" s="1"/>
  <c r="H101" i="10"/>
  <c r="G101" i="10"/>
  <c r="F101" i="10"/>
  <c r="E101" i="10"/>
  <c r="Z100" i="10"/>
  <c r="T100" i="10"/>
  <c r="Q100" i="10"/>
  <c r="R100" i="10" s="1"/>
  <c r="S100" i="10"/>
  <c r="P100" i="10"/>
  <c r="O100" i="10"/>
  <c r="M100" i="10"/>
  <c r="L100" i="10"/>
  <c r="N100" i="10"/>
  <c r="K100" i="10"/>
  <c r="J100" i="10"/>
  <c r="I100" i="10"/>
  <c r="H100" i="10"/>
  <c r="G100" i="10"/>
  <c r="F100" i="10"/>
  <c r="E100" i="10"/>
  <c r="Z99" i="10"/>
  <c r="R99" i="10"/>
  <c r="Q99" i="10"/>
  <c r="T99" i="10" s="1"/>
  <c r="S99" i="10"/>
  <c r="P99" i="10"/>
  <c r="L99" i="10"/>
  <c r="N99" i="10"/>
  <c r="K99" i="10"/>
  <c r="J99" i="10"/>
  <c r="I99" i="10"/>
  <c r="H99" i="10"/>
  <c r="G99" i="10"/>
  <c r="F99" i="10"/>
  <c r="E99" i="10"/>
  <c r="Z98" i="10"/>
  <c r="T98" i="10"/>
  <c r="R98" i="10"/>
  <c r="Q98" i="10"/>
  <c r="S98" i="10"/>
  <c r="P98" i="10"/>
  <c r="O98" i="10"/>
  <c r="M98" i="10"/>
  <c r="L98" i="10"/>
  <c r="N98" i="10"/>
  <c r="K98" i="10"/>
  <c r="J98" i="10"/>
  <c r="I98" i="10"/>
  <c r="H98" i="10"/>
  <c r="G98" i="10"/>
  <c r="F98" i="10"/>
  <c r="E98" i="10"/>
  <c r="Z97" i="10"/>
  <c r="Q97" i="10"/>
  <c r="T97" i="10" s="1"/>
  <c r="S97" i="10"/>
  <c r="P97" i="10"/>
  <c r="O97" i="10"/>
  <c r="L97" i="10"/>
  <c r="M97" i="10" s="1"/>
  <c r="N97" i="10"/>
  <c r="K97" i="10"/>
  <c r="J97" i="10"/>
  <c r="I97" i="10"/>
  <c r="H97" i="10"/>
  <c r="G97" i="10"/>
  <c r="F97" i="10"/>
  <c r="E97" i="10"/>
  <c r="Z96" i="10"/>
  <c r="R96" i="10"/>
  <c r="Q96" i="10"/>
  <c r="T96" i="10" s="1"/>
  <c r="S96" i="10"/>
  <c r="P96" i="10"/>
  <c r="M96" i="10"/>
  <c r="F85" i="9" s="1"/>
  <c r="L96" i="10"/>
  <c r="O96" i="10" s="1"/>
  <c r="G85" i="9" s="1"/>
  <c r="N96" i="10"/>
  <c r="K96" i="10"/>
  <c r="E85" i="9" s="1"/>
  <c r="J96" i="10"/>
  <c r="I96" i="10"/>
  <c r="D85" i="9" s="1"/>
  <c r="H96" i="10"/>
  <c r="G96" i="10"/>
  <c r="F96" i="10"/>
  <c r="E96" i="10"/>
  <c r="Z95" i="10"/>
  <c r="T95" i="10"/>
  <c r="R95" i="10"/>
  <c r="Q95" i="10"/>
  <c r="S95" i="10"/>
  <c r="P95" i="10"/>
  <c r="O95" i="10"/>
  <c r="G55" i="9" s="1"/>
  <c r="M95" i="10"/>
  <c r="L95" i="10"/>
  <c r="N95" i="10"/>
  <c r="K95" i="10"/>
  <c r="E55" i="9" s="1"/>
  <c r="J95" i="10"/>
  <c r="I95" i="10"/>
  <c r="D55" i="9" s="1"/>
  <c r="H95" i="10"/>
  <c r="G95" i="10"/>
  <c r="F95" i="10"/>
  <c r="E95" i="10"/>
  <c r="Z94" i="10"/>
  <c r="Q94" i="10"/>
  <c r="S94" i="10"/>
  <c r="P94" i="10"/>
  <c r="L94" i="10"/>
  <c r="O94" i="10" s="1"/>
  <c r="G65" i="9" s="1"/>
  <c r="N94" i="10"/>
  <c r="K94" i="10"/>
  <c r="J94" i="10"/>
  <c r="I94" i="10"/>
  <c r="D65" i="9" s="1"/>
  <c r="H94" i="10"/>
  <c r="G94" i="10"/>
  <c r="F94" i="10"/>
  <c r="E94" i="10"/>
  <c r="Z93" i="10"/>
  <c r="T93" i="10"/>
  <c r="R93" i="10"/>
  <c r="Q93" i="10"/>
  <c r="S93" i="10"/>
  <c r="P93" i="10"/>
  <c r="M93" i="10"/>
  <c r="F66" i="9" s="1"/>
  <c r="L93" i="10"/>
  <c r="O93" i="10" s="1"/>
  <c r="G66" i="9" s="1"/>
  <c r="N93" i="10"/>
  <c r="K93" i="10"/>
  <c r="E66" i="9" s="1"/>
  <c r="J93" i="10"/>
  <c r="I93" i="10"/>
  <c r="D66" i="9" s="1"/>
  <c r="H93" i="10"/>
  <c r="G93" i="10"/>
  <c r="F93" i="10"/>
  <c r="E93" i="10"/>
  <c r="Z92" i="10"/>
  <c r="T92" i="10"/>
  <c r="Q92" i="10"/>
  <c r="R92" i="10" s="1"/>
  <c r="S92" i="10"/>
  <c r="P92" i="10"/>
  <c r="O92" i="10"/>
  <c r="G69" i="9" s="1"/>
  <c r="M92" i="10"/>
  <c r="F69" i="9" s="1"/>
  <c r="L92" i="10"/>
  <c r="N92" i="10"/>
  <c r="K92" i="10"/>
  <c r="J92" i="10"/>
  <c r="I92" i="10"/>
  <c r="D69" i="9" s="1"/>
  <c r="H92" i="10"/>
  <c r="G92" i="10"/>
  <c r="F92" i="10"/>
  <c r="E92" i="10"/>
  <c r="Z91" i="10"/>
  <c r="R91" i="10"/>
  <c r="Q91" i="10"/>
  <c r="T91" i="10" s="1"/>
  <c r="S91" i="10"/>
  <c r="P91" i="10"/>
  <c r="L91" i="10"/>
  <c r="N91" i="10"/>
  <c r="K91" i="10"/>
  <c r="E73" i="9" s="1"/>
  <c r="J91" i="10"/>
  <c r="I91" i="10"/>
  <c r="D73" i="9" s="1"/>
  <c r="H91" i="10"/>
  <c r="G91" i="10"/>
  <c r="F91" i="10"/>
  <c r="E91" i="10"/>
  <c r="Z90" i="10"/>
  <c r="T90" i="10"/>
  <c r="R90" i="10"/>
  <c r="Q90" i="10"/>
  <c r="S90" i="10"/>
  <c r="P90" i="10"/>
  <c r="O90" i="10"/>
  <c r="M90" i="10"/>
  <c r="L90" i="10"/>
  <c r="N90" i="10"/>
  <c r="K90" i="10"/>
  <c r="J90" i="10"/>
  <c r="I90" i="10"/>
  <c r="D75" i="9" s="1"/>
  <c r="H90" i="10"/>
  <c r="G90" i="10"/>
  <c r="F90" i="10"/>
  <c r="E90" i="10"/>
  <c r="Z89" i="10"/>
  <c r="Q89" i="10"/>
  <c r="T89" i="10" s="1"/>
  <c r="S89" i="10"/>
  <c r="P89" i="10"/>
  <c r="O89" i="10"/>
  <c r="G76" i="9" s="1"/>
  <c r="L89" i="10"/>
  <c r="M89" i="10" s="1"/>
  <c r="F76" i="9" s="1"/>
  <c r="N89" i="10"/>
  <c r="K89" i="10"/>
  <c r="E76" i="9" s="1"/>
  <c r="J89" i="10"/>
  <c r="I89" i="10"/>
  <c r="D76" i="9" s="1"/>
  <c r="H89" i="10"/>
  <c r="G89" i="10"/>
  <c r="F89" i="10"/>
  <c r="E89" i="10"/>
  <c r="Z88" i="10"/>
  <c r="R88" i="10"/>
  <c r="Q88" i="10"/>
  <c r="T88" i="10" s="1"/>
  <c r="S88" i="10"/>
  <c r="P88" i="10"/>
  <c r="M88" i="10"/>
  <c r="F79" i="9" s="1"/>
  <c r="L88" i="10"/>
  <c r="O88" i="10" s="1"/>
  <c r="G79" i="9" s="1"/>
  <c r="N88" i="10"/>
  <c r="K88" i="10"/>
  <c r="J88" i="10"/>
  <c r="I88" i="10"/>
  <c r="D79" i="9" s="1"/>
  <c r="H88" i="10"/>
  <c r="G88" i="10"/>
  <c r="F88" i="10"/>
  <c r="E88" i="10"/>
  <c r="Z87" i="10"/>
  <c r="T87" i="10"/>
  <c r="R87" i="10"/>
  <c r="Q87" i="10"/>
  <c r="S87" i="10"/>
  <c r="P87" i="10"/>
  <c r="O87" i="10"/>
  <c r="G81" i="9" s="1"/>
  <c r="M87" i="10"/>
  <c r="L87" i="10"/>
  <c r="N87" i="10"/>
  <c r="K87" i="10"/>
  <c r="E81" i="9" s="1"/>
  <c r="J87" i="10"/>
  <c r="I87" i="10"/>
  <c r="D81" i="9" s="1"/>
  <c r="H87" i="10"/>
  <c r="G87" i="10"/>
  <c r="F87" i="10"/>
  <c r="E87" i="10"/>
  <c r="Z86" i="10"/>
  <c r="Q86" i="10"/>
  <c r="S86" i="10"/>
  <c r="P86" i="10"/>
  <c r="L86" i="10"/>
  <c r="O86" i="10" s="1"/>
  <c r="G82" i="9" s="1"/>
  <c r="N86" i="10"/>
  <c r="K86" i="10"/>
  <c r="J86" i="10"/>
  <c r="I86" i="10"/>
  <c r="D82" i="9" s="1"/>
  <c r="H86" i="10"/>
  <c r="G86" i="10"/>
  <c r="F86" i="10"/>
  <c r="E86" i="10"/>
  <c r="Z85" i="10"/>
  <c r="T85" i="10"/>
  <c r="R85" i="10"/>
  <c r="Q85" i="10"/>
  <c r="S85" i="10"/>
  <c r="P85" i="10"/>
  <c r="M85" i="10"/>
  <c r="F83" i="9" s="1"/>
  <c r="L85" i="10"/>
  <c r="O85" i="10" s="1"/>
  <c r="G83" i="9" s="1"/>
  <c r="N85" i="10"/>
  <c r="K85" i="10"/>
  <c r="E83" i="9" s="1"/>
  <c r="J85" i="10"/>
  <c r="I85" i="10"/>
  <c r="D83" i="9" s="1"/>
  <c r="H85" i="10"/>
  <c r="G85" i="10"/>
  <c r="F85" i="10"/>
  <c r="E85" i="10"/>
  <c r="Z84" i="10"/>
  <c r="S84" i="10"/>
  <c r="P84" i="10"/>
  <c r="N84" i="10"/>
  <c r="K84" i="10"/>
  <c r="I84" i="10"/>
  <c r="H84" i="10"/>
  <c r="G84" i="10"/>
  <c r="F84" i="10"/>
  <c r="E84" i="10"/>
  <c r="D84" i="10"/>
  <c r="A84" i="10"/>
  <c r="Z83" i="10"/>
  <c r="T83" i="10"/>
  <c r="Q83" i="10"/>
  <c r="R83" i="10" s="1"/>
  <c r="S83" i="10"/>
  <c r="P83" i="10"/>
  <c r="O83" i="10"/>
  <c r="M83" i="10"/>
  <c r="L83" i="10"/>
  <c r="N83" i="10"/>
  <c r="K83" i="10"/>
  <c r="J83" i="10"/>
  <c r="I83" i="10"/>
  <c r="H83" i="10"/>
  <c r="G83" i="10"/>
  <c r="F83" i="10"/>
  <c r="E83" i="10"/>
  <c r="Z82" i="10"/>
  <c r="R82" i="10"/>
  <c r="Q82" i="10"/>
  <c r="T82" i="10" s="1"/>
  <c r="S82" i="10"/>
  <c r="P82" i="10"/>
  <c r="L82" i="10"/>
  <c r="N82" i="10"/>
  <c r="K82" i="10"/>
  <c r="J82" i="10"/>
  <c r="I82" i="10"/>
  <c r="H82" i="10"/>
  <c r="G82" i="10"/>
  <c r="F82" i="10"/>
  <c r="E82" i="10"/>
  <c r="Z81" i="10"/>
  <c r="T81" i="10"/>
  <c r="R81" i="10"/>
  <c r="Q81" i="10"/>
  <c r="S81" i="10"/>
  <c r="P81" i="10"/>
  <c r="O81" i="10"/>
  <c r="M81" i="10"/>
  <c r="L81" i="10"/>
  <c r="N81" i="10"/>
  <c r="K81" i="10"/>
  <c r="J81" i="10"/>
  <c r="I81" i="10"/>
  <c r="H81" i="10"/>
  <c r="G81" i="10"/>
  <c r="F81" i="10"/>
  <c r="E81" i="10"/>
  <c r="Z80" i="10"/>
  <c r="Q80" i="10"/>
  <c r="T80" i="10" s="1"/>
  <c r="S80" i="10"/>
  <c r="P80" i="10"/>
  <c r="O80" i="10"/>
  <c r="L80" i="10"/>
  <c r="M80" i="10" s="1"/>
  <c r="N80" i="10"/>
  <c r="K80" i="10"/>
  <c r="J80" i="10"/>
  <c r="I80" i="10"/>
  <c r="H80" i="10"/>
  <c r="G80" i="10"/>
  <c r="F80" i="10"/>
  <c r="E80" i="10"/>
  <c r="Z79" i="10"/>
  <c r="R79" i="10"/>
  <c r="Q79" i="10"/>
  <c r="T79" i="10" s="1"/>
  <c r="S79" i="10"/>
  <c r="P79" i="10"/>
  <c r="M79" i="10"/>
  <c r="L79" i="10"/>
  <c r="O79" i="10" s="1"/>
  <c r="N79" i="10"/>
  <c r="K79" i="10"/>
  <c r="J79" i="10"/>
  <c r="I79" i="10"/>
  <c r="H79" i="10"/>
  <c r="G79" i="10"/>
  <c r="F79" i="10"/>
  <c r="E79" i="10"/>
  <c r="Z78" i="10"/>
  <c r="T78" i="10"/>
  <c r="R78" i="10"/>
  <c r="Q78" i="10"/>
  <c r="S78" i="10"/>
  <c r="P78" i="10"/>
  <c r="O78" i="10"/>
  <c r="M78" i="10"/>
  <c r="L78" i="10"/>
  <c r="N78" i="10"/>
  <c r="K78" i="10"/>
  <c r="J78" i="10"/>
  <c r="I78" i="10"/>
  <c r="H78" i="10"/>
  <c r="G78" i="10"/>
  <c r="F78" i="10"/>
  <c r="E78" i="10"/>
  <c r="Z77" i="10"/>
  <c r="Q77" i="10"/>
  <c r="S77" i="10"/>
  <c r="P77" i="10"/>
  <c r="L77" i="10"/>
  <c r="O77" i="10" s="1"/>
  <c r="N77" i="10"/>
  <c r="K77" i="10"/>
  <c r="J77" i="10"/>
  <c r="I77" i="10"/>
  <c r="H77" i="10"/>
  <c r="G77" i="10"/>
  <c r="F77" i="10"/>
  <c r="E77" i="10"/>
  <c r="Z76" i="10"/>
  <c r="S76" i="10"/>
  <c r="T76" i="10" s="1"/>
  <c r="P76" i="10"/>
  <c r="R76" i="10" s="1"/>
  <c r="O76" i="10"/>
  <c r="G68" i="9" s="1"/>
  <c r="N76" i="10"/>
  <c r="M76" i="10"/>
  <c r="F68" i="9" s="1"/>
  <c r="K76" i="10"/>
  <c r="E68" i="9" s="1"/>
  <c r="I76" i="10"/>
  <c r="D68" i="9" s="1"/>
  <c r="H76" i="10"/>
  <c r="G76" i="10"/>
  <c r="F76" i="10"/>
  <c r="E76" i="10"/>
  <c r="D76" i="10"/>
  <c r="A76" i="10"/>
  <c r="Z75" i="10"/>
  <c r="T75" i="10"/>
  <c r="R75" i="10"/>
  <c r="Q75" i="10"/>
  <c r="S75" i="10"/>
  <c r="P75" i="10"/>
  <c r="M75" i="10"/>
  <c r="L75" i="10"/>
  <c r="O75" i="10" s="1"/>
  <c r="N75" i="10"/>
  <c r="K75" i="10"/>
  <c r="J75" i="10"/>
  <c r="I75" i="10"/>
  <c r="H75" i="10"/>
  <c r="G75" i="10"/>
  <c r="F75" i="10"/>
  <c r="E75" i="10"/>
  <c r="Z74" i="10"/>
  <c r="T74" i="10"/>
  <c r="Q74" i="10"/>
  <c r="R74" i="10" s="1"/>
  <c r="S74" i="10"/>
  <c r="P74" i="10"/>
  <c r="O74" i="10"/>
  <c r="M74" i="10"/>
  <c r="L74" i="10"/>
  <c r="N74" i="10"/>
  <c r="K74" i="10"/>
  <c r="J74" i="10"/>
  <c r="I74" i="10"/>
  <c r="D64" i="9" s="1"/>
  <c r="H74" i="10"/>
  <c r="G74" i="10"/>
  <c r="F74" i="10"/>
  <c r="E74" i="10"/>
  <c r="Z73" i="10"/>
  <c r="R73" i="10"/>
  <c r="Q73" i="10"/>
  <c r="T73" i="10" s="1"/>
  <c r="S73" i="10"/>
  <c r="P73" i="10"/>
  <c r="L73" i="10"/>
  <c r="N73" i="10"/>
  <c r="K73" i="10"/>
  <c r="E72" i="9" s="1"/>
  <c r="J73" i="10"/>
  <c r="I73" i="10"/>
  <c r="D72" i="9" s="1"/>
  <c r="H73" i="10"/>
  <c r="G73" i="10"/>
  <c r="F73" i="10"/>
  <c r="E73" i="10"/>
  <c r="Z72" i="10"/>
  <c r="T72" i="10"/>
  <c r="R72" i="10"/>
  <c r="Q72" i="10"/>
  <c r="S72" i="10"/>
  <c r="P72" i="10"/>
  <c r="O72" i="10"/>
  <c r="M72" i="10"/>
  <c r="L72" i="10"/>
  <c r="N72" i="10"/>
  <c r="K72" i="10"/>
  <c r="J72" i="10"/>
  <c r="I72" i="10"/>
  <c r="D74" i="9" s="1"/>
  <c r="H72" i="10"/>
  <c r="G72" i="10"/>
  <c r="F72" i="10"/>
  <c r="E72" i="10"/>
  <c r="Z71" i="10"/>
  <c r="Q71" i="10"/>
  <c r="T71" i="10" s="1"/>
  <c r="S71" i="10"/>
  <c r="P71" i="10"/>
  <c r="O71" i="10"/>
  <c r="L71" i="10"/>
  <c r="M71" i="10" s="1"/>
  <c r="N71" i="10"/>
  <c r="K71" i="10"/>
  <c r="J71" i="10"/>
  <c r="I71" i="10"/>
  <c r="H71" i="10"/>
  <c r="G71" i="10"/>
  <c r="F71" i="10"/>
  <c r="E71" i="10"/>
  <c r="Z70" i="10"/>
  <c r="R70" i="10"/>
  <c r="Q70" i="10"/>
  <c r="T70" i="10" s="1"/>
  <c r="S70" i="10"/>
  <c r="P70" i="10"/>
  <c r="M70" i="10"/>
  <c r="L70" i="10"/>
  <c r="O70" i="10" s="1"/>
  <c r="N70" i="10"/>
  <c r="K70" i="10"/>
  <c r="J70" i="10"/>
  <c r="I70" i="10"/>
  <c r="H70" i="10"/>
  <c r="G70" i="10"/>
  <c r="F70" i="10"/>
  <c r="E70" i="10"/>
  <c r="Z69" i="10"/>
  <c r="T69" i="10"/>
  <c r="R69" i="10"/>
  <c r="Q69" i="10"/>
  <c r="S69" i="10"/>
  <c r="P69" i="10"/>
  <c r="O69" i="10"/>
  <c r="G84" i="9" s="1"/>
  <c r="M69" i="10"/>
  <c r="L69" i="10"/>
  <c r="N69" i="10"/>
  <c r="K69" i="10"/>
  <c r="E84" i="9" s="1"/>
  <c r="J69" i="10"/>
  <c r="I69" i="10"/>
  <c r="D84" i="9" s="1"/>
  <c r="H69" i="10"/>
  <c r="G69" i="10"/>
  <c r="F69" i="10"/>
  <c r="E69" i="10"/>
  <c r="Z68" i="10"/>
  <c r="Q68" i="10"/>
  <c r="S68" i="10"/>
  <c r="P68" i="10"/>
  <c r="L68" i="10"/>
  <c r="O68" i="10" s="1"/>
  <c r="G58" i="9" s="1"/>
  <c r="N68" i="10"/>
  <c r="K68" i="10"/>
  <c r="E58" i="9" s="1"/>
  <c r="J68" i="10"/>
  <c r="I68" i="10"/>
  <c r="D58" i="9" s="1"/>
  <c r="H68" i="10"/>
  <c r="G68" i="10"/>
  <c r="F68" i="10"/>
  <c r="E68" i="10"/>
  <c r="Z67" i="10"/>
  <c r="T67" i="10"/>
  <c r="R67" i="10"/>
  <c r="Q67" i="10"/>
  <c r="S67" i="10"/>
  <c r="P67" i="10"/>
  <c r="L67" i="10"/>
  <c r="O67" i="10" s="1"/>
  <c r="N67" i="10"/>
  <c r="K67" i="10"/>
  <c r="E78" i="9" s="1"/>
  <c r="J67" i="10"/>
  <c r="I67" i="10"/>
  <c r="D78" i="9" s="1"/>
  <c r="H67" i="10"/>
  <c r="G67" i="10"/>
  <c r="F67" i="10"/>
  <c r="E67" i="10"/>
  <c r="Z66" i="10"/>
  <c r="Q66" i="10"/>
  <c r="R66" i="10" s="1"/>
  <c r="S66" i="10"/>
  <c r="P66" i="10"/>
  <c r="O66" i="10"/>
  <c r="M66" i="10"/>
  <c r="L66" i="10"/>
  <c r="N66" i="10"/>
  <c r="K66" i="10"/>
  <c r="E80" i="9" s="1"/>
  <c r="J66" i="10"/>
  <c r="I66" i="10"/>
  <c r="D80" i="9" s="1"/>
  <c r="H66" i="10"/>
  <c r="G66" i="10"/>
  <c r="F66" i="10"/>
  <c r="E66" i="10"/>
  <c r="Z65" i="10"/>
  <c r="R65" i="10"/>
  <c r="Q65" i="10"/>
  <c r="T65" i="10" s="1"/>
  <c r="S65" i="10"/>
  <c r="P65" i="10"/>
  <c r="L65" i="10"/>
  <c r="M65" i="10" s="1"/>
  <c r="F57" i="9" s="1"/>
  <c r="N65" i="10"/>
  <c r="K65" i="10"/>
  <c r="E57" i="9" s="1"/>
  <c r="J65" i="10"/>
  <c r="I65" i="10"/>
  <c r="D57" i="9" s="1"/>
  <c r="H65" i="10"/>
  <c r="G65" i="10"/>
  <c r="F65" i="10"/>
  <c r="E65" i="10"/>
  <c r="Z64" i="10"/>
  <c r="T64" i="10"/>
  <c r="R64" i="10"/>
  <c r="Q64" i="10"/>
  <c r="S64" i="10"/>
  <c r="P64" i="10"/>
  <c r="O64" i="10"/>
  <c r="G88" i="9" s="1"/>
  <c r="M64" i="10"/>
  <c r="F88" i="9" s="1"/>
  <c r="L64" i="10"/>
  <c r="N64" i="10"/>
  <c r="K64" i="10"/>
  <c r="J64" i="10"/>
  <c r="I64" i="10"/>
  <c r="D88" i="9" s="1"/>
  <c r="H64" i="10"/>
  <c r="G64" i="10"/>
  <c r="F64" i="10"/>
  <c r="E64" i="10"/>
  <c r="G63" i="10"/>
  <c r="A63" i="10"/>
  <c r="G62" i="10"/>
  <c r="A62" i="10"/>
  <c r="Z61" i="10"/>
  <c r="S61" i="10"/>
  <c r="T61" i="10" s="1"/>
  <c r="P61" i="10"/>
  <c r="R61" i="10" s="1"/>
  <c r="O61" i="10"/>
  <c r="G37" i="9" s="1"/>
  <c r="N61" i="10"/>
  <c r="K61" i="10"/>
  <c r="E37" i="9" s="1"/>
  <c r="I61" i="10"/>
  <c r="D37" i="9" s="1"/>
  <c r="H61" i="10"/>
  <c r="G61" i="10"/>
  <c r="F61" i="10"/>
  <c r="E61" i="10"/>
  <c r="D61" i="10"/>
  <c r="A61" i="10"/>
  <c r="Z60" i="10"/>
  <c r="T60" i="10"/>
  <c r="R60" i="10"/>
  <c r="Q60" i="10"/>
  <c r="S60" i="10"/>
  <c r="P60" i="10"/>
  <c r="L60" i="10"/>
  <c r="O60" i="10" s="1"/>
  <c r="G32" i="9" s="1"/>
  <c r="N60" i="10"/>
  <c r="K60" i="10"/>
  <c r="E32" i="9" s="1"/>
  <c r="J60" i="10"/>
  <c r="I60" i="10"/>
  <c r="D32" i="9" s="1"/>
  <c r="H60" i="10"/>
  <c r="G60" i="10"/>
  <c r="F60" i="10"/>
  <c r="E60" i="10"/>
  <c r="Z59" i="10"/>
  <c r="T59" i="10"/>
  <c r="Q59" i="10"/>
  <c r="R59" i="10" s="1"/>
  <c r="S59" i="10"/>
  <c r="P59" i="10"/>
  <c r="O59" i="10"/>
  <c r="G42" i="9" s="1"/>
  <c r="M59" i="10"/>
  <c r="F42" i="9" s="1"/>
  <c r="L59" i="10"/>
  <c r="N59" i="10"/>
  <c r="K59" i="10"/>
  <c r="J59" i="10"/>
  <c r="I59" i="10"/>
  <c r="D42" i="9" s="1"/>
  <c r="H59" i="10"/>
  <c r="G59" i="10"/>
  <c r="F59" i="10"/>
  <c r="E59" i="10"/>
  <c r="Z58" i="10"/>
  <c r="R58" i="10"/>
  <c r="Q58" i="10"/>
  <c r="T58" i="10" s="1"/>
  <c r="S58" i="10"/>
  <c r="P58" i="10"/>
  <c r="L58" i="10"/>
  <c r="O58" i="10" s="1"/>
  <c r="G44" i="9" s="1"/>
  <c r="N58" i="10"/>
  <c r="K58" i="10"/>
  <c r="E44" i="9" s="1"/>
  <c r="J58" i="10"/>
  <c r="I58" i="10"/>
  <c r="D44" i="9" s="1"/>
  <c r="H58" i="10"/>
  <c r="G58" i="10"/>
  <c r="F58" i="10"/>
  <c r="E58" i="10"/>
  <c r="Z57" i="10"/>
  <c r="S57" i="10"/>
  <c r="P57" i="10"/>
  <c r="N57" i="10"/>
  <c r="O57" i="10" s="1"/>
  <c r="G45" i="9" s="1"/>
  <c r="K57" i="10"/>
  <c r="I57" i="10"/>
  <c r="D45" i="9" s="1"/>
  <c r="H57" i="10"/>
  <c r="G57" i="10"/>
  <c r="F57" i="10"/>
  <c r="E57" i="10"/>
  <c r="D57" i="10"/>
  <c r="A57" i="10"/>
  <c r="Z56" i="10"/>
  <c r="T56" i="10"/>
  <c r="S56" i="10"/>
  <c r="P56" i="10"/>
  <c r="N56" i="10"/>
  <c r="K56" i="10"/>
  <c r="E46" i="9" s="1"/>
  <c r="I56" i="10"/>
  <c r="D46" i="9" s="1"/>
  <c r="H56" i="10"/>
  <c r="G56" i="10"/>
  <c r="F56" i="10"/>
  <c r="E56" i="10"/>
  <c r="D56" i="10"/>
  <c r="A56" i="10"/>
  <c r="Z55" i="10"/>
  <c r="T55" i="10"/>
  <c r="R55" i="10"/>
  <c r="Q55" i="10"/>
  <c r="S55" i="10"/>
  <c r="P55" i="10"/>
  <c r="O55" i="10"/>
  <c r="M55" i="10"/>
  <c r="L55" i="10"/>
  <c r="N55" i="10"/>
  <c r="K55" i="10"/>
  <c r="J55" i="10"/>
  <c r="I55" i="10"/>
  <c r="H55" i="10"/>
  <c r="G55" i="10"/>
  <c r="F55" i="10"/>
  <c r="E55" i="10"/>
  <c r="Z54" i="10"/>
  <c r="T54" i="10"/>
  <c r="Q54" i="10"/>
  <c r="R54" i="10" s="1"/>
  <c r="S54" i="10"/>
  <c r="P54" i="10"/>
  <c r="L54" i="10"/>
  <c r="M54" i="10" s="1"/>
  <c r="F28" i="9" s="1"/>
  <c r="N54" i="10"/>
  <c r="K54" i="10"/>
  <c r="J54" i="10"/>
  <c r="I54" i="10"/>
  <c r="D28" i="9" s="1"/>
  <c r="H54" i="10"/>
  <c r="G54" i="10"/>
  <c r="F54" i="10"/>
  <c r="E54" i="10"/>
  <c r="Z53" i="10"/>
  <c r="Q53" i="10"/>
  <c r="T53" i="10" s="1"/>
  <c r="S53" i="10"/>
  <c r="P53" i="10"/>
  <c r="M53" i="10"/>
  <c r="L53" i="10"/>
  <c r="O53" i="10" s="1"/>
  <c r="N53" i="10"/>
  <c r="K53" i="10"/>
  <c r="J53" i="10"/>
  <c r="I53" i="10"/>
  <c r="H53" i="10"/>
  <c r="G53" i="10"/>
  <c r="F53" i="10"/>
  <c r="E53" i="10"/>
  <c r="Z52" i="10"/>
  <c r="Q52" i="10"/>
  <c r="T52" i="10" s="1"/>
  <c r="S52" i="10"/>
  <c r="P52" i="10"/>
  <c r="O52" i="10"/>
  <c r="M52" i="10"/>
  <c r="L52" i="10"/>
  <c r="N52" i="10"/>
  <c r="K52" i="10"/>
  <c r="J52" i="10"/>
  <c r="I52" i="10"/>
  <c r="H52" i="10"/>
  <c r="G52" i="10"/>
  <c r="F52" i="10"/>
  <c r="E52" i="10"/>
  <c r="Z51" i="10"/>
  <c r="R51" i="10"/>
  <c r="Q51" i="10"/>
  <c r="T51" i="10" s="1"/>
  <c r="S51" i="10"/>
  <c r="P51" i="10"/>
  <c r="L51" i="10"/>
  <c r="M51" i="10" s="1"/>
  <c r="N51" i="10"/>
  <c r="K51" i="10"/>
  <c r="J51" i="10"/>
  <c r="I51" i="10"/>
  <c r="H51" i="10"/>
  <c r="G51" i="10"/>
  <c r="F51" i="10"/>
  <c r="E51" i="10"/>
  <c r="Z50" i="10"/>
  <c r="S50" i="10"/>
  <c r="T50" i="10" s="1"/>
  <c r="R50" i="10"/>
  <c r="P50" i="10"/>
  <c r="O50" i="10"/>
  <c r="G49" i="9" s="1"/>
  <c r="N50" i="10"/>
  <c r="K50" i="10"/>
  <c r="E49" i="9" s="1"/>
  <c r="I50" i="10"/>
  <c r="D49" i="9" s="1"/>
  <c r="H50" i="10"/>
  <c r="G50" i="10"/>
  <c r="F50" i="10"/>
  <c r="E50" i="10"/>
  <c r="D50" i="10"/>
  <c r="A50" i="10"/>
  <c r="Z49" i="10"/>
  <c r="T49" i="10"/>
  <c r="R49" i="10"/>
  <c r="Q49" i="10"/>
  <c r="S49" i="10"/>
  <c r="P49" i="10"/>
  <c r="L49" i="10"/>
  <c r="O49" i="10" s="1"/>
  <c r="G14" i="9" s="1"/>
  <c r="N49" i="10"/>
  <c r="K49" i="10"/>
  <c r="E14" i="9" s="1"/>
  <c r="J49" i="10"/>
  <c r="I49" i="10"/>
  <c r="D14" i="9" s="1"/>
  <c r="H49" i="10"/>
  <c r="G49" i="10"/>
  <c r="F49" i="10"/>
  <c r="E49" i="10"/>
  <c r="Z48" i="10"/>
  <c r="R48" i="10"/>
  <c r="Q48" i="10"/>
  <c r="T48" i="10" s="1"/>
  <c r="S48" i="10"/>
  <c r="P48" i="10"/>
  <c r="M48" i="10"/>
  <c r="F27" i="9" s="1"/>
  <c r="L48" i="10"/>
  <c r="O48" i="10" s="1"/>
  <c r="G27" i="9" s="1"/>
  <c r="N48" i="10"/>
  <c r="K48" i="10"/>
  <c r="E27" i="9" s="1"/>
  <c r="J48" i="10"/>
  <c r="I48" i="10"/>
  <c r="D27" i="9" s="1"/>
  <c r="H48" i="10"/>
  <c r="G48" i="10"/>
  <c r="F48" i="10"/>
  <c r="E48" i="10"/>
  <c r="Z47" i="10"/>
  <c r="S47" i="10"/>
  <c r="P47" i="10"/>
  <c r="N47" i="10"/>
  <c r="O47" i="10" s="1"/>
  <c r="G24" i="9" s="1"/>
  <c r="K47" i="10"/>
  <c r="E24" i="9" s="1"/>
  <c r="I47" i="10"/>
  <c r="D24" i="9" s="1"/>
  <c r="H47" i="10"/>
  <c r="G47" i="10"/>
  <c r="F47" i="10"/>
  <c r="E47" i="10"/>
  <c r="D47" i="10"/>
  <c r="A47" i="10"/>
  <c r="Z46" i="10"/>
  <c r="S46" i="10"/>
  <c r="P46" i="10"/>
  <c r="N46" i="10"/>
  <c r="O46" i="10" s="1"/>
  <c r="G34" i="9" s="1"/>
  <c r="K46" i="10"/>
  <c r="E34" i="9" s="1"/>
  <c r="I46" i="10"/>
  <c r="D34" i="9" s="1"/>
  <c r="H46" i="10"/>
  <c r="G46" i="10"/>
  <c r="F46" i="10"/>
  <c r="E46" i="10"/>
  <c r="D46" i="10"/>
  <c r="A46" i="10"/>
  <c r="Z45" i="10"/>
  <c r="S45" i="10"/>
  <c r="P45" i="10"/>
  <c r="N45" i="10"/>
  <c r="O45" i="10" s="1"/>
  <c r="K45" i="10"/>
  <c r="M45" i="10" s="1"/>
  <c r="I45" i="10"/>
  <c r="R45" i="10" s="1"/>
  <c r="H45" i="10"/>
  <c r="G45" i="10"/>
  <c r="F45" i="10"/>
  <c r="E45" i="10"/>
  <c r="D45" i="10"/>
  <c r="A45" i="10"/>
  <c r="Z44" i="10"/>
  <c r="S44" i="10"/>
  <c r="P44" i="10"/>
  <c r="N44" i="10"/>
  <c r="O44" i="10" s="1"/>
  <c r="G35" i="9" s="1"/>
  <c r="K44" i="10"/>
  <c r="E35" i="9" s="1"/>
  <c r="I44" i="10"/>
  <c r="D35" i="9" s="1"/>
  <c r="H44" i="10"/>
  <c r="G44" i="10"/>
  <c r="F44" i="10"/>
  <c r="E44" i="10"/>
  <c r="D44" i="10"/>
  <c r="A44" i="10"/>
  <c r="Z43" i="10"/>
  <c r="S43" i="10"/>
  <c r="P43" i="10"/>
  <c r="N43" i="10"/>
  <c r="O43" i="10" s="1"/>
  <c r="G33" i="9" s="1"/>
  <c r="K43" i="10"/>
  <c r="E33" i="9" s="1"/>
  <c r="I43" i="10"/>
  <c r="D33" i="9" s="1"/>
  <c r="H43" i="10"/>
  <c r="G43" i="10"/>
  <c r="F43" i="10"/>
  <c r="E43" i="10"/>
  <c r="D43" i="10"/>
  <c r="A43" i="10"/>
  <c r="Z42" i="10"/>
  <c r="S42" i="10"/>
  <c r="P42" i="10"/>
  <c r="N42" i="10"/>
  <c r="O42" i="10" s="1"/>
  <c r="G30" i="9" s="1"/>
  <c r="K42" i="10"/>
  <c r="E30" i="9" s="1"/>
  <c r="I42" i="10"/>
  <c r="D30" i="9" s="1"/>
  <c r="H42" i="10"/>
  <c r="G42" i="10"/>
  <c r="F42" i="10"/>
  <c r="E42" i="10"/>
  <c r="D42" i="10"/>
  <c r="A42" i="10"/>
  <c r="Z41" i="10"/>
  <c r="S41" i="10"/>
  <c r="P41" i="10"/>
  <c r="N41" i="10"/>
  <c r="O41" i="10" s="1"/>
  <c r="K41" i="10"/>
  <c r="M41" i="10" s="1"/>
  <c r="I41" i="10"/>
  <c r="R41" i="10" s="1"/>
  <c r="H41" i="10"/>
  <c r="G41" i="10"/>
  <c r="F41" i="10"/>
  <c r="E41" i="10"/>
  <c r="D41" i="10"/>
  <c r="A41" i="10"/>
  <c r="Z40" i="10"/>
  <c r="T40" i="10"/>
  <c r="Q40" i="10"/>
  <c r="R40" i="10" s="1"/>
  <c r="S40" i="10"/>
  <c r="P40" i="10"/>
  <c r="O40" i="10"/>
  <c r="L40" i="10"/>
  <c r="M40" i="10" s="1"/>
  <c r="N40" i="10"/>
  <c r="K40" i="10"/>
  <c r="J40" i="10"/>
  <c r="I40" i="10"/>
  <c r="H40" i="10"/>
  <c r="G40" i="10"/>
  <c r="F40" i="10"/>
  <c r="E40" i="10"/>
  <c r="Z39" i="10"/>
  <c r="T39" i="10"/>
  <c r="R39" i="10"/>
  <c r="Q39" i="10"/>
  <c r="S39" i="10"/>
  <c r="P39" i="10"/>
  <c r="L39" i="10"/>
  <c r="O39" i="10" s="1"/>
  <c r="N39" i="10"/>
  <c r="K39" i="10"/>
  <c r="J39" i="10"/>
  <c r="I39" i="10"/>
  <c r="H39" i="10"/>
  <c r="G39" i="10"/>
  <c r="F39" i="10"/>
  <c r="E39" i="10"/>
  <c r="Z38" i="10"/>
  <c r="T38" i="10"/>
  <c r="Q38" i="10"/>
  <c r="R38" i="10" s="1"/>
  <c r="S38" i="10"/>
  <c r="P38" i="10"/>
  <c r="L38" i="10"/>
  <c r="O38" i="10" s="1"/>
  <c r="N38" i="10"/>
  <c r="K38" i="10"/>
  <c r="J38" i="10"/>
  <c r="I38" i="10"/>
  <c r="H38" i="10"/>
  <c r="G38" i="10"/>
  <c r="F38" i="10"/>
  <c r="E38" i="10"/>
  <c r="Z37" i="10"/>
  <c r="R37" i="10"/>
  <c r="Q37" i="10"/>
  <c r="T37" i="10" s="1"/>
  <c r="S37" i="10"/>
  <c r="P37" i="10"/>
  <c r="L37" i="10"/>
  <c r="O37" i="10" s="1"/>
  <c r="N37" i="10"/>
  <c r="K37" i="10"/>
  <c r="J37" i="10"/>
  <c r="I37" i="10"/>
  <c r="H37" i="10"/>
  <c r="G37" i="10"/>
  <c r="F37" i="10"/>
  <c r="E37" i="10"/>
  <c r="Z36" i="10"/>
  <c r="T36" i="10"/>
  <c r="R36" i="10"/>
  <c r="Q36" i="10"/>
  <c r="S36" i="10"/>
  <c r="P36" i="10"/>
  <c r="O36" i="10"/>
  <c r="M36" i="10"/>
  <c r="L36" i="10"/>
  <c r="N36" i="10"/>
  <c r="K36" i="10"/>
  <c r="J36" i="10"/>
  <c r="I36" i="10"/>
  <c r="H36" i="10"/>
  <c r="G36" i="10"/>
  <c r="F36" i="10"/>
  <c r="E36" i="10"/>
  <c r="Z35" i="10"/>
  <c r="Q35" i="10"/>
  <c r="T35" i="10" s="1"/>
  <c r="S35" i="10"/>
  <c r="P35" i="10"/>
  <c r="O35" i="10"/>
  <c r="L35" i="10"/>
  <c r="M35" i="10" s="1"/>
  <c r="N35" i="10"/>
  <c r="K35" i="10"/>
  <c r="J35" i="10"/>
  <c r="I35" i="10"/>
  <c r="H35" i="10"/>
  <c r="G35" i="10"/>
  <c r="F35" i="10"/>
  <c r="E35" i="10"/>
  <c r="Z34" i="10"/>
  <c r="Q34" i="10"/>
  <c r="T34" i="10" s="1"/>
  <c r="S34" i="10"/>
  <c r="P34" i="10"/>
  <c r="M34" i="10"/>
  <c r="L34" i="10"/>
  <c r="O34" i="10" s="1"/>
  <c r="N34" i="10"/>
  <c r="K34" i="10"/>
  <c r="J34" i="10"/>
  <c r="I34" i="10"/>
  <c r="H34" i="10"/>
  <c r="G34" i="10"/>
  <c r="F34" i="10"/>
  <c r="E34" i="10"/>
  <c r="Z33" i="10"/>
  <c r="Q33" i="10"/>
  <c r="T33" i="10" s="1"/>
  <c r="S33" i="10"/>
  <c r="P33" i="10"/>
  <c r="O33" i="10"/>
  <c r="L33" i="10"/>
  <c r="M33" i="10" s="1"/>
  <c r="N33" i="10"/>
  <c r="K33" i="10"/>
  <c r="J33" i="10"/>
  <c r="I33" i="10"/>
  <c r="H33" i="10"/>
  <c r="G33" i="10"/>
  <c r="F33" i="10"/>
  <c r="E33" i="10"/>
  <c r="Z32" i="10"/>
  <c r="S32" i="10"/>
  <c r="T32" i="10" s="1"/>
  <c r="R32" i="10"/>
  <c r="P32" i="10"/>
  <c r="O32" i="10"/>
  <c r="N32" i="10"/>
  <c r="M32" i="10"/>
  <c r="K32" i="10"/>
  <c r="E38" i="9" s="1"/>
  <c r="I32" i="10"/>
  <c r="H32" i="10"/>
  <c r="G32" i="10"/>
  <c r="F32" i="10"/>
  <c r="E32" i="10"/>
  <c r="D32" i="10"/>
  <c r="A32" i="10"/>
  <c r="Z31" i="10"/>
  <c r="R31" i="10"/>
  <c r="Q31" i="10"/>
  <c r="T31" i="10" s="1"/>
  <c r="S31" i="10"/>
  <c r="P31" i="10"/>
  <c r="O31" i="10"/>
  <c r="G12" i="9" s="1"/>
  <c r="M31" i="10"/>
  <c r="F12" i="9" s="1"/>
  <c r="L31" i="10"/>
  <c r="N31" i="10"/>
  <c r="K31" i="10"/>
  <c r="E12" i="9" s="1"/>
  <c r="J31" i="10"/>
  <c r="I31" i="10"/>
  <c r="D12" i="9" s="1"/>
  <c r="H31" i="10"/>
  <c r="G31" i="10"/>
  <c r="F31" i="10"/>
  <c r="E31" i="10"/>
  <c r="Z30" i="10"/>
  <c r="T30" i="10"/>
  <c r="R30" i="10"/>
  <c r="Q30" i="10"/>
  <c r="S30" i="10"/>
  <c r="P30" i="10"/>
  <c r="O30" i="10"/>
  <c r="L30" i="10"/>
  <c r="M30" i="10" s="1"/>
  <c r="N30" i="10"/>
  <c r="K30" i="10"/>
  <c r="J30" i="10"/>
  <c r="I30" i="10"/>
  <c r="H30" i="10"/>
  <c r="G30" i="10"/>
  <c r="F30" i="10"/>
  <c r="E30" i="10"/>
  <c r="Z29" i="10"/>
  <c r="Q29" i="10"/>
  <c r="R29" i="10" s="1"/>
  <c r="S29" i="10"/>
  <c r="P29" i="10"/>
  <c r="O29" i="10"/>
  <c r="G23" i="9" s="1"/>
  <c r="L29" i="10"/>
  <c r="M29" i="10" s="1"/>
  <c r="F23" i="9" s="1"/>
  <c r="N29" i="10"/>
  <c r="K29" i="10"/>
  <c r="E23" i="9" s="1"/>
  <c r="J29" i="10"/>
  <c r="I29" i="10"/>
  <c r="D23" i="9" s="1"/>
  <c r="H29" i="10"/>
  <c r="G29" i="10"/>
  <c r="F29" i="10"/>
  <c r="E29" i="10"/>
  <c r="Z28" i="10"/>
  <c r="Q28" i="10"/>
  <c r="T28" i="10" s="1"/>
  <c r="S28" i="10"/>
  <c r="P28" i="10"/>
  <c r="O28" i="10"/>
  <c r="G25" i="9" s="1"/>
  <c r="L28" i="10"/>
  <c r="M28" i="10" s="1"/>
  <c r="F25" i="9" s="1"/>
  <c r="N28" i="10"/>
  <c r="K28" i="10"/>
  <c r="E25" i="9" s="1"/>
  <c r="J28" i="10"/>
  <c r="I28" i="10"/>
  <c r="D25" i="9" s="1"/>
  <c r="H28" i="10"/>
  <c r="G28" i="10"/>
  <c r="F28" i="10"/>
  <c r="E28" i="10"/>
  <c r="Z27" i="10"/>
  <c r="Q27" i="10"/>
  <c r="T27" i="10" s="1"/>
  <c r="S27" i="10"/>
  <c r="P27" i="10"/>
  <c r="O27" i="10"/>
  <c r="G26" i="9" s="1"/>
  <c r="M27" i="10"/>
  <c r="F26" i="9" s="1"/>
  <c r="L27" i="10"/>
  <c r="N27" i="10"/>
  <c r="K27" i="10"/>
  <c r="E26" i="9" s="1"/>
  <c r="J27" i="10"/>
  <c r="I27" i="10"/>
  <c r="D26" i="9" s="1"/>
  <c r="H27" i="10"/>
  <c r="G27" i="10"/>
  <c r="F27" i="10"/>
  <c r="E27" i="10"/>
  <c r="Z26" i="10"/>
  <c r="R26" i="10"/>
  <c r="Q26" i="10"/>
  <c r="T26" i="10" s="1"/>
  <c r="S26" i="10"/>
  <c r="P26" i="10"/>
  <c r="L26" i="10"/>
  <c r="M26" i="10" s="1"/>
  <c r="N26" i="10"/>
  <c r="K26" i="10"/>
  <c r="J26" i="10"/>
  <c r="I26" i="10"/>
  <c r="H26" i="10"/>
  <c r="G26" i="10"/>
  <c r="F26" i="10"/>
  <c r="E26" i="10"/>
  <c r="Z25" i="10"/>
  <c r="R25" i="10"/>
  <c r="Q25" i="10"/>
  <c r="T25" i="10" s="1"/>
  <c r="S25" i="10"/>
  <c r="P25" i="10"/>
  <c r="L25" i="10"/>
  <c r="O25" i="10" s="1"/>
  <c r="G31" i="9" s="1"/>
  <c r="N25" i="10"/>
  <c r="K25" i="10"/>
  <c r="E31" i="9" s="1"/>
  <c r="J25" i="10"/>
  <c r="I25" i="10"/>
  <c r="H25" i="10"/>
  <c r="G25" i="10"/>
  <c r="F25" i="10"/>
  <c r="E25" i="10"/>
  <c r="Z24" i="10"/>
  <c r="R24" i="10"/>
  <c r="Q24" i="10"/>
  <c r="T24" i="10" s="1"/>
  <c r="S24" i="10"/>
  <c r="P24" i="10"/>
  <c r="M24" i="10"/>
  <c r="F39" i="9" s="1"/>
  <c r="L24" i="10"/>
  <c r="O24" i="10" s="1"/>
  <c r="G39" i="9" s="1"/>
  <c r="N24" i="10"/>
  <c r="K24" i="10"/>
  <c r="E39" i="9" s="1"/>
  <c r="J24" i="10"/>
  <c r="I24" i="10"/>
  <c r="D39" i="9" s="1"/>
  <c r="H24" i="10"/>
  <c r="G24" i="10"/>
  <c r="F24" i="10"/>
  <c r="E24" i="10"/>
  <c r="Z23" i="10"/>
  <c r="T23" i="10"/>
  <c r="Q23" i="10"/>
  <c r="R23" i="10" s="1"/>
  <c r="S23" i="10"/>
  <c r="P23" i="10"/>
  <c r="O23" i="10"/>
  <c r="G40" i="9" s="1"/>
  <c r="L23" i="10"/>
  <c r="M23" i="10" s="1"/>
  <c r="F40" i="9" s="1"/>
  <c r="N23" i="10"/>
  <c r="K23" i="10"/>
  <c r="E40" i="9" s="1"/>
  <c r="J23" i="10"/>
  <c r="I23" i="10"/>
  <c r="D40" i="9" s="1"/>
  <c r="H23" i="10"/>
  <c r="G23" i="10"/>
  <c r="F23" i="10"/>
  <c r="E23" i="10"/>
  <c r="Z22" i="10"/>
  <c r="T22" i="10"/>
  <c r="R22" i="10"/>
  <c r="Q22" i="10"/>
  <c r="S22" i="10"/>
  <c r="P22" i="10"/>
  <c r="L22" i="10"/>
  <c r="O22" i="10" s="1"/>
  <c r="G41" i="9" s="1"/>
  <c r="N22" i="10"/>
  <c r="K22" i="10"/>
  <c r="E41" i="9" s="1"/>
  <c r="J22" i="10"/>
  <c r="I22" i="10"/>
  <c r="D41" i="9" s="1"/>
  <c r="H22" i="10"/>
  <c r="G22" i="10"/>
  <c r="F22" i="10"/>
  <c r="E22" i="10"/>
  <c r="Z21" i="10"/>
  <c r="T21" i="10"/>
  <c r="Q21" i="10"/>
  <c r="R21" i="10" s="1"/>
  <c r="S21" i="10"/>
  <c r="P21" i="10"/>
  <c r="L21" i="10"/>
  <c r="O21" i="10" s="1"/>
  <c r="N21" i="10"/>
  <c r="K21" i="10"/>
  <c r="J21" i="10"/>
  <c r="I21" i="10"/>
  <c r="D43" i="9" s="1"/>
  <c r="H21" i="10"/>
  <c r="G21" i="10"/>
  <c r="F21" i="10"/>
  <c r="E21" i="10"/>
  <c r="Z20" i="10"/>
  <c r="S20" i="10"/>
  <c r="T20" i="10" s="1"/>
  <c r="P20" i="10"/>
  <c r="R20" i="10" s="1"/>
  <c r="O20" i="10"/>
  <c r="G50" i="9" s="1"/>
  <c r="N20" i="10"/>
  <c r="K20" i="10"/>
  <c r="E50" i="9" s="1"/>
  <c r="I20" i="10"/>
  <c r="D50" i="9" s="1"/>
  <c r="H20" i="10"/>
  <c r="G20" i="10"/>
  <c r="F20" i="10"/>
  <c r="E20" i="10"/>
  <c r="D20" i="10"/>
  <c r="A20" i="10"/>
  <c r="Z19" i="10"/>
  <c r="S19" i="10"/>
  <c r="T19" i="10" s="1"/>
  <c r="R19" i="10"/>
  <c r="P19" i="10"/>
  <c r="N19" i="10"/>
  <c r="O19" i="10" s="1"/>
  <c r="G48" i="9" s="1"/>
  <c r="M19" i="10"/>
  <c r="F48" i="9" s="1"/>
  <c r="K19" i="10"/>
  <c r="I19" i="10"/>
  <c r="D48" i="9" s="1"/>
  <c r="H19" i="10"/>
  <c r="G19" i="10"/>
  <c r="F19" i="10"/>
  <c r="E19" i="10"/>
  <c r="D19" i="10"/>
  <c r="A19" i="10"/>
  <c r="Z18" i="10"/>
  <c r="S18" i="10"/>
  <c r="T18" i="10" s="1"/>
  <c r="P18" i="10"/>
  <c r="R18" i="10" s="1"/>
  <c r="N18" i="10"/>
  <c r="O18" i="10" s="1"/>
  <c r="G47" i="9" s="1"/>
  <c r="M18" i="10"/>
  <c r="F47" i="9" s="1"/>
  <c r="K18" i="10"/>
  <c r="E47" i="9" s="1"/>
  <c r="I18" i="10"/>
  <c r="D47" i="9" s="1"/>
  <c r="H18" i="10"/>
  <c r="G18" i="10"/>
  <c r="F18" i="10"/>
  <c r="E18" i="10"/>
  <c r="D18" i="10"/>
  <c r="A18" i="10"/>
  <c r="Z17" i="10"/>
  <c r="S17" i="10"/>
  <c r="T17" i="10" s="1"/>
  <c r="R17" i="10"/>
  <c r="P17" i="10"/>
  <c r="O17" i="10"/>
  <c r="N17" i="10"/>
  <c r="K17" i="10"/>
  <c r="E17" i="9" s="1"/>
  <c r="I17" i="10"/>
  <c r="H17" i="10"/>
  <c r="G17" i="10"/>
  <c r="F17" i="10"/>
  <c r="E17" i="10"/>
  <c r="D17" i="10"/>
  <c r="A17" i="10"/>
  <c r="Z16" i="10"/>
  <c r="Q16" i="10"/>
  <c r="T16" i="10" s="1"/>
  <c r="S16" i="10"/>
  <c r="P16" i="10"/>
  <c r="O16" i="10"/>
  <c r="G13" i="9" s="1"/>
  <c r="L16" i="10"/>
  <c r="M16" i="10" s="1"/>
  <c r="F13" i="9" s="1"/>
  <c r="N16" i="10"/>
  <c r="K16" i="10"/>
  <c r="E13" i="9" s="1"/>
  <c r="J16" i="10"/>
  <c r="I16" i="10"/>
  <c r="D13" i="9" s="1"/>
  <c r="H16" i="10"/>
  <c r="G16" i="10"/>
  <c r="F16" i="10"/>
  <c r="E16" i="10"/>
  <c r="Z15" i="10"/>
  <c r="Q15" i="10"/>
  <c r="T15" i="10" s="1"/>
  <c r="S15" i="10"/>
  <c r="P15" i="10"/>
  <c r="O15" i="10"/>
  <c r="M15" i="10"/>
  <c r="L15" i="10"/>
  <c r="N15" i="10"/>
  <c r="K15" i="10"/>
  <c r="E18" i="9" s="1"/>
  <c r="J15" i="10"/>
  <c r="I15" i="10"/>
  <c r="D18" i="9" s="1"/>
  <c r="H15" i="10"/>
  <c r="G15" i="10"/>
  <c r="F15" i="10"/>
  <c r="E15" i="10"/>
  <c r="Z14" i="10"/>
  <c r="R14" i="10"/>
  <c r="Q14" i="10"/>
  <c r="T14" i="10" s="1"/>
  <c r="S14" i="10"/>
  <c r="P14" i="10"/>
  <c r="L14" i="10"/>
  <c r="M14" i="10" s="1"/>
  <c r="N14" i="10"/>
  <c r="K14" i="10"/>
  <c r="E19" i="9" s="1"/>
  <c r="J14" i="10"/>
  <c r="I14" i="10"/>
  <c r="D19" i="9" s="1"/>
  <c r="H14" i="10"/>
  <c r="G14" i="10"/>
  <c r="F14" i="10"/>
  <c r="E14" i="10"/>
  <c r="Z13" i="10"/>
  <c r="R13" i="10"/>
  <c r="Q13" i="10"/>
  <c r="T13" i="10" s="1"/>
  <c r="S13" i="10"/>
  <c r="P13" i="10"/>
  <c r="L13" i="10"/>
  <c r="O13" i="10" s="1"/>
  <c r="N13" i="10"/>
  <c r="K13" i="10"/>
  <c r="E20" i="9" s="1"/>
  <c r="J13" i="10"/>
  <c r="I13" i="10"/>
  <c r="D20" i="9" s="1"/>
  <c r="H13" i="10"/>
  <c r="G13" i="10"/>
  <c r="F13" i="10"/>
  <c r="E13" i="10"/>
  <c r="Z12" i="10"/>
  <c r="R12" i="10"/>
  <c r="Q12" i="10"/>
  <c r="T12" i="10" s="1"/>
  <c r="S12" i="10"/>
  <c r="P12" i="10"/>
  <c r="M12" i="10"/>
  <c r="L12" i="10"/>
  <c r="O12" i="10" s="1"/>
  <c r="G21" i="9" s="1"/>
  <c r="N12" i="10"/>
  <c r="K12" i="10"/>
  <c r="E21" i="9" s="1"/>
  <c r="J12" i="10"/>
  <c r="I12" i="10"/>
  <c r="D21" i="9" s="1"/>
  <c r="H12" i="10"/>
  <c r="G12" i="10"/>
  <c r="F12" i="10"/>
  <c r="E12" i="10"/>
  <c r="Z11" i="10"/>
  <c r="T11" i="10"/>
  <c r="Q11" i="10"/>
  <c r="R11" i="10" s="1"/>
  <c r="S11" i="10"/>
  <c r="P11" i="10"/>
  <c r="O11" i="10"/>
  <c r="L11" i="10"/>
  <c r="M11" i="10" s="1"/>
  <c r="N11" i="10"/>
  <c r="K11" i="10"/>
  <c r="E22" i="9" s="1"/>
  <c r="J11" i="10"/>
  <c r="I11" i="10"/>
  <c r="H11" i="10"/>
  <c r="G11" i="10"/>
  <c r="F11" i="10"/>
  <c r="E11" i="10"/>
  <c r="Z10" i="10"/>
  <c r="T10" i="10"/>
  <c r="R10" i="10"/>
  <c r="Q10" i="10"/>
  <c r="S10" i="10"/>
  <c r="P10" i="10"/>
  <c r="L10" i="10"/>
  <c r="O10" i="10" s="1"/>
  <c r="N10" i="10"/>
  <c r="K10" i="10"/>
  <c r="E29" i="9" s="1"/>
  <c r="J10" i="10"/>
  <c r="I10" i="10"/>
  <c r="D29" i="9" s="1"/>
  <c r="H10" i="10"/>
  <c r="G10" i="10"/>
  <c r="F10" i="10"/>
  <c r="E10" i="10"/>
  <c r="Z9" i="10"/>
  <c r="T9" i="10"/>
  <c r="Q9" i="10"/>
  <c r="R9" i="10" s="1"/>
  <c r="S9" i="10"/>
  <c r="P9" i="10"/>
  <c r="L9" i="10"/>
  <c r="O9" i="10" s="1"/>
  <c r="G36" i="9" s="1"/>
  <c r="N9" i="10"/>
  <c r="K9" i="10"/>
  <c r="E36" i="9" s="1"/>
  <c r="J9" i="10"/>
  <c r="I9" i="10"/>
  <c r="D36" i="9" s="1"/>
  <c r="H9" i="10"/>
  <c r="G9" i="10"/>
  <c r="F9" i="10"/>
  <c r="E9" i="10"/>
  <c r="G8" i="10"/>
  <c r="A8" i="10"/>
  <c r="G7" i="10"/>
  <c r="A7" i="10"/>
  <c r="G6" i="10"/>
  <c r="A6" i="10"/>
  <c r="D50" i="8"/>
  <c r="C50" i="8"/>
  <c r="B50" i="8"/>
  <c r="D49" i="8"/>
  <c r="C49" i="8"/>
  <c r="B49" i="8"/>
  <c r="D48" i="8"/>
  <c r="C48" i="8"/>
  <c r="B48" i="8"/>
  <c r="D47" i="8"/>
  <c r="C47" i="8"/>
  <c r="B47" i="8"/>
  <c r="D46" i="8"/>
  <c r="C46" i="8"/>
  <c r="B46" i="8"/>
  <c r="D45" i="8"/>
  <c r="C45" i="8"/>
  <c r="B45" i="8"/>
  <c r="D44" i="8"/>
  <c r="C44" i="8"/>
  <c r="B44" i="8"/>
  <c r="D43" i="8"/>
  <c r="C43" i="8"/>
  <c r="B43" i="8"/>
  <c r="D42" i="8"/>
  <c r="C42" i="8"/>
  <c r="B42" i="8"/>
  <c r="D41" i="8"/>
  <c r="C41" i="8"/>
  <c r="B41" i="8"/>
  <c r="D40" i="8"/>
  <c r="C40" i="8"/>
  <c r="B40" i="8"/>
  <c r="D39" i="8"/>
  <c r="C39" i="8"/>
  <c r="B39" i="8"/>
  <c r="D38" i="8"/>
  <c r="C38" i="8"/>
  <c r="B38" i="8"/>
  <c r="D37" i="8"/>
  <c r="C37" i="8"/>
  <c r="B37" i="8"/>
  <c r="D36" i="8"/>
  <c r="C36" i="8"/>
  <c r="B36" i="8"/>
  <c r="D35" i="8"/>
  <c r="C35" i="8"/>
  <c r="B35" i="8"/>
  <c r="D34" i="8"/>
  <c r="C34" i="8"/>
  <c r="B34" i="8"/>
  <c r="D33" i="8"/>
  <c r="C33" i="8"/>
  <c r="B33" i="8"/>
  <c r="D32" i="8"/>
  <c r="C32" i="8"/>
  <c r="B32" i="8"/>
  <c r="D31" i="8"/>
  <c r="C31" i="8"/>
  <c r="B31" i="8"/>
  <c r="A30" i="8"/>
  <c r="A29" i="8"/>
  <c r="D28" i="8"/>
  <c r="C28" i="8"/>
  <c r="B28" i="8"/>
  <c r="D27" i="8"/>
  <c r="C27" i="8"/>
  <c r="B27" i="8"/>
  <c r="D26" i="8"/>
  <c r="C26" i="8"/>
  <c r="B26" i="8"/>
  <c r="D25" i="8"/>
  <c r="C25" i="8"/>
  <c r="B25" i="8"/>
  <c r="D24" i="8"/>
  <c r="C24" i="8"/>
  <c r="B24" i="8"/>
  <c r="D23" i="8"/>
  <c r="C23" i="8"/>
  <c r="B23" i="8"/>
  <c r="A22" i="8"/>
  <c r="A21" i="8"/>
  <c r="A20" i="8"/>
  <c r="AD13" i="8"/>
  <c r="A13" i="8"/>
  <c r="A12" i="8"/>
  <c r="A1" i="8"/>
  <c r="H191" i="7"/>
  <c r="H188" i="7"/>
  <c r="C191" i="7"/>
  <c r="C188" i="7"/>
  <c r="I180" i="7"/>
  <c r="I181" i="7" s="1"/>
  <c r="C180" i="7"/>
  <c r="I179" i="7"/>
  <c r="C179" i="7"/>
  <c r="AF178" i="7"/>
  <c r="A178" i="7"/>
  <c r="I25" i="7"/>
  <c r="I24" i="7"/>
  <c r="I23" i="7"/>
  <c r="I22" i="7"/>
  <c r="I21" i="7"/>
  <c r="A175" i="7"/>
  <c r="A172" i="7"/>
  <c r="A169" i="7"/>
  <c r="K166" i="7"/>
  <c r="H166" i="7"/>
  <c r="G166" i="7"/>
  <c r="E166" i="7"/>
  <c r="E165" i="7"/>
  <c r="E164" i="7"/>
  <c r="J163" i="7"/>
  <c r="I163" i="7"/>
  <c r="H163" i="7"/>
  <c r="F163" i="7"/>
  <c r="V163" i="7"/>
  <c r="T163" i="7"/>
  <c r="R163" i="7"/>
  <c r="U163" i="7"/>
  <c r="S163" i="7"/>
  <c r="Q163" i="7"/>
  <c r="E163" i="7"/>
  <c r="D163" i="7"/>
  <c r="C163" i="7"/>
  <c r="B163" i="7"/>
  <c r="J162" i="7"/>
  <c r="I162" i="7"/>
  <c r="H162" i="7"/>
  <c r="F162" i="7"/>
  <c r="V162" i="7"/>
  <c r="T162" i="7"/>
  <c r="R162" i="7"/>
  <c r="U162" i="7"/>
  <c r="S162" i="7"/>
  <c r="Q162" i="7"/>
  <c r="E162" i="7"/>
  <c r="D162" i="7"/>
  <c r="C162" i="7"/>
  <c r="B162" i="7"/>
  <c r="J161" i="7"/>
  <c r="I161" i="7"/>
  <c r="H161" i="7"/>
  <c r="F161" i="7"/>
  <c r="V161" i="7"/>
  <c r="T161" i="7"/>
  <c r="R161" i="7"/>
  <c r="U161" i="7"/>
  <c r="S161" i="7"/>
  <c r="Q161" i="7"/>
  <c r="E161" i="7"/>
  <c r="D161" i="7"/>
  <c r="C161" i="7"/>
  <c r="B161" i="7"/>
  <c r="J160" i="7"/>
  <c r="I160" i="7"/>
  <c r="H160" i="7"/>
  <c r="F160" i="7"/>
  <c r="V160" i="7"/>
  <c r="T160" i="7"/>
  <c r="R160" i="7"/>
  <c r="U160" i="7"/>
  <c r="S160" i="7"/>
  <c r="Q160" i="7"/>
  <c r="E160" i="7"/>
  <c r="D160" i="7"/>
  <c r="C160" i="7"/>
  <c r="B160" i="7"/>
  <c r="J159" i="7"/>
  <c r="I159" i="7"/>
  <c r="H159" i="7"/>
  <c r="G159" i="7"/>
  <c r="F159" i="7"/>
  <c r="J158" i="7"/>
  <c r="I158" i="7"/>
  <c r="H158" i="7"/>
  <c r="G158" i="7"/>
  <c r="F158" i="7"/>
  <c r="C157" i="7"/>
  <c r="V156" i="7"/>
  <c r="T156" i="7"/>
  <c r="R156" i="7"/>
  <c r="U156" i="7"/>
  <c r="S156" i="7"/>
  <c r="Q156" i="7"/>
  <c r="E156" i="7"/>
  <c r="D156" i="7"/>
  <c r="C156" i="7"/>
  <c r="B156" i="7"/>
  <c r="K154" i="7"/>
  <c r="H154" i="7"/>
  <c r="G154" i="7"/>
  <c r="E154" i="7"/>
  <c r="E153" i="7"/>
  <c r="J152" i="7"/>
  <c r="E152" i="7"/>
  <c r="J151" i="7"/>
  <c r="I151" i="7"/>
  <c r="H151" i="7"/>
  <c r="G151" i="7"/>
  <c r="F151" i="7"/>
  <c r="J150" i="7"/>
  <c r="I150" i="7"/>
  <c r="H150" i="7"/>
  <c r="G150" i="7"/>
  <c r="F150" i="7"/>
  <c r="C149" i="7"/>
  <c r="V148" i="7"/>
  <c r="T148" i="7"/>
  <c r="J153" i="7" s="1"/>
  <c r="R148" i="7"/>
  <c r="U148" i="7"/>
  <c r="S148" i="7"/>
  <c r="Q148" i="7"/>
  <c r="E148" i="7"/>
  <c r="D148" i="7"/>
  <c r="C148" i="7"/>
  <c r="B148" i="7"/>
  <c r="K146" i="7"/>
  <c r="H146" i="7"/>
  <c r="G146" i="7"/>
  <c r="E146" i="7"/>
  <c r="E145" i="7"/>
  <c r="J144" i="7"/>
  <c r="E144" i="7"/>
  <c r="J143" i="7"/>
  <c r="I143" i="7"/>
  <c r="H143" i="7"/>
  <c r="G143" i="7"/>
  <c r="F143" i="7"/>
  <c r="J142" i="7"/>
  <c r="I142" i="7"/>
  <c r="H142" i="7"/>
  <c r="G142" i="7"/>
  <c r="F142" i="7"/>
  <c r="C141" i="7"/>
  <c r="V140" i="7"/>
  <c r="T140" i="7"/>
  <c r="J145" i="7" s="1"/>
  <c r="R140" i="7"/>
  <c r="U140" i="7"/>
  <c r="S140" i="7"/>
  <c r="Q140" i="7"/>
  <c r="E140" i="7"/>
  <c r="D140" i="7"/>
  <c r="C140" i="7"/>
  <c r="B140" i="7"/>
  <c r="K138" i="7"/>
  <c r="H138" i="7"/>
  <c r="G138" i="7"/>
  <c r="E138" i="7"/>
  <c r="E137" i="7"/>
  <c r="E136" i="7"/>
  <c r="E135" i="7"/>
  <c r="J134" i="7"/>
  <c r="I134" i="7"/>
  <c r="H134" i="7"/>
  <c r="F134" i="7"/>
  <c r="V134" i="7"/>
  <c r="T134" i="7"/>
  <c r="R134" i="7"/>
  <c r="U134" i="7"/>
  <c r="S134" i="7"/>
  <c r="Q134" i="7"/>
  <c r="E134" i="7"/>
  <c r="D134" i="7"/>
  <c r="C134" i="7"/>
  <c r="B134" i="7"/>
  <c r="J133" i="7"/>
  <c r="I133" i="7"/>
  <c r="H133" i="7"/>
  <c r="F133" i="7"/>
  <c r="V133" i="7"/>
  <c r="T133" i="7"/>
  <c r="R133" i="7"/>
  <c r="U133" i="7"/>
  <c r="S133" i="7"/>
  <c r="Q133" i="7"/>
  <c r="E133" i="7"/>
  <c r="D133" i="7"/>
  <c r="C133" i="7"/>
  <c r="B133" i="7"/>
  <c r="J132" i="7"/>
  <c r="I132" i="7"/>
  <c r="H132" i="7"/>
  <c r="F132" i="7"/>
  <c r="V132" i="7"/>
  <c r="T132" i="7"/>
  <c r="R132" i="7"/>
  <c r="U132" i="7"/>
  <c r="S132" i="7"/>
  <c r="Q132" i="7"/>
  <c r="E132" i="7"/>
  <c r="D132" i="7"/>
  <c r="C132" i="7"/>
  <c r="B132" i="7"/>
  <c r="J131" i="7"/>
  <c r="I131" i="7"/>
  <c r="H131" i="7"/>
  <c r="F131" i="7"/>
  <c r="V131" i="7"/>
  <c r="T131" i="7"/>
  <c r="R131" i="7"/>
  <c r="U131" i="7"/>
  <c r="S131" i="7"/>
  <c r="Q131" i="7"/>
  <c r="E131" i="7"/>
  <c r="D131" i="7"/>
  <c r="C131" i="7"/>
  <c r="B131" i="7"/>
  <c r="J130" i="7"/>
  <c r="I130" i="7"/>
  <c r="H130" i="7"/>
  <c r="G130" i="7"/>
  <c r="F130" i="7"/>
  <c r="J129" i="7"/>
  <c r="I129" i="7"/>
  <c r="H129" i="7"/>
  <c r="G129" i="7"/>
  <c r="F129" i="7"/>
  <c r="J128" i="7"/>
  <c r="I128" i="7"/>
  <c r="H128" i="7"/>
  <c r="G128" i="7"/>
  <c r="F128" i="7"/>
  <c r="J127" i="7"/>
  <c r="I127" i="7"/>
  <c r="H127" i="7"/>
  <c r="G127" i="7"/>
  <c r="F127" i="7"/>
  <c r="V126" i="7"/>
  <c r="T126" i="7"/>
  <c r="R126" i="7"/>
  <c r="U126" i="7"/>
  <c r="S126" i="7"/>
  <c r="Q126" i="7"/>
  <c r="E126" i="7"/>
  <c r="D126" i="7"/>
  <c r="C126" i="7"/>
  <c r="B126" i="7"/>
  <c r="K124" i="7"/>
  <c r="H124" i="7"/>
  <c r="G124" i="7"/>
  <c r="E124" i="7"/>
  <c r="E123" i="7"/>
  <c r="E122" i="7"/>
  <c r="E121" i="7"/>
  <c r="J120" i="7"/>
  <c r="I120" i="7"/>
  <c r="H120" i="7"/>
  <c r="F120" i="7"/>
  <c r="V120" i="7"/>
  <c r="T120" i="7"/>
  <c r="R120" i="7"/>
  <c r="U120" i="7"/>
  <c r="S120" i="7"/>
  <c r="Q120" i="7"/>
  <c r="E120" i="7"/>
  <c r="D120" i="7"/>
  <c r="C120" i="7"/>
  <c r="B120" i="7"/>
  <c r="J119" i="7"/>
  <c r="I119" i="7"/>
  <c r="H119" i="7"/>
  <c r="F119" i="7"/>
  <c r="V119" i="7"/>
  <c r="T119" i="7"/>
  <c r="R119" i="7"/>
  <c r="U119" i="7"/>
  <c r="S119" i="7"/>
  <c r="Q119" i="7"/>
  <c r="E119" i="7"/>
  <c r="D119" i="7"/>
  <c r="C119" i="7"/>
  <c r="B119" i="7"/>
  <c r="J118" i="7"/>
  <c r="I118" i="7"/>
  <c r="H118" i="7"/>
  <c r="G118" i="7"/>
  <c r="F118" i="7"/>
  <c r="J117" i="7"/>
  <c r="I117" i="7"/>
  <c r="H117" i="7"/>
  <c r="G117" i="7"/>
  <c r="F117" i="7"/>
  <c r="J116" i="7"/>
  <c r="I116" i="7"/>
  <c r="H116" i="7"/>
  <c r="G116" i="7"/>
  <c r="F116" i="7"/>
  <c r="J115" i="7"/>
  <c r="I115" i="7"/>
  <c r="H115" i="7"/>
  <c r="G115" i="7"/>
  <c r="F115" i="7"/>
  <c r="V114" i="7"/>
  <c r="T114" i="7"/>
  <c r="R114" i="7"/>
  <c r="U114" i="7"/>
  <c r="S114" i="7"/>
  <c r="Q114" i="7"/>
  <c r="E114" i="7"/>
  <c r="D114" i="7"/>
  <c r="C114" i="7"/>
  <c r="B114" i="7"/>
  <c r="K112" i="7"/>
  <c r="H112" i="7"/>
  <c r="G112" i="7"/>
  <c r="E112" i="7"/>
  <c r="E111" i="7"/>
  <c r="E110" i="7"/>
  <c r="E109" i="7"/>
  <c r="J108" i="7"/>
  <c r="I108" i="7"/>
  <c r="H108" i="7"/>
  <c r="F108" i="7"/>
  <c r="V108" i="7"/>
  <c r="T108" i="7"/>
  <c r="R108" i="7"/>
  <c r="U108" i="7"/>
  <c r="S108" i="7"/>
  <c r="Q108" i="7"/>
  <c r="E108" i="7"/>
  <c r="D108" i="7"/>
  <c r="C108" i="7"/>
  <c r="B108" i="7"/>
  <c r="J107" i="7"/>
  <c r="I107" i="7"/>
  <c r="H107" i="7"/>
  <c r="F107" i="7"/>
  <c r="V107" i="7"/>
  <c r="T107" i="7"/>
  <c r="R107" i="7"/>
  <c r="U107" i="7"/>
  <c r="S107" i="7"/>
  <c r="Q107" i="7"/>
  <c r="E107" i="7"/>
  <c r="D107" i="7"/>
  <c r="C107" i="7"/>
  <c r="B107" i="7"/>
  <c r="J106" i="7"/>
  <c r="I106" i="7"/>
  <c r="H106" i="7"/>
  <c r="G106" i="7"/>
  <c r="F106" i="7"/>
  <c r="J105" i="7"/>
  <c r="I105" i="7"/>
  <c r="H105" i="7"/>
  <c r="G105" i="7"/>
  <c r="F105" i="7"/>
  <c r="J104" i="7"/>
  <c r="I104" i="7"/>
  <c r="H104" i="7"/>
  <c r="G104" i="7"/>
  <c r="F104" i="7"/>
  <c r="J103" i="7"/>
  <c r="I103" i="7"/>
  <c r="H103" i="7"/>
  <c r="G103" i="7"/>
  <c r="F103" i="7"/>
  <c r="V102" i="7"/>
  <c r="T102" i="7"/>
  <c r="R102" i="7"/>
  <c r="U102" i="7"/>
  <c r="S102" i="7"/>
  <c r="Q102" i="7"/>
  <c r="E102" i="7"/>
  <c r="D102" i="7"/>
  <c r="C102" i="7"/>
  <c r="B102" i="7"/>
  <c r="K100" i="7"/>
  <c r="H100" i="7"/>
  <c r="G100" i="7"/>
  <c r="E100" i="7"/>
  <c r="E99" i="7"/>
  <c r="E98" i="7"/>
  <c r="E97" i="7"/>
  <c r="J96" i="7"/>
  <c r="I96" i="7"/>
  <c r="H96" i="7"/>
  <c r="G96" i="7"/>
  <c r="F96" i="7"/>
  <c r="J95" i="7"/>
  <c r="I95" i="7"/>
  <c r="H95" i="7"/>
  <c r="G95" i="7"/>
  <c r="F95" i="7"/>
  <c r="J94" i="7"/>
  <c r="I94" i="7"/>
  <c r="H94" i="7"/>
  <c r="G94" i="7"/>
  <c r="F94" i="7"/>
  <c r="J93" i="7"/>
  <c r="I93" i="7"/>
  <c r="H93" i="7"/>
  <c r="G93" i="7"/>
  <c r="F93" i="7"/>
  <c r="C92" i="7"/>
  <c r="V91" i="7"/>
  <c r="J99" i="7" s="1"/>
  <c r="T91" i="7"/>
  <c r="J98" i="7" s="1"/>
  <c r="R91" i="7"/>
  <c r="J97" i="7" s="1"/>
  <c r="U91" i="7"/>
  <c r="S91" i="7"/>
  <c r="Q91" i="7"/>
  <c r="E91" i="7"/>
  <c r="D91" i="7"/>
  <c r="C91" i="7"/>
  <c r="B91" i="7"/>
  <c r="K89" i="7"/>
  <c r="H89" i="7"/>
  <c r="G89" i="7"/>
  <c r="E89" i="7"/>
  <c r="E88" i="7"/>
  <c r="E87" i="7"/>
  <c r="E86" i="7"/>
  <c r="J85" i="7"/>
  <c r="I85" i="7"/>
  <c r="H85" i="7"/>
  <c r="G85" i="7"/>
  <c r="F85" i="7"/>
  <c r="J84" i="7"/>
  <c r="I84" i="7"/>
  <c r="H84" i="7"/>
  <c r="G84" i="7"/>
  <c r="F84" i="7"/>
  <c r="J83" i="7"/>
  <c r="I83" i="7"/>
  <c r="H83" i="7"/>
  <c r="G83" i="7"/>
  <c r="F83" i="7"/>
  <c r="C82" i="7"/>
  <c r="V81" i="7"/>
  <c r="J88" i="7" s="1"/>
  <c r="T81" i="7"/>
  <c r="J87" i="7" s="1"/>
  <c r="R81" i="7"/>
  <c r="J86" i="7" s="1"/>
  <c r="U81" i="7"/>
  <c r="S81" i="7"/>
  <c r="Q81" i="7"/>
  <c r="E81" i="7"/>
  <c r="D81" i="7"/>
  <c r="C81" i="7"/>
  <c r="B81" i="7"/>
  <c r="A80" i="7"/>
  <c r="A78" i="7"/>
  <c r="A75" i="7"/>
  <c r="A72" i="7"/>
  <c r="K69" i="7"/>
  <c r="H69" i="7"/>
  <c r="G69" i="7"/>
  <c r="E69" i="7"/>
  <c r="E68" i="7"/>
  <c r="E67" i="7"/>
  <c r="J66" i="7"/>
  <c r="I66" i="7"/>
  <c r="H66" i="7"/>
  <c r="F66" i="7"/>
  <c r="V66" i="7"/>
  <c r="T66" i="7"/>
  <c r="R66" i="7"/>
  <c r="U66" i="7"/>
  <c r="S66" i="7"/>
  <c r="Q66" i="7"/>
  <c r="E66" i="7"/>
  <c r="D66" i="7"/>
  <c r="C66" i="7"/>
  <c r="B66" i="7"/>
  <c r="J65" i="7"/>
  <c r="I65" i="7"/>
  <c r="H65" i="7"/>
  <c r="G65" i="7"/>
  <c r="F65" i="7"/>
  <c r="J64" i="7"/>
  <c r="I64" i="7"/>
  <c r="H64" i="7"/>
  <c r="G64" i="7"/>
  <c r="F64" i="7"/>
  <c r="C63" i="7"/>
  <c r="V62" i="7"/>
  <c r="T62" i="7"/>
  <c r="J68" i="7" s="1"/>
  <c r="R62" i="7"/>
  <c r="U62" i="7"/>
  <c r="S62" i="7"/>
  <c r="Q62" i="7"/>
  <c r="E62" i="7"/>
  <c r="D62" i="7"/>
  <c r="C62" i="7"/>
  <c r="B62" i="7"/>
  <c r="K60" i="7"/>
  <c r="H60" i="7"/>
  <c r="G60" i="7"/>
  <c r="E60" i="7"/>
  <c r="E59" i="7"/>
  <c r="E58" i="7"/>
  <c r="E57" i="7"/>
  <c r="J56" i="7"/>
  <c r="I56" i="7"/>
  <c r="H56" i="7"/>
  <c r="F56" i="7"/>
  <c r="V56" i="7"/>
  <c r="T56" i="7"/>
  <c r="R56" i="7"/>
  <c r="U56" i="7"/>
  <c r="S56" i="7"/>
  <c r="Q56" i="7"/>
  <c r="E56" i="7"/>
  <c r="D56" i="7"/>
  <c r="C56" i="7"/>
  <c r="B56" i="7"/>
  <c r="J55" i="7"/>
  <c r="I55" i="7"/>
  <c r="H55" i="7"/>
  <c r="G55" i="7"/>
  <c r="F55" i="7"/>
  <c r="J54" i="7"/>
  <c r="I54" i="7"/>
  <c r="H54" i="7"/>
  <c r="G54" i="7"/>
  <c r="F54" i="7"/>
  <c r="J53" i="7"/>
  <c r="I53" i="7"/>
  <c r="H53" i="7"/>
  <c r="G53" i="7"/>
  <c r="F53" i="7"/>
  <c r="J52" i="7"/>
  <c r="I52" i="7"/>
  <c r="H52" i="7"/>
  <c r="G52" i="7"/>
  <c r="F52" i="7"/>
  <c r="V51" i="7"/>
  <c r="T51" i="7"/>
  <c r="R51" i="7"/>
  <c r="U51" i="7"/>
  <c r="S51" i="7"/>
  <c r="Q51" i="7"/>
  <c r="E51" i="7"/>
  <c r="D51" i="7"/>
  <c r="C51" i="7"/>
  <c r="B51" i="7"/>
  <c r="K49" i="7"/>
  <c r="H49" i="7"/>
  <c r="G49" i="7"/>
  <c r="E49" i="7"/>
  <c r="E48" i="7"/>
  <c r="E47" i="7"/>
  <c r="J46" i="7"/>
  <c r="I46" i="7"/>
  <c r="H46" i="7"/>
  <c r="G46" i="7"/>
  <c r="F46" i="7"/>
  <c r="C45" i="7"/>
  <c r="V44" i="7"/>
  <c r="T44" i="7"/>
  <c r="J48" i="7" s="1"/>
  <c r="R44" i="7"/>
  <c r="J47" i="7" s="1"/>
  <c r="U44" i="7"/>
  <c r="S44" i="7"/>
  <c r="Q44" i="7"/>
  <c r="E44" i="7"/>
  <c r="D44" i="7"/>
  <c r="C44" i="7"/>
  <c r="B44" i="7"/>
  <c r="K42" i="7"/>
  <c r="H42" i="7"/>
  <c r="G42" i="7"/>
  <c r="E42" i="7"/>
  <c r="E41" i="7"/>
  <c r="E40" i="7"/>
  <c r="E39" i="7"/>
  <c r="J38" i="7"/>
  <c r="I38" i="7"/>
  <c r="H38" i="7"/>
  <c r="G38" i="7"/>
  <c r="F38" i="7"/>
  <c r="J37" i="7"/>
  <c r="I37" i="7"/>
  <c r="H37" i="7"/>
  <c r="G37" i="7"/>
  <c r="F37" i="7"/>
  <c r="J36" i="7"/>
  <c r="I36" i="7"/>
  <c r="H36" i="7"/>
  <c r="G36" i="7"/>
  <c r="F36" i="7"/>
  <c r="V35" i="7"/>
  <c r="J41" i="7" s="1"/>
  <c r="T35" i="7"/>
  <c r="J40" i="7" s="1"/>
  <c r="R35" i="7"/>
  <c r="J39" i="7" s="1"/>
  <c r="U35" i="7"/>
  <c r="S35" i="7"/>
  <c r="Q35" i="7"/>
  <c r="E35" i="7"/>
  <c r="D35" i="7"/>
  <c r="C35" i="7"/>
  <c r="B35" i="7"/>
  <c r="A34" i="7"/>
  <c r="A32" i="7"/>
  <c r="A18" i="7"/>
  <c r="A15" i="7"/>
  <c r="A13" i="7"/>
  <c r="A10" i="7"/>
  <c r="G6" i="7"/>
  <c r="B6" i="7"/>
  <c r="A1" i="7"/>
  <c r="J122" i="7" l="1"/>
  <c r="J67" i="7"/>
  <c r="I70" i="7" s="1"/>
  <c r="J58" i="7"/>
  <c r="J137" i="7"/>
  <c r="I147" i="7"/>
  <c r="J164" i="7"/>
  <c r="J110" i="7"/>
  <c r="I20" i="7"/>
  <c r="J59" i="7"/>
  <c r="J109" i="7"/>
  <c r="J111" i="7"/>
  <c r="J121" i="7"/>
  <c r="I125" i="7" s="1"/>
  <c r="J123" i="7"/>
  <c r="J165" i="7"/>
  <c r="I167" i="7" s="1"/>
  <c r="J136" i="7"/>
  <c r="I139" i="7" s="1"/>
  <c r="J57" i="7"/>
  <c r="I61" i="7" s="1"/>
  <c r="J135" i="7"/>
  <c r="F22" i="9"/>
  <c r="T47" i="10"/>
  <c r="D86" i="9"/>
  <c r="M110" i="10"/>
  <c r="F86" i="9" s="1"/>
  <c r="M9" i="10"/>
  <c r="F36" i="9" s="1"/>
  <c r="M10" i="10"/>
  <c r="F29" i="9" s="1"/>
  <c r="R15" i="10"/>
  <c r="M20" i="10"/>
  <c r="F50" i="9" s="1"/>
  <c r="M21" i="10"/>
  <c r="F43" i="9" s="1"/>
  <c r="M22" i="10"/>
  <c r="F41" i="9" s="1"/>
  <c r="R27" i="10"/>
  <c r="M37" i="10"/>
  <c r="M38" i="10"/>
  <c r="F19" i="9" s="1"/>
  <c r="M39" i="10"/>
  <c r="R52" i="10"/>
  <c r="R53" i="10"/>
  <c r="M61" i="10"/>
  <c r="F37" i="9" s="1"/>
  <c r="T66" i="10"/>
  <c r="O113" i="10"/>
  <c r="G87" i="9" s="1"/>
  <c r="T44" i="10"/>
  <c r="E59" i="9"/>
  <c r="R16" i="10"/>
  <c r="D17" i="9"/>
  <c r="R28" i="10"/>
  <c r="T29" i="10"/>
  <c r="M42" i="10"/>
  <c r="F30" i="9" s="1"/>
  <c r="M43" i="10"/>
  <c r="F33" i="9" s="1"/>
  <c r="M44" i="10"/>
  <c r="F35" i="9" s="1"/>
  <c r="M46" i="10"/>
  <c r="F34" i="9" s="1"/>
  <c r="M47" i="10"/>
  <c r="F24" i="9" s="1"/>
  <c r="M57" i="10"/>
  <c r="F45" i="9" s="1"/>
  <c r="M58" i="10"/>
  <c r="F44" i="9" s="1"/>
  <c r="M60" i="10"/>
  <c r="F32" i="9" s="1"/>
  <c r="D70" i="9"/>
  <c r="R84" i="10"/>
  <c r="M84" i="10"/>
  <c r="F70" i="9" s="1"/>
  <c r="O110" i="10"/>
  <c r="G86" i="9" s="1"/>
  <c r="D63" i="9"/>
  <c r="M112" i="10"/>
  <c r="F63" i="9" s="1"/>
  <c r="R113" i="10"/>
  <c r="T43" i="10"/>
  <c r="T45" i="10"/>
  <c r="G22" i="9"/>
  <c r="F21" i="9"/>
  <c r="G20" i="9"/>
  <c r="M50" i="10"/>
  <c r="F49" i="9" s="1"/>
  <c r="M56" i="10"/>
  <c r="F46" i="9" s="1"/>
  <c r="G78" i="9"/>
  <c r="D77" i="9"/>
  <c r="M109" i="10"/>
  <c r="F77" i="9" s="1"/>
  <c r="R110" i="10"/>
  <c r="G38" i="9"/>
  <c r="T41" i="10"/>
  <c r="T42" i="10"/>
  <c r="T46" i="10"/>
  <c r="M13" i="10"/>
  <c r="F20" i="9" s="1"/>
  <c r="O14" i="10"/>
  <c r="G19" i="9" s="1"/>
  <c r="F18" i="9"/>
  <c r="M17" i="10"/>
  <c r="F17" i="9" s="1"/>
  <c r="M25" i="10"/>
  <c r="F31" i="9" s="1"/>
  <c r="O26" i="10"/>
  <c r="G29" i="9" s="1"/>
  <c r="D38" i="9"/>
  <c r="R33" i="10"/>
  <c r="R34" i="10"/>
  <c r="R35" i="10"/>
  <c r="M49" i="10"/>
  <c r="F14" i="9" s="1"/>
  <c r="E15" i="9" s="1"/>
  <c r="O51" i="10"/>
  <c r="G43" i="9" s="1"/>
  <c r="O54" i="10"/>
  <c r="G28" i="9" s="1"/>
  <c r="F80" i="9"/>
  <c r="O84" i="10"/>
  <c r="G70" i="9" s="1"/>
  <c r="T86" i="10"/>
  <c r="R86" i="10"/>
  <c r="O112" i="10"/>
  <c r="G63" i="9" s="1"/>
  <c r="D22" i="9"/>
  <c r="G18" i="9"/>
  <c r="O56" i="10"/>
  <c r="G46" i="9" s="1"/>
  <c r="R57" i="10"/>
  <c r="O65" i="10"/>
  <c r="G57" i="9" s="1"/>
  <c r="G80" i="9"/>
  <c r="T68" i="10"/>
  <c r="R68" i="10"/>
  <c r="T77" i="10"/>
  <c r="R77" i="10"/>
  <c r="O91" i="10"/>
  <c r="G73" i="9" s="1"/>
  <c r="M91" i="10"/>
  <c r="F73" i="9" s="1"/>
  <c r="O109" i="10"/>
  <c r="G77" i="9" s="1"/>
  <c r="T110" i="10"/>
  <c r="D62" i="9"/>
  <c r="M111" i="10"/>
  <c r="F62" i="9" s="1"/>
  <c r="R112" i="10"/>
  <c r="G17" i="9"/>
  <c r="F38" i="9"/>
  <c r="R42" i="10"/>
  <c r="R43" i="10"/>
  <c r="R44" i="10"/>
  <c r="R46" i="10"/>
  <c r="R47" i="10"/>
  <c r="R56" i="10"/>
  <c r="O73" i="10"/>
  <c r="G72" i="9" s="1"/>
  <c r="M73" i="10"/>
  <c r="F72" i="9" s="1"/>
  <c r="G64" i="9"/>
  <c r="O82" i="10"/>
  <c r="M82" i="10"/>
  <c r="F64" i="9" s="1"/>
  <c r="E89" i="9" s="1"/>
  <c r="T94" i="10"/>
  <c r="R94" i="10"/>
  <c r="R109" i="10"/>
  <c r="D31" i="9"/>
  <c r="T57" i="10"/>
  <c r="G74" i="9"/>
  <c r="T84" i="10"/>
  <c r="F81" i="9"/>
  <c r="O99" i="10"/>
  <c r="G75" i="9" s="1"/>
  <c r="M99" i="10"/>
  <c r="F75" i="9" s="1"/>
  <c r="T102" i="10"/>
  <c r="R102" i="10"/>
  <c r="O107" i="10"/>
  <c r="M107" i="10"/>
  <c r="F74" i="9" s="1"/>
  <c r="D87" i="9"/>
  <c r="M113" i="10"/>
  <c r="F87" i="9" s="1"/>
  <c r="M101" i="10"/>
  <c r="F71" i="9" s="1"/>
  <c r="R104" i="10"/>
  <c r="M67" i="10"/>
  <c r="F78" i="9" s="1"/>
  <c r="M68" i="10"/>
  <c r="F58" i="9" s="1"/>
  <c r="R71" i="10"/>
  <c r="M77" i="10"/>
  <c r="F84" i="9" s="1"/>
  <c r="R80" i="10"/>
  <c r="M86" i="10"/>
  <c r="F82" i="9" s="1"/>
  <c r="R89" i="10"/>
  <c r="M94" i="10"/>
  <c r="F65" i="9" s="1"/>
  <c r="R97" i="10"/>
  <c r="M102" i="10"/>
  <c r="F67" i="9" s="1"/>
  <c r="R105" i="10"/>
  <c r="I50" i="7"/>
  <c r="I90" i="7"/>
  <c r="I155" i="7"/>
  <c r="I101" i="7"/>
  <c r="I43" i="7"/>
  <c r="P147" i="7"/>
  <c r="K147" i="7"/>
  <c r="K70" i="7"/>
  <c r="P70" i="7"/>
  <c r="A1" i="4"/>
  <c r="A2" i="4"/>
  <c r="A3" i="4"/>
  <c r="A4" i="4"/>
  <c r="A5" i="4"/>
  <c r="A6" i="4"/>
  <c r="A7" i="4"/>
  <c r="A8" i="4"/>
  <c r="A9" i="4"/>
  <c r="A10" i="4"/>
  <c r="A11" i="4"/>
  <c r="A12" i="4"/>
  <c r="A13" i="4"/>
  <c r="A14" i="4"/>
  <c r="A15" i="4"/>
  <c r="A16" i="4"/>
  <c r="A17" i="4"/>
  <c r="A18" i="4"/>
  <c r="A19" i="4"/>
  <c r="A20" i="4"/>
  <c r="A21" i="4"/>
  <c r="A22" i="4"/>
  <c r="A23" i="4"/>
  <c r="A24" i="4"/>
  <c r="A25" i="4"/>
  <c r="A26" i="4"/>
  <c r="A27" i="4"/>
  <c r="A28" i="4"/>
  <c r="A29" i="4"/>
  <c r="A30" i="4"/>
  <c r="A31" i="4"/>
  <c r="A32" i="4"/>
  <c r="A33" i="4"/>
  <c r="A34" i="4"/>
  <c r="A35" i="4"/>
  <c r="A36" i="4"/>
  <c r="A37" i="4"/>
  <c r="A38" i="4"/>
  <c r="A39" i="4"/>
  <c r="A40" i="4"/>
  <c r="A41" i="4"/>
  <c r="A42" i="4"/>
  <c r="A43" i="4"/>
  <c r="A44" i="4"/>
  <c r="A45" i="4"/>
  <c r="A46" i="4"/>
  <c r="A47" i="4"/>
  <c r="A48" i="4"/>
  <c r="A49" i="4"/>
  <c r="A50" i="4"/>
  <c r="A51" i="4"/>
  <c r="A52" i="4"/>
  <c r="A53" i="4"/>
  <c r="A54" i="4"/>
  <c r="A55" i="4"/>
  <c r="A56" i="4"/>
  <c r="A57" i="4"/>
  <c r="A58" i="4"/>
  <c r="A59" i="4"/>
  <c r="A60" i="4"/>
  <c r="A61" i="4"/>
  <c r="A62" i="4"/>
  <c r="A63" i="4"/>
  <c r="A64" i="4"/>
  <c r="A65" i="4"/>
  <c r="A66" i="4"/>
  <c r="A67" i="4"/>
  <c r="A68" i="4"/>
  <c r="A69" i="4"/>
  <c r="A70" i="4"/>
  <c r="A71" i="4"/>
  <c r="A72" i="4"/>
  <c r="A73" i="4"/>
  <c r="A74" i="4"/>
  <c r="A75" i="4"/>
  <c r="A76" i="4"/>
  <c r="A77" i="4"/>
  <c r="A78" i="4"/>
  <c r="A79" i="4"/>
  <c r="A80" i="4"/>
  <c r="A81" i="4"/>
  <c r="A82" i="4"/>
  <c r="A83" i="4"/>
  <c r="A84" i="4"/>
  <c r="A85" i="4"/>
  <c r="A86" i="4"/>
  <c r="A87" i="4"/>
  <c r="A88" i="4"/>
  <c r="A89" i="4"/>
  <c r="A90" i="4"/>
  <c r="A91" i="4"/>
  <c r="A92" i="4"/>
  <c r="A93" i="4"/>
  <c r="A94" i="4"/>
  <c r="A95" i="4"/>
  <c r="A96" i="4"/>
  <c r="A97" i="4"/>
  <c r="A98" i="4"/>
  <c r="A99" i="4"/>
  <c r="A100" i="4"/>
  <c r="A101" i="4"/>
  <c r="A102" i="4"/>
  <c r="A103" i="4"/>
  <c r="A104" i="4"/>
  <c r="A105" i="4"/>
  <c r="A106" i="4"/>
  <c r="A107" i="4"/>
  <c r="A108" i="4"/>
  <c r="A109" i="4"/>
  <c r="A110" i="4"/>
  <c r="A111" i="4"/>
  <c r="A112" i="4"/>
  <c r="A113" i="4"/>
  <c r="A114" i="4"/>
  <c r="A115" i="4"/>
  <c r="A116" i="4"/>
  <c r="A117" i="4"/>
  <c r="A118" i="4"/>
  <c r="A119" i="4"/>
  <c r="A120" i="4"/>
  <c r="A121" i="4"/>
  <c r="A122" i="4"/>
  <c r="A123" i="4"/>
  <c r="A1" i="3"/>
  <c r="Y1" i="3"/>
  <c r="CV1" i="3" s="1"/>
  <c r="CU1" i="3"/>
  <c r="CY1" i="3"/>
  <c r="CZ1" i="3"/>
  <c r="DA1" i="3"/>
  <c r="DB1" i="3"/>
  <c r="DC1" i="3"/>
  <c r="A2" i="3"/>
  <c r="Y2" i="3"/>
  <c r="CX2" i="3" s="1"/>
  <c r="CW2" i="3"/>
  <c r="CY2" i="3"/>
  <c r="CZ2" i="3"/>
  <c r="DB2" i="3" s="1"/>
  <c r="DA2" i="3"/>
  <c r="DC2" i="3"/>
  <c r="DF2" i="3"/>
  <c r="A3" i="3"/>
  <c r="Y3" i="3"/>
  <c r="CX3" i="3"/>
  <c r="CY3" i="3"/>
  <c r="CZ3" i="3"/>
  <c r="DB3" i="3" s="1"/>
  <c r="DA3" i="3"/>
  <c r="DC3" i="3"/>
  <c r="A4" i="3"/>
  <c r="Y4" i="3"/>
  <c r="CX4" i="3"/>
  <c r="DI4" i="3" s="1"/>
  <c r="CY4" i="3"/>
  <c r="CZ4" i="3"/>
  <c r="DA4" i="3"/>
  <c r="DB4" i="3"/>
  <c r="DC4" i="3"/>
  <c r="DF4" i="3"/>
  <c r="DJ4" i="3" s="1"/>
  <c r="DH4" i="3"/>
  <c r="A5" i="3"/>
  <c r="Y5" i="3"/>
  <c r="CX5" i="3"/>
  <c r="DI5" i="3" s="1"/>
  <c r="CY5" i="3"/>
  <c r="CZ5" i="3"/>
  <c r="DB5" i="3" s="1"/>
  <c r="DA5" i="3"/>
  <c r="DC5" i="3"/>
  <c r="DF5" i="3"/>
  <c r="DJ5" i="3" s="1"/>
  <c r="A6" i="3"/>
  <c r="Y6" i="3"/>
  <c r="CX6" i="3"/>
  <c r="DG6" i="3" s="1"/>
  <c r="CY6" i="3"/>
  <c r="CZ6" i="3"/>
  <c r="DB6" i="3" s="1"/>
  <c r="DA6" i="3"/>
  <c r="DC6" i="3"/>
  <c r="DF6" i="3"/>
  <c r="DH6" i="3"/>
  <c r="DI6" i="3"/>
  <c r="DJ6" i="3"/>
  <c r="A7" i="3"/>
  <c r="Y7" i="3"/>
  <c r="CX7" i="3" s="1"/>
  <c r="CY7" i="3"/>
  <c r="CZ7" i="3"/>
  <c r="DA7" i="3"/>
  <c r="DB7" i="3"/>
  <c r="DC7" i="3"/>
  <c r="DF7" i="3"/>
  <c r="DJ7" i="3" s="1"/>
  <c r="A8" i="3"/>
  <c r="Y8" i="3"/>
  <c r="CX8" i="3"/>
  <c r="CY8" i="3"/>
  <c r="CZ8" i="3"/>
  <c r="DB8" i="3" s="1"/>
  <c r="DA8" i="3"/>
  <c r="DC8" i="3"/>
  <c r="A9" i="3"/>
  <c r="Y9" i="3"/>
  <c r="CX9" i="3" s="1"/>
  <c r="CY9" i="3"/>
  <c r="CZ9" i="3"/>
  <c r="DB9" i="3" s="1"/>
  <c r="DA9" i="3"/>
  <c r="DC9" i="3"/>
  <c r="A10" i="3"/>
  <c r="Y10" i="3"/>
  <c r="CX10" i="3" s="1"/>
  <c r="DF10" i="3" s="1"/>
  <c r="DJ10" i="3" s="1"/>
  <c r="CY10" i="3"/>
  <c r="CZ10" i="3"/>
  <c r="DB10" i="3" s="1"/>
  <c r="DA10" i="3"/>
  <c r="DC10" i="3"/>
  <c r="A11" i="3"/>
  <c r="Y11" i="3"/>
  <c r="CX11" i="3"/>
  <c r="CY11" i="3"/>
  <c r="CZ11" i="3"/>
  <c r="DB11" i="3" s="1"/>
  <c r="DA11" i="3"/>
  <c r="DC11" i="3"/>
  <c r="DH11" i="3"/>
  <c r="DI11" i="3"/>
  <c r="A12" i="3"/>
  <c r="Y12" i="3"/>
  <c r="CX12" i="3"/>
  <c r="DI12" i="3" s="1"/>
  <c r="CY12" i="3"/>
  <c r="CZ12" i="3"/>
  <c r="DA12" i="3"/>
  <c r="DB12" i="3"/>
  <c r="DC12" i="3"/>
  <c r="DF12" i="3"/>
  <c r="DJ12" i="3" s="1"/>
  <c r="DH12" i="3"/>
  <c r="A13" i="3"/>
  <c r="Y13" i="3"/>
  <c r="CX13" i="3" s="1"/>
  <c r="CY13" i="3"/>
  <c r="CZ13" i="3"/>
  <c r="DB13" i="3" s="1"/>
  <c r="DA13" i="3"/>
  <c r="DC13" i="3"/>
  <c r="A14" i="3"/>
  <c r="Y14" i="3"/>
  <c r="CU14" i="3"/>
  <c r="CV14" i="3"/>
  <c r="CX14" i="3"/>
  <c r="DF14" i="3" s="1"/>
  <c r="CY14" i="3"/>
  <c r="CZ14" i="3"/>
  <c r="DB14" i="3" s="1"/>
  <c r="DA14" i="3"/>
  <c r="DC14" i="3"/>
  <c r="DG14" i="3"/>
  <c r="DH14" i="3"/>
  <c r="DI14" i="3"/>
  <c r="DJ14" i="3" s="1"/>
  <c r="A15" i="3"/>
  <c r="Y15" i="3"/>
  <c r="CW15" i="3" s="1"/>
  <c r="CY15" i="3"/>
  <c r="CZ15" i="3"/>
  <c r="DB15" i="3" s="1"/>
  <c r="DA15" i="3"/>
  <c r="DC15" i="3"/>
  <c r="A16" i="3"/>
  <c r="Y16" i="3"/>
  <c r="CX16" i="3" s="1"/>
  <c r="CY16" i="3"/>
  <c r="CZ16" i="3"/>
  <c r="DA16" i="3"/>
  <c r="DB16" i="3"/>
  <c r="DC16" i="3"/>
  <c r="A17" i="3"/>
  <c r="Y17" i="3"/>
  <c r="CX17" i="3" s="1"/>
  <c r="CY17" i="3"/>
  <c r="CZ17" i="3"/>
  <c r="DB17" i="3" s="1"/>
  <c r="DA17" i="3"/>
  <c r="DC17" i="3"/>
  <c r="A18" i="3"/>
  <c r="Y18" i="3"/>
  <c r="CX18" i="3" s="1"/>
  <c r="CY18" i="3"/>
  <c r="CZ18" i="3"/>
  <c r="DA18" i="3"/>
  <c r="DB18" i="3"/>
  <c r="DC18" i="3"/>
  <c r="A19" i="3"/>
  <c r="Y19" i="3"/>
  <c r="CX19" i="3" s="1"/>
  <c r="CY19" i="3"/>
  <c r="CZ19" i="3"/>
  <c r="DB19" i="3" s="1"/>
  <c r="DA19" i="3"/>
  <c r="DC19" i="3"/>
  <c r="DG19" i="3"/>
  <c r="A20" i="3"/>
  <c r="Y20" i="3"/>
  <c r="CX20" i="3"/>
  <c r="CY20" i="3"/>
  <c r="CZ20" i="3"/>
  <c r="DB20" i="3" s="1"/>
  <c r="DA20" i="3"/>
  <c r="DC20" i="3"/>
  <c r="DH20" i="3"/>
  <c r="A21" i="3"/>
  <c r="Y21" i="3"/>
  <c r="CX21" i="3"/>
  <c r="DI21" i="3" s="1"/>
  <c r="CY21" i="3"/>
  <c r="CZ21" i="3"/>
  <c r="DA21" i="3"/>
  <c r="DB21" i="3"/>
  <c r="DC21" i="3"/>
  <c r="DF21" i="3"/>
  <c r="DJ21" i="3" s="1"/>
  <c r="DH21" i="3"/>
  <c r="A22" i="3"/>
  <c r="Y22" i="3"/>
  <c r="CX22" i="3" s="1"/>
  <c r="CY22" i="3"/>
  <c r="CZ22" i="3"/>
  <c r="DA22" i="3"/>
  <c r="DB22" i="3"/>
  <c r="DC22" i="3"/>
  <c r="A23" i="3"/>
  <c r="Y23" i="3"/>
  <c r="CX23" i="3" s="1"/>
  <c r="CY23" i="3"/>
  <c r="CZ23" i="3"/>
  <c r="DB23" i="3" s="1"/>
  <c r="DA23" i="3"/>
  <c r="DC23" i="3"/>
  <c r="DI23" i="3"/>
  <c r="A24" i="3"/>
  <c r="Y24" i="3"/>
  <c r="CX24" i="3" s="1"/>
  <c r="CY24" i="3"/>
  <c r="CZ24" i="3"/>
  <c r="DA24" i="3"/>
  <c r="DB24" i="3"/>
  <c r="DC24" i="3"/>
  <c r="A25" i="3"/>
  <c r="Y25" i="3"/>
  <c r="CX25" i="3"/>
  <c r="DF25" i="3" s="1"/>
  <c r="DJ25" i="3" s="1"/>
  <c r="CY25" i="3"/>
  <c r="CZ25" i="3"/>
  <c r="DB25" i="3" s="1"/>
  <c r="DA25" i="3"/>
  <c r="DC25" i="3"/>
  <c r="DH25" i="3"/>
  <c r="A26" i="3"/>
  <c r="Y26" i="3"/>
  <c r="CX26" i="3" s="1"/>
  <c r="CY26" i="3"/>
  <c r="CZ26" i="3"/>
  <c r="DB26" i="3" s="1"/>
  <c r="DA26" i="3"/>
  <c r="DC26" i="3"/>
  <c r="A27" i="3"/>
  <c r="Y27" i="3"/>
  <c r="CU27" i="3"/>
  <c r="CY27" i="3"/>
  <c r="CZ27" i="3"/>
  <c r="DA27" i="3"/>
  <c r="DB27" i="3"/>
  <c r="DC27" i="3"/>
  <c r="A28" i="3"/>
  <c r="Y28" i="3"/>
  <c r="CX28" i="3" s="1"/>
  <c r="CY28" i="3"/>
  <c r="CZ28" i="3"/>
  <c r="DB28" i="3" s="1"/>
  <c r="DA28" i="3"/>
  <c r="DC28" i="3"/>
  <c r="DG28" i="3"/>
  <c r="DJ28" i="3" s="1"/>
  <c r="A29" i="3"/>
  <c r="Y29" i="3"/>
  <c r="CX29" i="3"/>
  <c r="CY29" i="3"/>
  <c r="CZ29" i="3"/>
  <c r="DB29" i="3" s="1"/>
  <c r="DA29" i="3"/>
  <c r="DC29" i="3"/>
  <c r="A30" i="3"/>
  <c r="Y30" i="3"/>
  <c r="CX30" i="3"/>
  <c r="DI30" i="3" s="1"/>
  <c r="CY30" i="3"/>
  <c r="CZ30" i="3"/>
  <c r="DA30" i="3"/>
  <c r="DB30" i="3"/>
  <c r="DC30" i="3"/>
  <c r="DF30" i="3"/>
  <c r="DJ30" i="3" s="1"/>
  <c r="DH30" i="3"/>
  <c r="A31" i="3"/>
  <c r="Y31" i="3"/>
  <c r="CX31" i="3" s="1"/>
  <c r="CY31" i="3"/>
  <c r="CZ31" i="3"/>
  <c r="DA31" i="3"/>
  <c r="DB31" i="3"/>
  <c r="DC31" i="3"/>
  <c r="A32" i="3"/>
  <c r="Y32" i="3"/>
  <c r="CX32" i="3" s="1"/>
  <c r="CY32" i="3"/>
  <c r="CZ32" i="3"/>
  <c r="DB32" i="3" s="1"/>
  <c r="DA32" i="3"/>
  <c r="DC32" i="3"/>
  <c r="DI32" i="3"/>
  <c r="A33" i="3"/>
  <c r="Y33" i="3"/>
  <c r="CX33" i="3" s="1"/>
  <c r="CY33" i="3"/>
  <c r="CZ33" i="3"/>
  <c r="DA33" i="3"/>
  <c r="DB33" i="3"/>
  <c r="DC33" i="3"/>
  <c r="A34" i="3"/>
  <c r="Y34" i="3"/>
  <c r="CX34" i="3" s="1"/>
  <c r="CY34" i="3"/>
  <c r="CZ34" i="3"/>
  <c r="DB34" i="3" s="1"/>
  <c r="DA34" i="3"/>
  <c r="DC34" i="3"/>
  <c r="A35" i="3"/>
  <c r="Y35" i="3"/>
  <c r="CX35" i="3" s="1"/>
  <c r="CY35" i="3"/>
  <c r="CZ35" i="3"/>
  <c r="DB35" i="3" s="1"/>
  <c r="DA35" i="3"/>
  <c r="DC35" i="3"/>
  <c r="A36" i="3"/>
  <c r="Y36" i="3"/>
  <c r="CX36" i="3" s="1"/>
  <c r="CY36" i="3"/>
  <c r="CZ36" i="3"/>
  <c r="DB36" i="3" s="1"/>
  <c r="DA36" i="3"/>
  <c r="DC36" i="3"/>
  <c r="A37" i="3"/>
  <c r="Y37" i="3"/>
  <c r="CX37" i="3"/>
  <c r="DH37" i="3" s="1"/>
  <c r="CY37" i="3"/>
  <c r="CZ37" i="3"/>
  <c r="DB37" i="3" s="1"/>
  <c r="DA37" i="3"/>
  <c r="DC37" i="3"/>
  <c r="A38" i="3"/>
  <c r="Y38" i="3"/>
  <c r="CX38" i="3"/>
  <c r="DI38" i="3" s="1"/>
  <c r="CY38" i="3"/>
  <c r="CZ38" i="3"/>
  <c r="DA38" i="3"/>
  <c r="DB38" i="3"/>
  <c r="DC38" i="3"/>
  <c r="DF38" i="3"/>
  <c r="DJ38" i="3" s="1"/>
  <c r="DH38" i="3"/>
  <c r="A39" i="3"/>
  <c r="Y39" i="3"/>
  <c r="CX39" i="3"/>
  <c r="DI39" i="3" s="1"/>
  <c r="CY39" i="3"/>
  <c r="CZ39" i="3"/>
  <c r="DA39" i="3"/>
  <c r="DB39" i="3"/>
  <c r="DC39" i="3"/>
  <c r="DF39" i="3"/>
  <c r="DJ39" i="3" s="1"/>
  <c r="DH39" i="3"/>
  <c r="A40" i="3"/>
  <c r="Y40" i="3"/>
  <c r="CX40" i="3" s="1"/>
  <c r="CY40" i="3"/>
  <c r="CZ40" i="3"/>
  <c r="DB40" i="3" s="1"/>
  <c r="DA40" i="3"/>
  <c r="DC40" i="3"/>
  <c r="A41" i="3"/>
  <c r="Y41" i="3"/>
  <c r="CX41" i="3" s="1"/>
  <c r="CY41" i="3"/>
  <c r="CZ41" i="3"/>
  <c r="DA41" i="3"/>
  <c r="DB41" i="3"/>
  <c r="DC41" i="3"/>
  <c r="DF41" i="3"/>
  <c r="DJ41" i="3" s="1"/>
  <c r="A42" i="3"/>
  <c r="Y42" i="3"/>
  <c r="CX42" i="3"/>
  <c r="CY42" i="3"/>
  <c r="CZ42" i="3"/>
  <c r="DB42" i="3" s="1"/>
  <c r="DA42" i="3"/>
  <c r="DC42" i="3"/>
  <c r="A43" i="3"/>
  <c r="Y43" i="3"/>
  <c r="CV43" i="3" s="1"/>
  <c r="CU43" i="3"/>
  <c r="CX43" i="3"/>
  <c r="CY43" i="3"/>
  <c r="CZ43" i="3"/>
  <c r="DB43" i="3" s="1"/>
  <c r="DA43" i="3"/>
  <c r="DC43" i="3"/>
  <c r="DH43" i="3"/>
  <c r="A44" i="3"/>
  <c r="Y44" i="3"/>
  <c r="CW44" i="3"/>
  <c r="CX44" i="3"/>
  <c r="DI44" i="3" s="1"/>
  <c r="CY44" i="3"/>
  <c r="CZ44" i="3"/>
  <c r="DB44" i="3" s="1"/>
  <c r="DA44" i="3"/>
  <c r="DC44" i="3"/>
  <c r="DH44" i="3"/>
  <c r="A45" i="3"/>
  <c r="Y45" i="3"/>
  <c r="CX45" i="3" s="1"/>
  <c r="CY45" i="3"/>
  <c r="CZ45" i="3"/>
  <c r="DB45" i="3" s="1"/>
  <c r="DA45" i="3"/>
  <c r="DC45" i="3"/>
  <c r="DG45" i="3"/>
  <c r="A46" i="3"/>
  <c r="Y46" i="3"/>
  <c r="CX46" i="3"/>
  <c r="CY46" i="3"/>
  <c r="CZ46" i="3"/>
  <c r="DB46" i="3" s="1"/>
  <c r="DA46" i="3"/>
  <c r="DC46" i="3"/>
  <c r="A47" i="3"/>
  <c r="Y47" i="3"/>
  <c r="CY47" i="3"/>
  <c r="CZ47" i="3"/>
  <c r="DB47" i="3" s="1"/>
  <c r="DA47" i="3"/>
  <c r="DC47" i="3"/>
  <c r="A48" i="3"/>
  <c r="Y48" i="3"/>
  <c r="CY48" i="3"/>
  <c r="CZ48" i="3"/>
  <c r="DA48" i="3"/>
  <c r="DB48" i="3"/>
  <c r="DC48" i="3"/>
  <c r="A49" i="3"/>
  <c r="Y49" i="3"/>
  <c r="CY49" i="3"/>
  <c r="CZ49" i="3"/>
  <c r="DA49" i="3"/>
  <c r="DB49" i="3"/>
  <c r="DC49" i="3"/>
  <c r="A50" i="3"/>
  <c r="Y50" i="3"/>
  <c r="CY50" i="3"/>
  <c r="CZ50" i="3"/>
  <c r="DA50" i="3"/>
  <c r="DB50" i="3"/>
  <c r="DC50" i="3"/>
  <c r="A51" i="3"/>
  <c r="Y51" i="3"/>
  <c r="CU51" i="3"/>
  <c r="CY51" i="3"/>
  <c r="CZ51" i="3"/>
  <c r="DA51" i="3"/>
  <c r="DB51" i="3"/>
  <c r="DC51" i="3"/>
  <c r="A52" i="3"/>
  <c r="Y52" i="3"/>
  <c r="CX52" i="3" s="1"/>
  <c r="CW52" i="3"/>
  <c r="CY52" i="3"/>
  <c r="CZ52" i="3"/>
  <c r="DB52" i="3" s="1"/>
  <c r="DA52" i="3"/>
  <c r="DC52" i="3"/>
  <c r="DF52" i="3"/>
  <c r="DG52" i="3"/>
  <c r="DJ52" i="3" s="1"/>
  <c r="A53" i="3"/>
  <c r="Y53" i="3"/>
  <c r="CX53" i="3"/>
  <c r="CY53" i="3"/>
  <c r="CZ53" i="3"/>
  <c r="DB53" i="3" s="1"/>
  <c r="DA53" i="3"/>
  <c r="DC53" i="3"/>
  <c r="DH53" i="3"/>
  <c r="A54" i="3"/>
  <c r="Y54" i="3"/>
  <c r="CX54" i="3"/>
  <c r="DI54" i="3" s="1"/>
  <c r="CY54" i="3"/>
  <c r="CZ54" i="3"/>
  <c r="DA54" i="3"/>
  <c r="DB54" i="3"/>
  <c r="DC54" i="3"/>
  <c r="DH54" i="3"/>
  <c r="A55" i="3"/>
  <c r="Y55" i="3"/>
  <c r="CX55" i="3" s="1"/>
  <c r="CY55" i="3"/>
  <c r="CZ55" i="3"/>
  <c r="DA55" i="3"/>
  <c r="DB55" i="3"/>
  <c r="DC55" i="3"/>
  <c r="A56" i="3"/>
  <c r="Y56" i="3"/>
  <c r="CY56" i="3"/>
  <c r="CZ56" i="3"/>
  <c r="DA56" i="3"/>
  <c r="DB56" i="3"/>
  <c r="DC56" i="3"/>
  <c r="A57" i="3"/>
  <c r="Y57" i="3"/>
  <c r="CY57" i="3"/>
  <c r="CZ57" i="3"/>
  <c r="DA57" i="3"/>
  <c r="DB57" i="3"/>
  <c r="DC57" i="3"/>
  <c r="A58" i="3"/>
  <c r="Y58" i="3"/>
  <c r="CY58" i="3"/>
  <c r="CZ58" i="3"/>
  <c r="DB58" i="3" s="1"/>
  <c r="DA58" i="3"/>
  <c r="DC58" i="3"/>
  <c r="A59" i="3"/>
  <c r="Y59" i="3"/>
  <c r="CY59" i="3"/>
  <c r="CZ59" i="3"/>
  <c r="DB59" i="3" s="1"/>
  <c r="DA59" i="3"/>
  <c r="DC59" i="3"/>
  <c r="A60" i="3"/>
  <c r="Y60" i="3"/>
  <c r="CY60" i="3"/>
  <c r="CZ60" i="3"/>
  <c r="DA60" i="3"/>
  <c r="DB60" i="3"/>
  <c r="DC60" i="3"/>
  <c r="A61" i="3"/>
  <c r="Y61" i="3"/>
  <c r="CY61" i="3"/>
  <c r="CZ61" i="3"/>
  <c r="DA61" i="3"/>
  <c r="DB61" i="3"/>
  <c r="DC61" i="3"/>
  <c r="A62" i="3"/>
  <c r="Y62" i="3"/>
  <c r="CY62" i="3"/>
  <c r="CZ62" i="3"/>
  <c r="DA62" i="3"/>
  <c r="DB62" i="3"/>
  <c r="DC62" i="3"/>
  <c r="A63" i="3"/>
  <c r="Y63" i="3"/>
  <c r="CY63" i="3"/>
  <c r="CZ63" i="3"/>
  <c r="DB63" i="3" s="1"/>
  <c r="DA63" i="3"/>
  <c r="DC63" i="3"/>
  <c r="A64" i="3"/>
  <c r="Y64" i="3"/>
  <c r="CY64" i="3"/>
  <c r="CZ64" i="3"/>
  <c r="DA64" i="3"/>
  <c r="DB64" i="3"/>
  <c r="DC64" i="3"/>
  <c r="A65" i="3"/>
  <c r="Y65" i="3"/>
  <c r="CY65" i="3"/>
  <c r="CZ65" i="3"/>
  <c r="DA65" i="3"/>
  <c r="DB65" i="3"/>
  <c r="DC65" i="3"/>
  <c r="A66" i="3"/>
  <c r="Y66" i="3"/>
  <c r="CY66" i="3"/>
  <c r="CZ66" i="3"/>
  <c r="DA66" i="3"/>
  <c r="DB66" i="3"/>
  <c r="DC66" i="3"/>
  <c r="A67" i="3"/>
  <c r="Y67" i="3"/>
  <c r="CY67" i="3"/>
  <c r="CZ67" i="3"/>
  <c r="DB67" i="3" s="1"/>
  <c r="DA67" i="3"/>
  <c r="DC67" i="3"/>
  <c r="A68" i="3"/>
  <c r="Y68" i="3"/>
  <c r="CU68" i="3"/>
  <c r="CY68" i="3"/>
  <c r="CZ68" i="3"/>
  <c r="DA68" i="3"/>
  <c r="DB68" i="3"/>
  <c r="DC68" i="3"/>
  <c r="A69" i="3"/>
  <c r="Y69" i="3"/>
  <c r="CY69" i="3"/>
  <c r="CZ69" i="3"/>
  <c r="DB69" i="3" s="1"/>
  <c r="DA69" i="3"/>
  <c r="DC69" i="3"/>
  <c r="A70" i="3"/>
  <c r="Y70" i="3"/>
  <c r="CX70" i="3"/>
  <c r="CY70" i="3"/>
  <c r="CZ70" i="3"/>
  <c r="DB70" i="3" s="1"/>
  <c r="DA70" i="3"/>
  <c r="DC70" i="3"/>
  <c r="DH70" i="3"/>
  <c r="DI70" i="3"/>
  <c r="A71" i="3"/>
  <c r="Y71" i="3"/>
  <c r="CX71" i="3"/>
  <c r="DI71" i="3" s="1"/>
  <c r="CY71" i="3"/>
  <c r="CZ71" i="3"/>
  <c r="DA71" i="3"/>
  <c r="DB71" i="3"/>
  <c r="DC71" i="3"/>
  <c r="DH71" i="3"/>
  <c r="A72" i="3"/>
  <c r="Y72" i="3"/>
  <c r="CX72" i="3"/>
  <c r="DI72" i="3" s="1"/>
  <c r="CY72" i="3"/>
  <c r="CZ72" i="3"/>
  <c r="DA72" i="3"/>
  <c r="DB72" i="3"/>
  <c r="DC72" i="3"/>
  <c r="DF72" i="3"/>
  <c r="DJ72" i="3" s="1"/>
  <c r="DH72" i="3"/>
  <c r="A73" i="3"/>
  <c r="Y73" i="3"/>
  <c r="CX73" i="3" s="1"/>
  <c r="CY73" i="3"/>
  <c r="CZ73" i="3"/>
  <c r="DB73" i="3" s="1"/>
  <c r="DA73" i="3"/>
  <c r="DC73" i="3"/>
  <c r="A74" i="3"/>
  <c r="Y74" i="3"/>
  <c r="CX74" i="3" s="1"/>
  <c r="CY74" i="3"/>
  <c r="CZ74" i="3"/>
  <c r="DA74" i="3"/>
  <c r="DB74" i="3"/>
  <c r="DC74" i="3"/>
  <c r="DF74" i="3"/>
  <c r="DJ74" i="3" s="1"/>
  <c r="A75" i="3"/>
  <c r="Y75" i="3"/>
  <c r="CX75" i="3"/>
  <c r="CY75" i="3"/>
  <c r="CZ75" i="3"/>
  <c r="DA75" i="3"/>
  <c r="DB75" i="3"/>
  <c r="DC75" i="3"/>
  <c r="DI75" i="3"/>
  <c r="A76" i="3"/>
  <c r="Y76" i="3"/>
  <c r="CX76" i="3" s="1"/>
  <c r="CY76" i="3"/>
  <c r="CZ76" i="3"/>
  <c r="DA76" i="3"/>
  <c r="DB76" i="3"/>
  <c r="DC76" i="3"/>
  <c r="A77" i="3"/>
  <c r="Y77" i="3"/>
  <c r="CX77" i="3" s="1"/>
  <c r="CY77" i="3"/>
  <c r="CZ77" i="3"/>
  <c r="DB77" i="3" s="1"/>
  <c r="DA77" i="3"/>
  <c r="DC77" i="3"/>
  <c r="DF77" i="3"/>
  <c r="DJ77" i="3" s="1"/>
  <c r="DG77" i="3"/>
  <c r="A78" i="3"/>
  <c r="Y78" i="3"/>
  <c r="CU78" i="3"/>
  <c r="CV78" i="3"/>
  <c r="CX78" i="3"/>
  <c r="DI78" i="3" s="1"/>
  <c r="DJ78" i="3" s="1"/>
  <c r="CY78" i="3"/>
  <c r="CZ78" i="3"/>
  <c r="DA78" i="3"/>
  <c r="DB78" i="3"/>
  <c r="DC78" i="3"/>
  <c r="DF78" i="3"/>
  <c r="DH78" i="3"/>
  <c r="A79" i="3"/>
  <c r="Y79" i="3"/>
  <c r="CW79" i="3" s="1"/>
  <c r="CX79" i="3"/>
  <c r="CY79" i="3"/>
  <c r="CZ79" i="3"/>
  <c r="DB79" i="3" s="1"/>
  <c r="DA79" i="3"/>
  <c r="DC79" i="3"/>
  <c r="A80" i="3"/>
  <c r="Y80" i="3"/>
  <c r="CX80" i="3"/>
  <c r="DI80" i="3" s="1"/>
  <c r="CY80" i="3"/>
  <c r="CZ80" i="3"/>
  <c r="DA80" i="3"/>
  <c r="DB80" i="3"/>
  <c r="DC80" i="3"/>
  <c r="DH80" i="3"/>
  <c r="A81" i="3"/>
  <c r="Y81" i="3"/>
  <c r="CX81" i="3"/>
  <c r="DI81" i="3" s="1"/>
  <c r="CY81" i="3"/>
  <c r="CZ81" i="3"/>
  <c r="DA81" i="3"/>
  <c r="DB81" i="3"/>
  <c r="DC81" i="3"/>
  <c r="DH81" i="3"/>
  <c r="A82" i="3"/>
  <c r="Y82" i="3"/>
  <c r="CX82" i="3" s="1"/>
  <c r="CY82" i="3"/>
  <c r="CZ82" i="3"/>
  <c r="DB82" i="3" s="1"/>
  <c r="DA82" i="3"/>
  <c r="DC82" i="3"/>
  <c r="A83" i="3"/>
  <c r="Y83" i="3"/>
  <c r="CX83" i="3"/>
  <c r="DG83" i="3" s="1"/>
  <c r="CY83" i="3"/>
  <c r="CZ83" i="3"/>
  <c r="DA83" i="3"/>
  <c r="DB83" i="3"/>
  <c r="DC83" i="3"/>
  <c r="DF83" i="3"/>
  <c r="DJ83" i="3" s="1"/>
  <c r="DH83" i="3"/>
  <c r="DI83" i="3"/>
  <c r="A84" i="3"/>
  <c r="Y84" i="3"/>
  <c r="CX84" i="3" s="1"/>
  <c r="CY84" i="3"/>
  <c r="CZ84" i="3"/>
  <c r="DA84" i="3"/>
  <c r="DB84" i="3"/>
  <c r="DC84" i="3"/>
  <c r="A85" i="3"/>
  <c r="Y85" i="3"/>
  <c r="CX85" i="3" s="1"/>
  <c r="CY85" i="3"/>
  <c r="CZ85" i="3"/>
  <c r="DB85" i="3" s="1"/>
  <c r="DA85" i="3"/>
  <c r="DC85" i="3"/>
  <c r="A86" i="3"/>
  <c r="Y86" i="3"/>
  <c r="CX86" i="3" s="1"/>
  <c r="CY86" i="3"/>
  <c r="CZ86" i="3"/>
  <c r="DB86" i="3" s="1"/>
  <c r="DA86" i="3"/>
  <c r="DC86" i="3"/>
  <c r="DF86" i="3"/>
  <c r="DG86" i="3"/>
  <c r="DJ86" i="3"/>
  <c r="A87" i="3"/>
  <c r="Y87" i="3"/>
  <c r="CX87" i="3"/>
  <c r="CY87" i="3"/>
  <c r="CZ87" i="3"/>
  <c r="DB87" i="3" s="1"/>
  <c r="DA87" i="3"/>
  <c r="DC87" i="3"/>
  <c r="DH87" i="3"/>
  <c r="A88" i="3"/>
  <c r="Y88" i="3"/>
  <c r="CX88" i="3" s="1"/>
  <c r="CU88" i="3"/>
  <c r="CV88" i="3"/>
  <c r="CY88" i="3"/>
  <c r="CZ88" i="3"/>
  <c r="DB88" i="3" s="1"/>
  <c r="DA88" i="3"/>
  <c r="DC88" i="3"/>
  <c r="DF88" i="3"/>
  <c r="DI88" i="3"/>
  <c r="DJ88" i="3"/>
  <c r="A89" i="3"/>
  <c r="Y89" i="3"/>
  <c r="CW89" i="3"/>
  <c r="CX89" i="3"/>
  <c r="CY89" i="3"/>
  <c r="CZ89" i="3"/>
  <c r="DA89" i="3"/>
  <c r="DB89" i="3"/>
  <c r="DC89" i="3"/>
  <c r="DH89" i="3"/>
  <c r="A90" i="3"/>
  <c r="Y90" i="3"/>
  <c r="CX90" i="3"/>
  <c r="DI90" i="3" s="1"/>
  <c r="CY90" i="3"/>
  <c r="CZ90" i="3"/>
  <c r="DB90" i="3" s="1"/>
  <c r="DA90" i="3"/>
  <c r="DC90" i="3"/>
  <c r="DG90" i="3"/>
  <c r="A91" i="3"/>
  <c r="Y91" i="3"/>
  <c r="CX91" i="3" s="1"/>
  <c r="CY91" i="3"/>
  <c r="CZ91" i="3"/>
  <c r="DB91" i="3" s="1"/>
  <c r="DA91" i="3"/>
  <c r="DC91" i="3"/>
  <c r="DF91" i="3"/>
  <c r="DJ91" i="3" s="1"/>
  <c r="A92" i="3"/>
  <c r="Y92" i="3"/>
  <c r="CX92" i="3"/>
  <c r="CY92" i="3"/>
  <c r="CZ92" i="3"/>
  <c r="DB92" i="3" s="1"/>
  <c r="DA92" i="3"/>
  <c r="DC92" i="3"/>
  <c r="DI92" i="3"/>
  <c r="A93" i="3"/>
  <c r="Y93" i="3"/>
  <c r="CX93" i="3" s="1"/>
  <c r="CY93" i="3"/>
  <c r="CZ93" i="3"/>
  <c r="DA93" i="3"/>
  <c r="DB93" i="3"/>
  <c r="DC93" i="3"/>
  <c r="A94" i="3"/>
  <c r="Y94" i="3"/>
  <c r="CX94" i="3" s="1"/>
  <c r="CY94" i="3"/>
  <c r="CZ94" i="3"/>
  <c r="DA94" i="3"/>
  <c r="DB94" i="3"/>
  <c r="DC94" i="3"/>
  <c r="A95" i="3"/>
  <c r="Y95" i="3"/>
  <c r="CX95" i="3" s="1"/>
  <c r="CY95" i="3"/>
  <c r="CZ95" i="3"/>
  <c r="DB95" i="3" s="1"/>
  <c r="DA95" i="3"/>
  <c r="DC95" i="3"/>
  <c r="DF95" i="3"/>
  <c r="DG95" i="3"/>
  <c r="DH95" i="3"/>
  <c r="DI95" i="3"/>
  <c r="DJ95" i="3"/>
  <c r="A96" i="3"/>
  <c r="Y96" i="3"/>
  <c r="CX96" i="3" s="1"/>
  <c r="CY96" i="3"/>
  <c r="CZ96" i="3"/>
  <c r="DB96" i="3" s="1"/>
  <c r="DA96" i="3"/>
  <c r="DC96" i="3"/>
  <c r="A97" i="3"/>
  <c r="Y97" i="3"/>
  <c r="CX97" i="3"/>
  <c r="DF97" i="3" s="1"/>
  <c r="DJ97" i="3" s="1"/>
  <c r="CY97" i="3"/>
  <c r="CZ97" i="3"/>
  <c r="DB97" i="3" s="1"/>
  <c r="DA97" i="3"/>
  <c r="DC97" i="3"/>
  <c r="DH97" i="3"/>
  <c r="A98" i="3"/>
  <c r="Y98" i="3"/>
  <c r="CX98" i="3"/>
  <c r="CY98" i="3"/>
  <c r="CZ98" i="3"/>
  <c r="DB98" i="3" s="1"/>
  <c r="DA98" i="3"/>
  <c r="DC98" i="3"/>
  <c r="A99" i="3"/>
  <c r="Y99" i="3"/>
  <c r="CX99" i="3"/>
  <c r="DG99" i="3" s="1"/>
  <c r="CY99" i="3"/>
  <c r="CZ99" i="3"/>
  <c r="DA99" i="3"/>
  <c r="DB99" i="3"/>
  <c r="DC99" i="3"/>
  <c r="DF99" i="3"/>
  <c r="DJ99" i="3" s="1"/>
  <c r="DH99" i="3"/>
  <c r="A100" i="3"/>
  <c r="Y100" i="3"/>
  <c r="CX100" i="3" s="1"/>
  <c r="CU100" i="3"/>
  <c r="CV100" i="3"/>
  <c r="CY100" i="3"/>
  <c r="CZ100" i="3"/>
  <c r="DA100" i="3"/>
  <c r="DB100" i="3"/>
  <c r="DC100" i="3"/>
  <c r="A101" i="3"/>
  <c r="Y101" i="3"/>
  <c r="CY101" i="3"/>
  <c r="CZ101" i="3"/>
  <c r="DA101" i="3"/>
  <c r="DB101" i="3"/>
  <c r="DC101" i="3"/>
  <c r="A102" i="3"/>
  <c r="Y102" i="3"/>
  <c r="CX102" i="3" s="1"/>
  <c r="CY102" i="3"/>
  <c r="CZ102" i="3"/>
  <c r="DA102" i="3"/>
  <c r="DB102" i="3"/>
  <c r="DC102" i="3"/>
  <c r="DI102" i="3"/>
  <c r="A103" i="3"/>
  <c r="Y103" i="3"/>
  <c r="CX103" i="3" s="1"/>
  <c r="CY103" i="3"/>
  <c r="CZ103" i="3"/>
  <c r="DA103" i="3"/>
  <c r="DB103" i="3"/>
  <c r="DC103" i="3"/>
  <c r="DG103" i="3"/>
  <c r="A104" i="3"/>
  <c r="Y104" i="3"/>
  <c r="CX104" i="3" s="1"/>
  <c r="CY104" i="3"/>
  <c r="CZ104" i="3"/>
  <c r="DB104" i="3" s="1"/>
  <c r="DA104" i="3"/>
  <c r="DC104" i="3"/>
  <c r="A105" i="3"/>
  <c r="Y105" i="3"/>
  <c r="CX105" i="3" s="1"/>
  <c r="CY105" i="3"/>
  <c r="CZ105" i="3"/>
  <c r="DB105" i="3" s="1"/>
  <c r="DA105" i="3"/>
  <c r="DC105" i="3"/>
  <c r="A106" i="3"/>
  <c r="Y106" i="3"/>
  <c r="CX106" i="3"/>
  <c r="CY106" i="3"/>
  <c r="CZ106" i="3"/>
  <c r="DB106" i="3" s="1"/>
  <c r="DA106" i="3"/>
  <c r="DC106" i="3"/>
  <c r="A107" i="3"/>
  <c r="Y107" i="3"/>
  <c r="CX107" i="3"/>
  <c r="CY107" i="3"/>
  <c r="CZ107" i="3"/>
  <c r="DA107" i="3"/>
  <c r="DB107" i="3"/>
  <c r="DC107" i="3"/>
  <c r="DH107" i="3"/>
  <c r="A108" i="3"/>
  <c r="Y108" i="3"/>
  <c r="CX108" i="3"/>
  <c r="DG108" i="3" s="1"/>
  <c r="CY108" i="3"/>
  <c r="CZ108" i="3"/>
  <c r="DA108" i="3"/>
  <c r="DB108" i="3"/>
  <c r="DC108" i="3"/>
  <c r="DF108" i="3"/>
  <c r="DJ108" i="3" s="1"/>
  <c r="DH108" i="3"/>
  <c r="A109" i="3"/>
  <c r="Y109" i="3"/>
  <c r="CX109" i="3" s="1"/>
  <c r="CY109" i="3"/>
  <c r="CZ109" i="3"/>
  <c r="DA109" i="3"/>
  <c r="DB109" i="3"/>
  <c r="DC109" i="3"/>
  <c r="A110" i="3"/>
  <c r="Y110" i="3"/>
  <c r="CU110" i="3"/>
  <c r="CV110" i="3"/>
  <c r="CX110" i="3"/>
  <c r="DI110" i="3" s="1"/>
  <c r="DJ110" i="3" s="1"/>
  <c r="CY110" i="3"/>
  <c r="CZ110" i="3"/>
  <c r="DB110" i="3" s="1"/>
  <c r="DA110" i="3"/>
  <c r="DC110" i="3"/>
  <c r="DG110" i="3"/>
  <c r="DH110" i="3"/>
  <c r="A111" i="3"/>
  <c r="Y111" i="3"/>
  <c r="CW111" i="3" s="1"/>
  <c r="CY111" i="3"/>
  <c r="CZ111" i="3"/>
  <c r="DA111" i="3"/>
  <c r="DB111" i="3"/>
  <c r="DC111" i="3"/>
  <c r="A112" i="3"/>
  <c r="Y112" i="3"/>
  <c r="CX112" i="3" s="1"/>
  <c r="CY112" i="3"/>
  <c r="CZ112" i="3"/>
  <c r="DA112" i="3"/>
  <c r="DB112" i="3"/>
  <c r="DC112" i="3"/>
  <c r="A113" i="3"/>
  <c r="Y113" i="3"/>
  <c r="CX113" i="3" s="1"/>
  <c r="CY113" i="3"/>
  <c r="CZ113" i="3"/>
  <c r="DB113" i="3" s="1"/>
  <c r="DA113" i="3"/>
  <c r="DC113" i="3"/>
  <c r="A114" i="3"/>
  <c r="Y114" i="3"/>
  <c r="CX114" i="3" s="1"/>
  <c r="CY114" i="3"/>
  <c r="CZ114" i="3"/>
  <c r="DB114" i="3" s="1"/>
  <c r="DA114" i="3"/>
  <c r="DC114" i="3"/>
  <c r="A115" i="3"/>
  <c r="Y115" i="3"/>
  <c r="CX115" i="3"/>
  <c r="CY115" i="3"/>
  <c r="CZ115" i="3"/>
  <c r="DB115" i="3" s="1"/>
  <c r="DA115" i="3"/>
  <c r="DC115" i="3"/>
  <c r="A116" i="3"/>
  <c r="Y116" i="3"/>
  <c r="CY116" i="3"/>
  <c r="CZ116" i="3"/>
  <c r="DA116" i="3"/>
  <c r="DB116" i="3"/>
  <c r="DC116" i="3"/>
  <c r="A117" i="3"/>
  <c r="Y117" i="3"/>
  <c r="CY117" i="3"/>
  <c r="CZ117" i="3"/>
  <c r="DA117" i="3"/>
  <c r="DB117" i="3"/>
  <c r="DC117" i="3"/>
  <c r="A118" i="3"/>
  <c r="Y118" i="3"/>
  <c r="CY118" i="3"/>
  <c r="CZ118" i="3"/>
  <c r="DB118" i="3" s="1"/>
  <c r="DA118" i="3"/>
  <c r="DC118" i="3"/>
  <c r="A119" i="3"/>
  <c r="Y119" i="3"/>
  <c r="CY119" i="3"/>
  <c r="CZ119" i="3"/>
  <c r="DB119" i="3" s="1"/>
  <c r="DA119" i="3"/>
  <c r="DC119" i="3"/>
  <c r="A120" i="3"/>
  <c r="Y120" i="3"/>
  <c r="CY120" i="3"/>
  <c r="CZ120" i="3"/>
  <c r="DA120" i="3"/>
  <c r="DB120" i="3"/>
  <c r="DC120" i="3"/>
  <c r="A121" i="3"/>
  <c r="Y121" i="3"/>
  <c r="CY121" i="3"/>
  <c r="CZ121" i="3"/>
  <c r="DA121" i="3"/>
  <c r="DB121" i="3"/>
  <c r="DC121" i="3"/>
  <c r="A122" i="3"/>
  <c r="Y122" i="3"/>
  <c r="CY122" i="3"/>
  <c r="CZ122" i="3"/>
  <c r="DA122" i="3"/>
  <c r="DB122" i="3"/>
  <c r="DC122" i="3"/>
  <c r="A123" i="3"/>
  <c r="Y123" i="3"/>
  <c r="CY123" i="3"/>
  <c r="CZ123" i="3"/>
  <c r="DB123" i="3" s="1"/>
  <c r="DA123" i="3"/>
  <c r="DC123" i="3"/>
  <c r="A124" i="3"/>
  <c r="Y124" i="3"/>
  <c r="CY124" i="3"/>
  <c r="CZ124" i="3"/>
  <c r="DB124" i="3" s="1"/>
  <c r="DA124" i="3"/>
  <c r="DC124" i="3"/>
  <c r="A125" i="3"/>
  <c r="Y125" i="3"/>
  <c r="CY125" i="3"/>
  <c r="CZ125" i="3"/>
  <c r="DB125" i="3" s="1"/>
  <c r="DA125" i="3"/>
  <c r="DC125" i="3"/>
  <c r="A126" i="3"/>
  <c r="Y126" i="3"/>
  <c r="CY126" i="3"/>
  <c r="CZ126" i="3"/>
  <c r="DA126" i="3"/>
  <c r="DB126" i="3"/>
  <c r="DC126" i="3"/>
  <c r="D12" i="1"/>
  <c r="E18" i="1"/>
  <c r="Z18" i="1"/>
  <c r="AA18" i="1"/>
  <c r="AB18" i="1"/>
  <c r="AC18" i="1"/>
  <c r="AD18" i="1"/>
  <c r="AE18" i="1"/>
  <c r="AF18" i="1"/>
  <c r="AG18" i="1"/>
  <c r="AH18" i="1"/>
  <c r="AI18" i="1"/>
  <c r="AJ18" i="1"/>
  <c r="AK18" i="1"/>
  <c r="AL18" i="1"/>
  <c r="AM18" i="1"/>
  <c r="AN18" i="1"/>
  <c r="BE18" i="1"/>
  <c r="BF18" i="1"/>
  <c r="BG18" i="1"/>
  <c r="BH18" i="1"/>
  <c r="BI18" i="1"/>
  <c r="BJ18" i="1"/>
  <c r="BK18" i="1"/>
  <c r="BL18" i="1"/>
  <c r="BM18" i="1"/>
  <c r="BN18" i="1"/>
  <c r="BO18" i="1"/>
  <c r="BP18" i="1"/>
  <c r="BQ18" i="1"/>
  <c r="BR18" i="1"/>
  <c r="BS18" i="1"/>
  <c r="BT18" i="1"/>
  <c r="BU18" i="1"/>
  <c r="BV18" i="1"/>
  <c r="BW18" i="1"/>
  <c r="BX18" i="1"/>
  <c r="BY18" i="1"/>
  <c r="BZ18" i="1"/>
  <c r="CA18" i="1"/>
  <c r="CB18" i="1"/>
  <c r="CC18" i="1"/>
  <c r="CD18" i="1"/>
  <c r="CE18" i="1"/>
  <c r="CF18" i="1"/>
  <c r="CG18" i="1"/>
  <c r="CH18" i="1"/>
  <c r="CI18" i="1"/>
  <c r="CJ18" i="1"/>
  <c r="CK18" i="1"/>
  <c r="CL18" i="1"/>
  <c r="CM18" i="1"/>
  <c r="CN18" i="1"/>
  <c r="CO18" i="1"/>
  <c r="CP18" i="1"/>
  <c r="CQ18" i="1"/>
  <c r="CR18" i="1"/>
  <c r="CS18" i="1"/>
  <c r="CT18" i="1"/>
  <c r="CU18" i="1"/>
  <c r="CV18" i="1"/>
  <c r="CW18" i="1"/>
  <c r="CX18" i="1"/>
  <c r="CY18" i="1"/>
  <c r="CZ18" i="1"/>
  <c r="DA18" i="1"/>
  <c r="DB18" i="1"/>
  <c r="DC18" i="1"/>
  <c r="DD18" i="1"/>
  <c r="DE18" i="1"/>
  <c r="DF18" i="1"/>
  <c r="DG18" i="1"/>
  <c r="DH18" i="1"/>
  <c r="DI18" i="1"/>
  <c r="DJ18" i="1"/>
  <c r="DK18" i="1"/>
  <c r="DL18" i="1"/>
  <c r="DM18" i="1"/>
  <c r="DN18" i="1"/>
  <c r="DO18" i="1"/>
  <c r="DP18" i="1"/>
  <c r="DQ18" i="1"/>
  <c r="DR18" i="1"/>
  <c r="DS18" i="1"/>
  <c r="DT18" i="1"/>
  <c r="DU18" i="1"/>
  <c r="DV18" i="1"/>
  <c r="DW18" i="1"/>
  <c r="DX18" i="1"/>
  <c r="DY18" i="1"/>
  <c r="DZ18" i="1"/>
  <c r="EA18" i="1"/>
  <c r="EB18" i="1"/>
  <c r="EC18" i="1"/>
  <c r="ED18" i="1"/>
  <c r="EE18" i="1"/>
  <c r="EF18" i="1"/>
  <c r="EG18" i="1"/>
  <c r="EH18" i="1"/>
  <c r="EI18" i="1"/>
  <c r="EJ18" i="1"/>
  <c r="EK18" i="1"/>
  <c r="EL18" i="1"/>
  <c r="EM18" i="1"/>
  <c r="EN18" i="1"/>
  <c r="EO18" i="1"/>
  <c r="EP18" i="1"/>
  <c r="EQ18" i="1"/>
  <c r="ER18" i="1"/>
  <c r="ES18" i="1"/>
  <c r="ET18" i="1"/>
  <c r="EU18" i="1"/>
  <c r="EV18" i="1"/>
  <c r="EW18" i="1"/>
  <c r="EX18" i="1"/>
  <c r="EY18" i="1"/>
  <c r="EZ18" i="1"/>
  <c r="FA18" i="1"/>
  <c r="FB18" i="1"/>
  <c r="FC18" i="1"/>
  <c r="FD18" i="1"/>
  <c r="FE18" i="1"/>
  <c r="FF18" i="1"/>
  <c r="FG18" i="1"/>
  <c r="FH18" i="1"/>
  <c r="FI18" i="1"/>
  <c r="FJ18" i="1"/>
  <c r="FK18" i="1"/>
  <c r="FL18" i="1"/>
  <c r="FM18" i="1"/>
  <c r="FN18" i="1"/>
  <c r="FO18" i="1"/>
  <c r="FP18" i="1"/>
  <c r="FQ18" i="1"/>
  <c r="FR18" i="1"/>
  <c r="FS18" i="1"/>
  <c r="FT18" i="1"/>
  <c r="FU18" i="1"/>
  <c r="FV18" i="1"/>
  <c r="FW18" i="1"/>
  <c r="FX18" i="1"/>
  <c r="FY18" i="1"/>
  <c r="FZ18" i="1"/>
  <c r="GA18" i="1"/>
  <c r="GB18" i="1"/>
  <c r="GC18" i="1"/>
  <c r="GD18" i="1"/>
  <c r="GE18" i="1"/>
  <c r="GF18" i="1"/>
  <c r="GG18" i="1"/>
  <c r="GH18" i="1"/>
  <c r="GI18" i="1"/>
  <c r="GJ18" i="1"/>
  <c r="GK18" i="1"/>
  <c r="GL18" i="1"/>
  <c r="GM18" i="1"/>
  <c r="GN18" i="1"/>
  <c r="GO18" i="1"/>
  <c r="GP18" i="1"/>
  <c r="GQ18" i="1"/>
  <c r="GR18" i="1"/>
  <c r="GS18" i="1"/>
  <c r="GT18" i="1"/>
  <c r="GU18" i="1"/>
  <c r="GV18" i="1"/>
  <c r="GW18" i="1"/>
  <c r="GX18" i="1"/>
  <c r="D20" i="1"/>
  <c r="E22" i="1"/>
  <c r="Z22" i="1"/>
  <c r="AA22" i="1"/>
  <c r="AB22" i="1"/>
  <c r="AC22" i="1"/>
  <c r="AD22" i="1"/>
  <c r="AE22" i="1"/>
  <c r="AF22" i="1"/>
  <c r="AG22" i="1"/>
  <c r="AH22" i="1"/>
  <c r="AI22" i="1"/>
  <c r="AJ22" i="1"/>
  <c r="AK22" i="1"/>
  <c r="AL22" i="1"/>
  <c r="AM22" i="1"/>
  <c r="AN22" i="1"/>
  <c r="BE22" i="1"/>
  <c r="BF22" i="1"/>
  <c r="BG22" i="1"/>
  <c r="BH22" i="1"/>
  <c r="BI22" i="1"/>
  <c r="BJ22" i="1"/>
  <c r="BK22" i="1"/>
  <c r="BL22" i="1"/>
  <c r="BM22" i="1"/>
  <c r="BN22" i="1"/>
  <c r="BO22" i="1"/>
  <c r="BP22" i="1"/>
  <c r="BQ22" i="1"/>
  <c r="BR22" i="1"/>
  <c r="BS22" i="1"/>
  <c r="BT22" i="1"/>
  <c r="BU22" i="1"/>
  <c r="BV22" i="1"/>
  <c r="BW22" i="1"/>
  <c r="BX22" i="1"/>
  <c r="BY22" i="1"/>
  <c r="BZ22" i="1"/>
  <c r="CA22" i="1"/>
  <c r="CB22" i="1"/>
  <c r="CC22" i="1"/>
  <c r="CD22" i="1"/>
  <c r="CE22" i="1"/>
  <c r="CF22" i="1"/>
  <c r="CG22" i="1"/>
  <c r="CH22" i="1"/>
  <c r="CI22" i="1"/>
  <c r="CJ22" i="1"/>
  <c r="CK22" i="1"/>
  <c r="CL22" i="1"/>
  <c r="CM22" i="1"/>
  <c r="CN22" i="1"/>
  <c r="CO22" i="1"/>
  <c r="CP22" i="1"/>
  <c r="CQ22" i="1"/>
  <c r="CR22" i="1"/>
  <c r="CS22" i="1"/>
  <c r="CT22" i="1"/>
  <c r="CU22" i="1"/>
  <c r="CV22" i="1"/>
  <c r="CW22" i="1"/>
  <c r="CX22" i="1"/>
  <c r="CY22" i="1"/>
  <c r="CZ22" i="1"/>
  <c r="DA22" i="1"/>
  <c r="DB22" i="1"/>
  <c r="DC22" i="1"/>
  <c r="DD22" i="1"/>
  <c r="DE22" i="1"/>
  <c r="DF22" i="1"/>
  <c r="DG22" i="1"/>
  <c r="DH22" i="1"/>
  <c r="DI22" i="1"/>
  <c r="DJ22" i="1"/>
  <c r="DK22" i="1"/>
  <c r="DL22" i="1"/>
  <c r="DM22" i="1"/>
  <c r="DN22" i="1"/>
  <c r="DO22" i="1"/>
  <c r="DP22" i="1"/>
  <c r="DQ22" i="1"/>
  <c r="DR22" i="1"/>
  <c r="DS22" i="1"/>
  <c r="DT22" i="1"/>
  <c r="DU22" i="1"/>
  <c r="DV22" i="1"/>
  <c r="DW22" i="1"/>
  <c r="DX22" i="1"/>
  <c r="DY22" i="1"/>
  <c r="DZ22" i="1"/>
  <c r="EA22" i="1"/>
  <c r="EB22" i="1"/>
  <c r="EC22" i="1"/>
  <c r="ED22" i="1"/>
  <c r="EE22" i="1"/>
  <c r="EF22" i="1"/>
  <c r="EG22" i="1"/>
  <c r="EH22" i="1"/>
  <c r="EI22" i="1"/>
  <c r="EJ22" i="1"/>
  <c r="EK22" i="1"/>
  <c r="EL22" i="1"/>
  <c r="EM22" i="1"/>
  <c r="EN22" i="1"/>
  <c r="EO22" i="1"/>
  <c r="EP22" i="1"/>
  <c r="EQ22" i="1"/>
  <c r="ER22" i="1"/>
  <c r="ES22" i="1"/>
  <c r="ET22" i="1"/>
  <c r="EU22" i="1"/>
  <c r="EV22" i="1"/>
  <c r="EW22" i="1"/>
  <c r="EX22" i="1"/>
  <c r="EY22" i="1"/>
  <c r="EZ22" i="1"/>
  <c r="FA22" i="1"/>
  <c r="FB22" i="1"/>
  <c r="FC22" i="1"/>
  <c r="FD22" i="1"/>
  <c r="FE22" i="1"/>
  <c r="FF22" i="1"/>
  <c r="FG22" i="1"/>
  <c r="FH22" i="1"/>
  <c r="FI22" i="1"/>
  <c r="FJ22" i="1"/>
  <c r="FK22" i="1"/>
  <c r="FL22" i="1"/>
  <c r="FM22" i="1"/>
  <c r="FN22" i="1"/>
  <c r="FO22" i="1"/>
  <c r="FP22" i="1"/>
  <c r="FQ22" i="1"/>
  <c r="FR22" i="1"/>
  <c r="FS22" i="1"/>
  <c r="FT22" i="1"/>
  <c r="FU22" i="1"/>
  <c r="FV22" i="1"/>
  <c r="FW22" i="1"/>
  <c r="FX22" i="1"/>
  <c r="FY22" i="1"/>
  <c r="FZ22" i="1"/>
  <c r="GA22" i="1"/>
  <c r="GB22" i="1"/>
  <c r="GC22" i="1"/>
  <c r="GD22" i="1"/>
  <c r="GE22" i="1"/>
  <c r="GF22" i="1"/>
  <c r="GG22" i="1"/>
  <c r="GH22" i="1"/>
  <c r="GI22" i="1"/>
  <c r="GJ22" i="1"/>
  <c r="GK22" i="1"/>
  <c r="GL22" i="1"/>
  <c r="GM22" i="1"/>
  <c r="GN22" i="1"/>
  <c r="GO22" i="1"/>
  <c r="GP22" i="1"/>
  <c r="GQ22" i="1"/>
  <c r="GR22" i="1"/>
  <c r="GS22" i="1"/>
  <c r="GT22" i="1"/>
  <c r="GU22" i="1"/>
  <c r="GV22" i="1"/>
  <c r="GW22" i="1"/>
  <c r="GX22" i="1"/>
  <c r="D24" i="1"/>
  <c r="E26" i="1"/>
  <c r="Z26" i="1"/>
  <c r="AA26" i="1"/>
  <c r="AB26" i="1"/>
  <c r="AC26" i="1"/>
  <c r="AD26" i="1"/>
  <c r="AE26" i="1"/>
  <c r="AF26" i="1"/>
  <c r="AG26" i="1"/>
  <c r="AH26" i="1"/>
  <c r="AI26" i="1"/>
  <c r="AJ26" i="1"/>
  <c r="AK26" i="1"/>
  <c r="AL26" i="1"/>
  <c r="AM26" i="1"/>
  <c r="AN26" i="1"/>
  <c r="BE26" i="1"/>
  <c r="BF26" i="1"/>
  <c r="BG26" i="1"/>
  <c r="BH26" i="1"/>
  <c r="BI26" i="1"/>
  <c r="BJ26" i="1"/>
  <c r="BK26" i="1"/>
  <c r="BL26" i="1"/>
  <c r="BM26" i="1"/>
  <c r="BN26" i="1"/>
  <c r="BO26" i="1"/>
  <c r="BP26" i="1"/>
  <c r="BQ26" i="1"/>
  <c r="BR26" i="1"/>
  <c r="BS26" i="1"/>
  <c r="BT26" i="1"/>
  <c r="BU26" i="1"/>
  <c r="BV26" i="1"/>
  <c r="BW26" i="1"/>
  <c r="BX26" i="1"/>
  <c r="BY26" i="1"/>
  <c r="BZ26" i="1"/>
  <c r="CA26" i="1"/>
  <c r="CB26" i="1"/>
  <c r="CC26" i="1"/>
  <c r="CD26" i="1"/>
  <c r="CE26" i="1"/>
  <c r="CF26" i="1"/>
  <c r="CG26" i="1"/>
  <c r="CH26" i="1"/>
  <c r="CI26" i="1"/>
  <c r="CJ26" i="1"/>
  <c r="CK26" i="1"/>
  <c r="CL26" i="1"/>
  <c r="CM26" i="1"/>
  <c r="CN26" i="1"/>
  <c r="CO26" i="1"/>
  <c r="CP26" i="1"/>
  <c r="CQ26" i="1"/>
  <c r="CR26" i="1"/>
  <c r="CS26" i="1"/>
  <c r="CT26" i="1"/>
  <c r="CU26" i="1"/>
  <c r="CV26" i="1"/>
  <c r="CW26" i="1"/>
  <c r="CX26" i="1"/>
  <c r="CY26" i="1"/>
  <c r="CZ26" i="1"/>
  <c r="DA26" i="1"/>
  <c r="DB26" i="1"/>
  <c r="DC26" i="1"/>
  <c r="DD26" i="1"/>
  <c r="DE26" i="1"/>
  <c r="DF26" i="1"/>
  <c r="DG26" i="1"/>
  <c r="DH26" i="1"/>
  <c r="DI26" i="1"/>
  <c r="DJ26" i="1"/>
  <c r="DK26" i="1"/>
  <c r="DL26" i="1"/>
  <c r="DM26" i="1"/>
  <c r="DN26" i="1"/>
  <c r="DO26" i="1"/>
  <c r="DP26" i="1"/>
  <c r="DQ26" i="1"/>
  <c r="DR26" i="1"/>
  <c r="DS26" i="1"/>
  <c r="DT26" i="1"/>
  <c r="DU26" i="1"/>
  <c r="DV26" i="1"/>
  <c r="DW26" i="1"/>
  <c r="DX26" i="1"/>
  <c r="DY26" i="1"/>
  <c r="DZ26" i="1"/>
  <c r="EA26" i="1"/>
  <c r="EB26" i="1"/>
  <c r="EC26" i="1"/>
  <c r="ED26" i="1"/>
  <c r="EE26" i="1"/>
  <c r="EF26" i="1"/>
  <c r="EG26" i="1"/>
  <c r="EH26" i="1"/>
  <c r="EI26" i="1"/>
  <c r="EJ26" i="1"/>
  <c r="EK26" i="1"/>
  <c r="EL26" i="1"/>
  <c r="EM26" i="1"/>
  <c r="EN26" i="1"/>
  <c r="EO26" i="1"/>
  <c r="EP26" i="1"/>
  <c r="EQ26" i="1"/>
  <c r="ER26" i="1"/>
  <c r="ES26" i="1"/>
  <c r="ET26" i="1"/>
  <c r="EU26" i="1"/>
  <c r="EV26" i="1"/>
  <c r="EW26" i="1"/>
  <c r="EX26" i="1"/>
  <c r="EY26" i="1"/>
  <c r="EZ26" i="1"/>
  <c r="FA26" i="1"/>
  <c r="FB26" i="1"/>
  <c r="FC26" i="1"/>
  <c r="FD26" i="1"/>
  <c r="FE26" i="1"/>
  <c r="FF26" i="1"/>
  <c r="FG26" i="1"/>
  <c r="FH26" i="1"/>
  <c r="FI26" i="1"/>
  <c r="FJ26" i="1"/>
  <c r="FK26" i="1"/>
  <c r="FL26" i="1"/>
  <c r="FM26" i="1"/>
  <c r="FN26" i="1"/>
  <c r="FO26" i="1"/>
  <c r="FP26" i="1"/>
  <c r="FQ26" i="1"/>
  <c r="FR26" i="1"/>
  <c r="FS26" i="1"/>
  <c r="FT26" i="1"/>
  <c r="FU26" i="1"/>
  <c r="FV26" i="1"/>
  <c r="FW26" i="1"/>
  <c r="FX26" i="1"/>
  <c r="FY26" i="1"/>
  <c r="FZ26" i="1"/>
  <c r="GA26" i="1"/>
  <c r="GB26" i="1"/>
  <c r="GC26" i="1"/>
  <c r="GD26" i="1"/>
  <c r="GE26" i="1"/>
  <c r="GF26" i="1"/>
  <c r="GG26" i="1"/>
  <c r="GH26" i="1"/>
  <c r="GI26" i="1"/>
  <c r="GJ26" i="1"/>
  <c r="GK26" i="1"/>
  <c r="GL26" i="1"/>
  <c r="GM26" i="1"/>
  <c r="GN26" i="1"/>
  <c r="GO26" i="1"/>
  <c r="GP26" i="1"/>
  <c r="GQ26" i="1"/>
  <c r="GR26" i="1"/>
  <c r="GS26" i="1"/>
  <c r="GT26" i="1"/>
  <c r="GU26" i="1"/>
  <c r="GV26" i="1"/>
  <c r="GW26" i="1"/>
  <c r="GX26" i="1"/>
  <c r="D28" i="1"/>
  <c r="E30" i="1"/>
  <c r="Z30" i="1"/>
  <c r="AA30" i="1"/>
  <c r="AM30" i="1"/>
  <c r="AN30" i="1"/>
  <c r="BE30" i="1"/>
  <c r="BF30" i="1"/>
  <c r="BG30" i="1"/>
  <c r="BH30" i="1"/>
  <c r="BI30" i="1"/>
  <c r="BJ30" i="1"/>
  <c r="BK30" i="1"/>
  <c r="BL30" i="1"/>
  <c r="BM30" i="1"/>
  <c r="BN30" i="1"/>
  <c r="BO30" i="1"/>
  <c r="BP30" i="1"/>
  <c r="BQ30" i="1"/>
  <c r="BR30" i="1"/>
  <c r="BS30" i="1"/>
  <c r="BT30" i="1"/>
  <c r="BU30" i="1"/>
  <c r="BV30" i="1"/>
  <c r="BW30" i="1"/>
  <c r="CN30" i="1"/>
  <c r="CO30" i="1"/>
  <c r="CP30" i="1"/>
  <c r="CQ30" i="1"/>
  <c r="CR30" i="1"/>
  <c r="CS30" i="1"/>
  <c r="CT30" i="1"/>
  <c r="CU30" i="1"/>
  <c r="CV30" i="1"/>
  <c r="CW30" i="1"/>
  <c r="CX30" i="1"/>
  <c r="CY30" i="1"/>
  <c r="CZ30" i="1"/>
  <c r="DA30" i="1"/>
  <c r="DB30" i="1"/>
  <c r="DC30" i="1"/>
  <c r="DD30" i="1"/>
  <c r="DE30" i="1"/>
  <c r="DF30" i="1"/>
  <c r="DG30" i="1"/>
  <c r="DH30" i="1"/>
  <c r="DI30" i="1"/>
  <c r="DJ30" i="1"/>
  <c r="DK30" i="1"/>
  <c r="DL30" i="1"/>
  <c r="DM30" i="1"/>
  <c r="DN30" i="1"/>
  <c r="DO30" i="1"/>
  <c r="DP30" i="1"/>
  <c r="DQ30" i="1"/>
  <c r="DR30" i="1"/>
  <c r="DS30" i="1"/>
  <c r="DT30" i="1"/>
  <c r="DU30" i="1"/>
  <c r="DV30" i="1"/>
  <c r="DW30" i="1"/>
  <c r="DX30" i="1"/>
  <c r="DY30" i="1"/>
  <c r="DZ30" i="1"/>
  <c r="EA30" i="1"/>
  <c r="EB30" i="1"/>
  <c r="EC30" i="1"/>
  <c r="ED30" i="1"/>
  <c r="EE30" i="1"/>
  <c r="EF30" i="1"/>
  <c r="EG30" i="1"/>
  <c r="EH30" i="1"/>
  <c r="EI30" i="1"/>
  <c r="EJ30" i="1"/>
  <c r="EK30" i="1"/>
  <c r="EL30" i="1"/>
  <c r="EM30" i="1"/>
  <c r="EN30" i="1"/>
  <c r="EO30" i="1"/>
  <c r="EP30" i="1"/>
  <c r="EQ30" i="1"/>
  <c r="ER30" i="1"/>
  <c r="ES30" i="1"/>
  <c r="ET30" i="1"/>
  <c r="EU30" i="1"/>
  <c r="EV30" i="1"/>
  <c r="EW30" i="1"/>
  <c r="EX30" i="1"/>
  <c r="EY30" i="1"/>
  <c r="EZ30" i="1"/>
  <c r="FA30" i="1"/>
  <c r="FB30" i="1"/>
  <c r="FC30" i="1"/>
  <c r="FD30" i="1"/>
  <c r="FE30" i="1"/>
  <c r="FF30" i="1"/>
  <c r="FG30" i="1"/>
  <c r="FH30" i="1"/>
  <c r="FI30" i="1"/>
  <c r="FJ30" i="1"/>
  <c r="FK30" i="1"/>
  <c r="FL30" i="1"/>
  <c r="FM30" i="1"/>
  <c r="FN30" i="1"/>
  <c r="FO30" i="1"/>
  <c r="FP30" i="1"/>
  <c r="FQ30" i="1"/>
  <c r="FR30" i="1"/>
  <c r="FS30" i="1"/>
  <c r="FT30" i="1"/>
  <c r="FU30" i="1"/>
  <c r="FV30" i="1"/>
  <c r="FW30" i="1"/>
  <c r="FX30" i="1"/>
  <c r="FY30" i="1"/>
  <c r="FZ30" i="1"/>
  <c r="GA30" i="1"/>
  <c r="GB30" i="1"/>
  <c r="GC30" i="1"/>
  <c r="GD30" i="1"/>
  <c r="GE30" i="1"/>
  <c r="GF30" i="1"/>
  <c r="GG30" i="1"/>
  <c r="GH30" i="1"/>
  <c r="GI30" i="1"/>
  <c r="GJ30" i="1"/>
  <c r="GK30" i="1"/>
  <c r="GL30" i="1"/>
  <c r="GM30" i="1"/>
  <c r="GN30" i="1"/>
  <c r="GO30" i="1"/>
  <c r="GP30" i="1"/>
  <c r="GQ30" i="1"/>
  <c r="GR30" i="1"/>
  <c r="GS30" i="1"/>
  <c r="GT30" i="1"/>
  <c r="GU30" i="1"/>
  <c r="GV30" i="1"/>
  <c r="GW30" i="1"/>
  <c r="GX30" i="1"/>
  <c r="C32" i="1"/>
  <c r="D32" i="1"/>
  <c r="Q32" i="1"/>
  <c r="V32" i="1"/>
  <c r="Y32" i="1"/>
  <c r="AC32" i="1"/>
  <c r="AD32" i="1"/>
  <c r="AE32" i="1"/>
  <c r="AF32" i="1"/>
  <c r="AG32" i="1"/>
  <c r="CU32" i="1" s="1"/>
  <c r="T32" i="1" s="1"/>
  <c r="AH32" i="1"/>
  <c r="AI32" i="1"/>
  <c r="CW32" i="1" s="1"/>
  <c r="AJ32" i="1"/>
  <c r="CQ32" i="1"/>
  <c r="P32" i="1" s="1"/>
  <c r="CP32" i="1" s="1"/>
  <c r="O32" i="1" s="1"/>
  <c r="GM32" i="1" s="1"/>
  <c r="GP32" i="1" s="1"/>
  <c r="CR32" i="1"/>
  <c r="CS32" i="1"/>
  <c r="R32" i="1" s="1"/>
  <c r="CT32" i="1"/>
  <c r="S32" i="1" s="1"/>
  <c r="CZ32" i="1" s="1"/>
  <c r="CV32" i="1"/>
  <c r="U32" i="1" s="1"/>
  <c r="CX32" i="1"/>
  <c r="W32" i="1" s="1"/>
  <c r="CY32" i="1"/>
  <c r="X32" i="1" s="1"/>
  <c r="FR32" i="1"/>
  <c r="GK32" i="1"/>
  <c r="GL32" i="1"/>
  <c r="GN32" i="1"/>
  <c r="GO32" i="1"/>
  <c r="GV32" i="1"/>
  <c r="GX32" i="1"/>
  <c r="HC32" i="1"/>
  <c r="I33" i="1"/>
  <c r="U33" i="1" s="1"/>
  <c r="R33" i="1"/>
  <c r="GK33" i="1" s="1"/>
  <c r="W33" i="1"/>
  <c r="AC33" i="1"/>
  <c r="AE33" i="1"/>
  <c r="AD33" i="1" s="1"/>
  <c r="AB33" i="1" s="1"/>
  <c r="AF33" i="1"/>
  <c r="AG33" i="1"/>
  <c r="AH33" i="1"/>
  <c r="AI33" i="1"/>
  <c r="AJ33" i="1"/>
  <c r="CX33" i="1" s="1"/>
  <c r="CQ33" i="1"/>
  <c r="P33" i="1" s="1"/>
  <c r="CS33" i="1"/>
  <c r="CT33" i="1"/>
  <c r="CU33" i="1"/>
  <c r="T33" i="1" s="1"/>
  <c r="CV33" i="1"/>
  <c r="CW33" i="1"/>
  <c r="FR33" i="1"/>
  <c r="GL33" i="1"/>
  <c r="GN33" i="1"/>
  <c r="GO33" i="1"/>
  <c r="GV33" i="1"/>
  <c r="HC33" i="1" s="1"/>
  <c r="GX33" i="1" s="1"/>
  <c r="I34" i="1"/>
  <c r="W34" i="1"/>
  <c r="AC34" i="1"/>
  <c r="AE34" i="1"/>
  <c r="AD34" i="1" s="1"/>
  <c r="AF34" i="1"/>
  <c r="AG34" i="1"/>
  <c r="CU34" i="1" s="1"/>
  <c r="T34" i="1" s="1"/>
  <c r="AH34" i="1"/>
  <c r="CV34" i="1" s="1"/>
  <c r="U34" i="1" s="1"/>
  <c r="AI34" i="1"/>
  <c r="AJ34" i="1"/>
  <c r="CR34" i="1"/>
  <c r="Q34" i="1" s="1"/>
  <c r="CT34" i="1"/>
  <c r="S34" i="1" s="1"/>
  <c r="CW34" i="1"/>
  <c r="V34" i="1" s="1"/>
  <c r="CX34" i="1"/>
  <c r="FR34" i="1"/>
  <c r="GL34" i="1"/>
  <c r="GN34" i="1"/>
  <c r="GO34" i="1"/>
  <c r="GV34" i="1"/>
  <c r="HC34" i="1"/>
  <c r="GX34" i="1" s="1"/>
  <c r="I35" i="1"/>
  <c r="S35" i="1" s="1"/>
  <c r="Q35" i="1"/>
  <c r="V35" i="1"/>
  <c r="AC35" i="1"/>
  <c r="CQ35" i="1" s="1"/>
  <c r="P35" i="1" s="1"/>
  <c r="AE35" i="1"/>
  <c r="AD35" i="1" s="1"/>
  <c r="AF35" i="1"/>
  <c r="CT35" i="1" s="1"/>
  <c r="AG35" i="1"/>
  <c r="AH35" i="1"/>
  <c r="AI35" i="1"/>
  <c r="AJ35" i="1"/>
  <c r="CR35" i="1"/>
  <c r="CU35" i="1"/>
  <c r="T35" i="1" s="1"/>
  <c r="CV35" i="1"/>
  <c r="U35" i="1" s="1"/>
  <c r="CW35" i="1"/>
  <c r="CX35" i="1"/>
  <c r="W35" i="1" s="1"/>
  <c r="FR35" i="1"/>
  <c r="GL35" i="1"/>
  <c r="GN35" i="1"/>
  <c r="GO35" i="1"/>
  <c r="GV35" i="1"/>
  <c r="HC35" i="1" s="1"/>
  <c r="GX35" i="1" s="1"/>
  <c r="I36" i="1"/>
  <c r="Q36" i="1"/>
  <c r="W36" i="1"/>
  <c r="AC36" i="1"/>
  <c r="CQ36" i="1" s="1"/>
  <c r="P36" i="1" s="1"/>
  <c r="AE36" i="1"/>
  <c r="AD36" i="1" s="1"/>
  <c r="AF36" i="1"/>
  <c r="AG36" i="1"/>
  <c r="CU36" i="1" s="1"/>
  <c r="T36" i="1" s="1"/>
  <c r="AH36" i="1"/>
  <c r="AI36" i="1"/>
  <c r="CW36" i="1" s="1"/>
  <c r="V36" i="1" s="1"/>
  <c r="AJ36" i="1"/>
  <c r="CR36" i="1"/>
  <c r="CT36" i="1"/>
  <c r="S36" i="1" s="1"/>
  <c r="CV36" i="1"/>
  <c r="U36" i="1" s="1"/>
  <c r="CX36" i="1"/>
  <c r="FR36" i="1"/>
  <c r="GL36" i="1"/>
  <c r="GN36" i="1"/>
  <c r="GO36" i="1"/>
  <c r="GV36" i="1"/>
  <c r="HC36" i="1"/>
  <c r="GX36" i="1" s="1"/>
  <c r="C37" i="1"/>
  <c r="D37" i="1"/>
  <c r="T37" i="1"/>
  <c r="V37" i="1"/>
  <c r="AC37" i="1"/>
  <c r="AD37" i="1"/>
  <c r="AB37" i="1" s="1"/>
  <c r="AE37" i="1"/>
  <c r="AF37" i="1"/>
  <c r="CT37" i="1" s="1"/>
  <c r="S37" i="1" s="1"/>
  <c r="CZ37" i="1" s="1"/>
  <c r="Y37" i="1" s="1"/>
  <c r="AG37" i="1"/>
  <c r="AH37" i="1"/>
  <c r="CV37" i="1" s="1"/>
  <c r="U37" i="1" s="1"/>
  <c r="AI37" i="1"/>
  <c r="AJ37" i="1"/>
  <c r="CX37" i="1" s="1"/>
  <c r="W37" i="1" s="1"/>
  <c r="CQ37" i="1"/>
  <c r="P37" i="1" s="1"/>
  <c r="CR37" i="1"/>
  <c r="Q37" i="1" s="1"/>
  <c r="CS37" i="1"/>
  <c r="R37" i="1" s="1"/>
  <c r="GK37" i="1" s="1"/>
  <c r="CU37" i="1"/>
  <c r="CW37" i="1"/>
  <c r="CY37" i="1"/>
  <c r="X37" i="1" s="1"/>
  <c r="FR37" i="1"/>
  <c r="GL37" i="1"/>
  <c r="GN37" i="1"/>
  <c r="GO37" i="1"/>
  <c r="GV37" i="1"/>
  <c r="GX37" i="1"/>
  <c r="HC37" i="1"/>
  <c r="I38" i="1"/>
  <c r="T38" i="1" s="1"/>
  <c r="AB38" i="1"/>
  <c r="AC38" i="1"/>
  <c r="AD38" i="1"/>
  <c r="AE38" i="1"/>
  <c r="AF38" i="1"/>
  <c r="CT38" i="1" s="1"/>
  <c r="S38" i="1" s="1"/>
  <c r="AG38" i="1"/>
  <c r="AH38" i="1"/>
  <c r="CV38" i="1" s="1"/>
  <c r="AI38" i="1"/>
  <c r="AJ38" i="1"/>
  <c r="CX38" i="1" s="1"/>
  <c r="W38" i="1" s="1"/>
  <c r="CQ38" i="1"/>
  <c r="P38" i="1" s="1"/>
  <c r="CR38" i="1"/>
  <c r="CS38" i="1"/>
  <c r="R38" i="1" s="1"/>
  <c r="GK38" i="1" s="1"/>
  <c r="CU38" i="1"/>
  <c r="CW38" i="1"/>
  <c r="V38" i="1" s="1"/>
  <c r="FR38" i="1"/>
  <c r="GL38" i="1"/>
  <c r="GN38" i="1"/>
  <c r="GO38" i="1"/>
  <c r="GV38" i="1"/>
  <c r="HC38" i="1" s="1"/>
  <c r="GX38" i="1"/>
  <c r="C39" i="1"/>
  <c r="D39" i="1"/>
  <c r="Q39" i="1"/>
  <c r="S39" i="1"/>
  <c r="W39" i="1"/>
  <c r="AC39" i="1"/>
  <c r="AE39" i="1"/>
  <c r="AD39" i="1" s="1"/>
  <c r="AF39" i="1"/>
  <c r="AG39" i="1"/>
  <c r="CU39" i="1" s="1"/>
  <c r="T39" i="1" s="1"/>
  <c r="AH39" i="1"/>
  <c r="AI39" i="1"/>
  <c r="CW39" i="1" s="1"/>
  <c r="V39" i="1" s="1"/>
  <c r="AJ39" i="1"/>
  <c r="CR39" i="1"/>
  <c r="CT39" i="1"/>
  <c r="CV39" i="1"/>
  <c r="U39" i="1" s="1"/>
  <c r="CX39" i="1"/>
  <c r="FR39" i="1"/>
  <c r="GL39" i="1"/>
  <c r="GN39" i="1"/>
  <c r="GO39" i="1"/>
  <c r="GV39" i="1"/>
  <c r="HC39" i="1"/>
  <c r="GX39" i="1" s="1"/>
  <c r="I40" i="1"/>
  <c r="W40" i="1"/>
  <c r="Y40" i="1"/>
  <c r="AC40" i="1"/>
  <c r="AE40" i="1"/>
  <c r="AF40" i="1"/>
  <c r="AG40" i="1"/>
  <c r="CU40" i="1" s="1"/>
  <c r="T40" i="1" s="1"/>
  <c r="AH40" i="1"/>
  <c r="AI40" i="1"/>
  <c r="CW40" i="1" s="1"/>
  <c r="V40" i="1" s="1"/>
  <c r="AJ40" i="1"/>
  <c r="CR40" i="1"/>
  <c r="Q40" i="1" s="1"/>
  <c r="CT40" i="1"/>
  <c r="S40" i="1" s="1"/>
  <c r="CY40" i="1" s="1"/>
  <c r="X40" i="1" s="1"/>
  <c r="CV40" i="1"/>
  <c r="U40" i="1" s="1"/>
  <c r="CX40" i="1"/>
  <c r="CZ40" i="1"/>
  <c r="FR40" i="1"/>
  <c r="GL40" i="1"/>
  <c r="GN40" i="1"/>
  <c r="GO40" i="1"/>
  <c r="GV40" i="1"/>
  <c r="HC40" i="1" s="1"/>
  <c r="GX40" i="1" s="1"/>
  <c r="I41" i="1"/>
  <c r="U41" i="1"/>
  <c r="W41" i="1"/>
  <c r="AC41" i="1"/>
  <c r="AE41" i="1"/>
  <c r="AD41" i="1" s="1"/>
  <c r="AF41" i="1"/>
  <c r="AG41" i="1"/>
  <c r="CU41" i="1" s="1"/>
  <c r="T41" i="1" s="1"/>
  <c r="AH41" i="1"/>
  <c r="AI41" i="1"/>
  <c r="CW41" i="1" s="1"/>
  <c r="V41" i="1" s="1"/>
  <c r="AJ41" i="1"/>
  <c r="CR41" i="1"/>
  <c r="Q41" i="1" s="1"/>
  <c r="CT41" i="1"/>
  <c r="S41" i="1" s="1"/>
  <c r="CV41" i="1"/>
  <c r="CX41" i="1"/>
  <c r="FR41" i="1"/>
  <c r="GL41" i="1"/>
  <c r="GN41" i="1"/>
  <c r="GO41" i="1"/>
  <c r="GV41" i="1"/>
  <c r="HC41" i="1"/>
  <c r="GX41" i="1" s="1"/>
  <c r="I42" i="1"/>
  <c r="S42" i="1"/>
  <c r="CY42" i="1" s="1"/>
  <c r="X42" i="1" s="1"/>
  <c r="Y42" i="1"/>
  <c r="AC42" i="1"/>
  <c r="AE42" i="1"/>
  <c r="AF42" i="1"/>
  <c r="AG42" i="1"/>
  <c r="CU42" i="1" s="1"/>
  <c r="T42" i="1" s="1"/>
  <c r="AH42" i="1"/>
  <c r="AI42" i="1"/>
  <c r="CW42" i="1" s="1"/>
  <c r="V42" i="1" s="1"/>
  <c r="AJ42" i="1"/>
  <c r="CR42" i="1"/>
  <c r="Q42" i="1" s="1"/>
  <c r="CT42" i="1"/>
  <c r="CV42" i="1"/>
  <c r="U42" i="1" s="1"/>
  <c r="CX42" i="1"/>
  <c r="W42" i="1" s="1"/>
  <c r="CZ42" i="1"/>
  <c r="FR42" i="1"/>
  <c r="GL42" i="1"/>
  <c r="GN42" i="1"/>
  <c r="GO42" i="1"/>
  <c r="GV42" i="1"/>
  <c r="HC42" i="1" s="1"/>
  <c r="GX42" i="1" s="1"/>
  <c r="I43" i="1"/>
  <c r="Q43" i="1"/>
  <c r="W43" i="1"/>
  <c r="AC43" i="1"/>
  <c r="AE43" i="1"/>
  <c r="AD43" i="1" s="1"/>
  <c r="AF43" i="1"/>
  <c r="AG43" i="1"/>
  <c r="CU43" i="1" s="1"/>
  <c r="T43" i="1" s="1"/>
  <c r="AH43" i="1"/>
  <c r="AI43" i="1"/>
  <c r="CW43" i="1" s="1"/>
  <c r="V43" i="1" s="1"/>
  <c r="AJ43" i="1"/>
  <c r="CR43" i="1"/>
  <c r="CT43" i="1"/>
  <c r="S43" i="1" s="1"/>
  <c r="CV43" i="1"/>
  <c r="U43" i="1" s="1"/>
  <c r="CX43" i="1"/>
  <c r="FR43" i="1"/>
  <c r="GL43" i="1"/>
  <c r="GN43" i="1"/>
  <c r="GO43" i="1"/>
  <c r="GV43" i="1"/>
  <c r="HC43" i="1"/>
  <c r="GX43" i="1" s="1"/>
  <c r="I44" i="1"/>
  <c r="Q44" i="1"/>
  <c r="U44" i="1"/>
  <c r="W44" i="1"/>
  <c r="AC44" i="1"/>
  <c r="AE44" i="1"/>
  <c r="AF44" i="1"/>
  <c r="AG44" i="1"/>
  <c r="CU44" i="1" s="1"/>
  <c r="T44" i="1" s="1"/>
  <c r="AH44" i="1"/>
  <c r="AI44" i="1"/>
  <c r="CW44" i="1" s="1"/>
  <c r="V44" i="1" s="1"/>
  <c r="AJ44" i="1"/>
  <c r="CR44" i="1"/>
  <c r="CT44" i="1"/>
  <c r="S44" i="1" s="1"/>
  <c r="CY44" i="1" s="1"/>
  <c r="X44" i="1" s="1"/>
  <c r="CV44" i="1"/>
  <c r="CX44" i="1"/>
  <c r="FR44" i="1"/>
  <c r="GL44" i="1"/>
  <c r="GN44" i="1"/>
  <c r="GO44" i="1"/>
  <c r="GV44" i="1"/>
  <c r="HC44" i="1"/>
  <c r="GX44" i="1" s="1"/>
  <c r="I45" i="1"/>
  <c r="U45" i="1"/>
  <c r="AC45" i="1"/>
  <c r="AD45" i="1"/>
  <c r="AE45" i="1"/>
  <c r="CS45" i="1" s="1"/>
  <c r="R45" i="1" s="1"/>
  <c r="GK45" i="1" s="1"/>
  <c r="AF45" i="1"/>
  <c r="AG45" i="1"/>
  <c r="CU45" i="1" s="1"/>
  <c r="T45" i="1" s="1"/>
  <c r="AH45" i="1"/>
  <c r="AI45" i="1"/>
  <c r="CW45" i="1" s="1"/>
  <c r="V45" i="1" s="1"/>
  <c r="AJ45" i="1"/>
  <c r="CQ45" i="1"/>
  <c r="P45" i="1" s="1"/>
  <c r="CR45" i="1"/>
  <c r="Q45" i="1" s="1"/>
  <c r="CT45" i="1"/>
  <c r="S45" i="1" s="1"/>
  <c r="CV45" i="1"/>
  <c r="CX45" i="1"/>
  <c r="W45" i="1" s="1"/>
  <c r="FR45" i="1"/>
  <c r="GL45" i="1"/>
  <c r="GN45" i="1"/>
  <c r="GO45" i="1"/>
  <c r="GV45" i="1"/>
  <c r="HC45" i="1"/>
  <c r="GX45" i="1" s="1"/>
  <c r="CJ56" i="1" s="1"/>
  <c r="I46" i="1"/>
  <c r="S46" i="1"/>
  <c r="AC46" i="1"/>
  <c r="CQ46" i="1" s="1"/>
  <c r="P46" i="1" s="1"/>
  <c r="AE46" i="1"/>
  <c r="CS46" i="1" s="1"/>
  <c r="R46" i="1" s="1"/>
  <c r="GK46" i="1" s="1"/>
  <c r="AF46" i="1"/>
  <c r="AG46" i="1"/>
  <c r="CU46" i="1" s="1"/>
  <c r="T46" i="1" s="1"/>
  <c r="AH46" i="1"/>
  <c r="AI46" i="1"/>
  <c r="CW46" i="1" s="1"/>
  <c r="V46" i="1" s="1"/>
  <c r="AJ46" i="1"/>
  <c r="CX46" i="1" s="1"/>
  <c r="W46" i="1" s="1"/>
  <c r="CR46" i="1"/>
  <c r="Q46" i="1" s="1"/>
  <c r="CT46" i="1"/>
  <c r="CV46" i="1"/>
  <c r="U46" i="1" s="1"/>
  <c r="CY46" i="1"/>
  <c r="X46" i="1" s="1"/>
  <c r="CZ46" i="1"/>
  <c r="Y46" i="1" s="1"/>
  <c r="FR46" i="1"/>
  <c r="GL46" i="1"/>
  <c r="GN46" i="1"/>
  <c r="GO46" i="1"/>
  <c r="GV46" i="1"/>
  <c r="HC46" i="1" s="1"/>
  <c r="GX46" i="1" s="1"/>
  <c r="C47" i="1"/>
  <c r="D47" i="1"/>
  <c r="P47" i="1"/>
  <c r="CP47" i="1" s="1"/>
  <c r="O47" i="1" s="1"/>
  <c r="Q47" i="1"/>
  <c r="W47" i="1"/>
  <c r="AC47" i="1"/>
  <c r="AE47" i="1"/>
  <c r="AD47" i="1" s="1"/>
  <c r="AB47" i="1" s="1"/>
  <c r="AF47" i="1"/>
  <c r="AG47" i="1"/>
  <c r="AH47" i="1"/>
  <c r="AI47" i="1"/>
  <c r="AJ47" i="1"/>
  <c r="CX47" i="1" s="1"/>
  <c r="CQ47" i="1"/>
  <c r="CR47" i="1"/>
  <c r="CS47" i="1"/>
  <c r="R47" i="1" s="1"/>
  <c r="GK47" i="1" s="1"/>
  <c r="CT47" i="1"/>
  <c r="S47" i="1" s="1"/>
  <c r="CU47" i="1"/>
  <c r="T47" i="1" s="1"/>
  <c r="CV47" i="1"/>
  <c r="U47" i="1" s="1"/>
  <c r="CW47" i="1"/>
  <c r="V47" i="1" s="1"/>
  <c r="FR47" i="1"/>
  <c r="GL47" i="1"/>
  <c r="GN47" i="1"/>
  <c r="GO47" i="1"/>
  <c r="GV47" i="1"/>
  <c r="GX47" i="1"/>
  <c r="HC47" i="1"/>
  <c r="I48" i="1"/>
  <c r="P48" i="1"/>
  <c r="V48" i="1"/>
  <c r="W48" i="1"/>
  <c r="AC48" i="1"/>
  <c r="AD48" i="1"/>
  <c r="AE48" i="1"/>
  <c r="AF48" i="1"/>
  <c r="AG48" i="1"/>
  <c r="AH48" i="1"/>
  <c r="CV48" i="1" s="1"/>
  <c r="U48" i="1" s="1"/>
  <c r="AI48" i="1"/>
  <c r="AJ48" i="1"/>
  <c r="CQ48" i="1"/>
  <c r="CR48" i="1"/>
  <c r="Q48" i="1" s="1"/>
  <c r="CS48" i="1"/>
  <c r="R48" i="1" s="1"/>
  <c r="CT48" i="1"/>
  <c r="CU48" i="1"/>
  <c r="T48" i="1" s="1"/>
  <c r="CW48" i="1"/>
  <c r="CX48" i="1"/>
  <c r="FR48" i="1"/>
  <c r="GK48" i="1"/>
  <c r="GL48" i="1"/>
  <c r="GN48" i="1"/>
  <c r="GO48" i="1"/>
  <c r="GV48" i="1"/>
  <c r="HC48" i="1"/>
  <c r="GX48" i="1" s="1"/>
  <c r="C49" i="1"/>
  <c r="D49" i="1"/>
  <c r="I49" i="1"/>
  <c r="K49" i="1"/>
  <c r="Q49" i="1"/>
  <c r="R49" i="1"/>
  <c r="GK49" i="1" s="1"/>
  <c r="AB49" i="1"/>
  <c r="AC49" i="1"/>
  <c r="CQ49" i="1" s="1"/>
  <c r="P49" i="1" s="1"/>
  <c r="AE49" i="1"/>
  <c r="AD49" i="1" s="1"/>
  <c r="AF49" i="1"/>
  <c r="AG49" i="1"/>
  <c r="AH49" i="1"/>
  <c r="AI49" i="1"/>
  <c r="AJ49" i="1"/>
  <c r="CR49" i="1"/>
  <c r="CS49" i="1"/>
  <c r="CT49" i="1"/>
  <c r="S49" i="1" s="1"/>
  <c r="CU49" i="1"/>
  <c r="T49" i="1" s="1"/>
  <c r="CV49" i="1"/>
  <c r="U49" i="1" s="1"/>
  <c r="CW49" i="1"/>
  <c r="V49" i="1" s="1"/>
  <c r="CX49" i="1"/>
  <c r="W49" i="1" s="1"/>
  <c r="FR49" i="1"/>
  <c r="GL49" i="1"/>
  <c r="GN49" i="1"/>
  <c r="GO49" i="1"/>
  <c r="GV49" i="1"/>
  <c r="HC49" i="1"/>
  <c r="GX49" i="1" s="1"/>
  <c r="C50" i="1"/>
  <c r="D50" i="1"/>
  <c r="V50" i="1"/>
  <c r="AC50" i="1"/>
  <c r="AB50" i="1" s="1"/>
  <c r="AD50" i="1"/>
  <c r="AE50" i="1"/>
  <c r="AF50" i="1"/>
  <c r="AG50" i="1"/>
  <c r="AH50" i="1"/>
  <c r="CV50" i="1" s="1"/>
  <c r="U50" i="1" s="1"/>
  <c r="AI50" i="1"/>
  <c r="AJ50" i="1"/>
  <c r="CR50" i="1"/>
  <c r="Q50" i="1" s="1"/>
  <c r="CS50" i="1"/>
  <c r="R50" i="1" s="1"/>
  <c r="CT50" i="1"/>
  <c r="S50" i="1" s="1"/>
  <c r="CU50" i="1"/>
  <c r="T50" i="1" s="1"/>
  <c r="CW50" i="1"/>
  <c r="CX50" i="1"/>
  <c r="W50" i="1" s="1"/>
  <c r="FR50" i="1"/>
  <c r="GK50" i="1"/>
  <c r="GL50" i="1"/>
  <c r="GN50" i="1"/>
  <c r="GO50" i="1"/>
  <c r="GV50" i="1"/>
  <c r="HC50" i="1" s="1"/>
  <c r="GX50" i="1" s="1"/>
  <c r="I51" i="1"/>
  <c r="P51" i="1"/>
  <c r="T51" i="1"/>
  <c r="U51" i="1"/>
  <c r="AC51" i="1"/>
  <c r="AE51" i="1"/>
  <c r="AD51" i="1" s="1"/>
  <c r="AB51" i="1" s="1"/>
  <c r="AF51" i="1"/>
  <c r="CT51" i="1" s="1"/>
  <c r="S51" i="1" s="1"/>
  <c r="AG51" i="1"/>
  <c r="AH51" i="1"/>
  <c r="AI51" i="1"/>
  <c r="AJ51" i="1"/>
  <c r="CQ51" i="1"/>
  <c r="CR51" i="1"/>
  <c r="Q51" i="1" s="1"/>
  <c r="CU51" i="1"/>
  <c r="CV51" i="1"/>
  <c r="CW51" i="1"/>
  <c r="V51" i="1" s="1"/>
  <c r="CX51" i="1"/>
  <c r="W51" i="1" s="1"/>
  <c r="FR51" i="1"/>
  <c r="GL51" i="1"/>
  <c r="GN51" i="1"/>
  <c r="GO51" i="1"/>
  <c r="GV51" i="1"/>
  <c r="GX51" i="1"/>
  <c r="HC51" i="1"/>
  <c r="I52" i="1"/>
  <c r="Q52" i="1"/>
  <c r="S52" i="1"/>
  <c r="T52" i="1"/>
  <c r="Y52" i="1"/>
  <c r="AC52" i="1"/>
  <c r="AB52" i="1" s="1"/>
  <c r="AD52" i="1"/>
  <c r="AE52" i="1"/>
  <c r="CS52" i="1" s="1"/>
  <c r="R52" i="1" s="1"/>
  <c r="GK52" i="1" s="1"/>
  <c r="AF52" i="1"/>
  <c r="AG52" i="1"/>
  <c r="AH52" i="1"/>
  <c r="AI52" i="1"/>
  <c r="CW52" i="1" s="1"/>
  <c r="V52" i="1" s="1"/>
  <c r="AJ52" i="1"/>
  <c r="CQ52" i="1"/>
  <c r="P52" i="1" s="1"/>
  <c r="CP52" i="1" s="1"/>
  <c r="O52" i="1" s="1"/>
  <c r="CR52" i="1"/>
  <c r="CT52" i="1"/>
  <c r="CU52" i="1"/>
  <c r="CV52" i="1"/>
  <c r="U52" i="1" s="1"/>
  <c r="CX52" i="1"/>
  <c r="W52" i="1" s="1"/>
  <c r="CY52" i="1"/>
  <c r="X52" i="1" s="1"/>
  <c r="CZ52" i="1"/>
  <c r="FR52" i="1"/>
  <c r="GL52" i="1"/>
  <c r="GN52" i="1"/>
  <c r="GO52" i="1"/>
  <c r="GV52" i="1"/>
  <c r="HC52" i="1" s="1"/>
  <c r="GX52" i="1" s="1"/>
  <c r="C53" i="1"/>
  <c r="D53" i="1"/>
  <c r="I53" i="1"/>
  <c r="K53" i="1"/>
  <c r="Q53" i="1"/>
  <c r="W53" i="1"/>
  <c r="AC53" i="1"/>
  <c r="AB53" i="1" s="1"/>
  <c r="AD53" i="1"/>
  <c r="AE53" i="1"/>
  <c r="AF53" i="1"/>
  <c r="AG53" i="1"/>
  <c r="CU53" i="1" s="1"/>
  <c r="T53" i="1" s="1"/>
  <c r="AH53" i="1"/>
  <c r="CV53" i="1" s="1"/>
  <c r="U53" i="1" s="1"/>
  <c r="AI53" i="1"/>
  <c r="CW53" i="1" s="1"/>
  <c r="V53" i="1" s="1"/>
  <c r="AJ53" i="1"/>
  <c r="CQ53" i="1"/>
  <c r="P53" i="1" s="1"/>
  <c r="CR53" i="1"/>
  <c r="CS53" i="1"/>
  <c r="R53" i="1" s="1"/>
  <c r="GK53" i="1" s="1"/>
  <c r="CT53" i="1"/>
  <c r="S53" i="1" s="1"/>
  <c r="CX53" i="1"/>
  <c r="FR53" i="1"/>
  <c r="GL53" i="1"/>
  <c r="GN53" i="1"/>
  <c r="GO53" i="1"/>
  <c r="GV53" i="1"/>
  <c r="HC53" i="1"/>
  <c r="GX53" i="1" s="1"/>
  <c r="I54" i="1"/>
  <c r="T54" i="1" s="1"/>
  <c r="U54" i="1"/>
  <c r="AC54" i="1"/>
  <c r="AE54" i="1"/>
  <c r="AD54" i="1" s="1"/>
  <c r="AB54" i="1" s="1"/>
  <c r="AF54" i="1"/>
  <c r="CT54" i="1" s="1"/>
  <c r="S54" i="1" s="1"/>
  <c r="AG54" i="1"/>
  <c r="AH54" i="1"/>
  <c r="AI54" i="1"/>
  <c r="AJ54" i="1"/>
  <c r="CX54" i="1" s="1"/>
  <c r="W54" i="1" s="1"/>
  <c r="CQ54" i="1"/>
  <c r="P54" i="1" s="1"/>
  <c r="CR54" i="1"/>
  <c r="Q54" i="1" s="1"/>
  <c r="CU54" i="1"/>
  <c r="CV54" i="1"/>
  <c r="CW54" i="1"/>
  <c r="V54" i="1" s="1"/>
  <c r="FR54" i="1"/>
  <c r="GL54" i="1"/>
  <c r="GN54" i="1"/>
  <c r="GO54" i="1"/>
  <c r="GV54" i="1"/>
  <c r="HC54" i="1" s="1"/>
  <c r="GX54" i="1" s="1"/>
  <c r="B56" i="1"/>
  <c r="B30" i="1" s="1"/>
  <c r="C56" i="1"/>
  <c r="C30" i="1" s="1"/>
  <c r="D56" i="1"/>
  <c r="D30" i="1" s="1"/>
  <c r="F56" i="1"/>
  <c r="F30" i="1" s="1"/>
  <c r="G56" i="1"/>
  <c r="G30" i="1" s="1"/>
  <c r="BD56" i="1"/>
  <c r="BX56" i="1"/>
  <c r="BX30" i="1" s="1"/>
  <c r="BY56" i="1"/>
  <c r="BY30" i="1" s="1"/>
  <c r="BZ56" i="1"/>
  <c r="BZ30" i="1" s="1"/>
  <c r="CB56" i="1"/>
  <c r="CB30" i="1" s="1"/>
  <c r="CC56" i="1"/>
  <c r="CC30" i="1" s="1"/>
  <c r="CK56" i="1"/>
  <c r="CK30" i="1" s="1"/>
  <c r="CL56" i="1"/>
  <c r="CL30" i="1" s="1"/>
  <c r="CM56" i="1"/>
  <c r="CM30" i="1" s="1"/>
  <c r="F81" i="1"/>
  <c r="B86" i="1"/>
  <c r="B26" i="1" s="1"/>
  <c r="C86" i="1"/>
  <c r="C26" i="1" s="1"/>
  <c r="D86" i="1"/>
  <c r="D26" i="1" s="1"/>
  <c r="F86" i="1"/>
  <c r="F26" i="1" s="1"/>
  <c r="G86" i="1"/>
  <c r="G26" i="1" s="1"/>
  <c r="D116" i="1"/>
  <c r="E118" i="1"/>
  <c r="Z118" i="1"/>
  <c r="AA118" i="1"/>
  <c r="AB118" i="1"/>
  <c r="AC118" i="1"/>
  <c r="AD118" i="1"/>
  <c r="AE118" i="1"/>
  <c r="AF118" i="1"/>
  <c r="AG118" i="1"/>
  <c r="AH118" i="1"/>
  <c r="AI118" i="1"/>
  <c r="AJ118" i="1"/>
  <c r="AK118" i="1"/>
  <c r="AL118" i="1"/>
  <c r="AM118" i="1"/>
  <c r="AN118" i="1"/>
  <c r="BE118" i="1"/>
  <c r="BF118" i="1"/>
  <c r="BG118" i="1"/>
  <c r="BH118" i="1"/>
  <c r="BI118" i="1"/>
  <c r="BJ118" i="1"/>
  <c r="BK118" i="1"/>
  <c r="BL118" i="1"/>
  <c r="BM118" i="1"/>
  <c r="BN118" i="1"/>
  <c r="BO118" i="1"/>
  <c r="BP118" i="1"/>
  <c r="BQ118" i="1"/>
  <c r="BR118" i="1"/>
  <c r="BS118" i="1"/>
  <c r="BT118" i="1"/>
  <c r="BU118" i="1"/>
  <c r="BV118" i="1"/>
  <c r="BW118" i="1"/>
  <c r="BX118" i="1"/>
  <c r="BY118" i="1"/>
  <c r="BZ118" i="1"/>
  <c r="CA118" i="1"/>
  <c r="CB118" i="1"/>
  <c r="CC118" i="1"/>
  <c r="CD118" i="1"/>
  <c r="CE118" i="1"/>
  <c r="CF118" i="1"/>
  <c r="CG118" i="1"/>
  <c r="CH118" i="1"/>
  <c r="CI118" i="1"/>
  <c r="CJ118" i="1"/>
  <c r="CK118" i="1"/>
  <c r="CL118" i="1"/>
  <c r="CM118" i="1"/>
  <c r="CN118" i="1"/>
  <c r="CO118" i="1"/>
  <c r="CP118" i="1"/>
  <c r="CQ118" i="1"/>
  <c r="CR118" i="1"/>
  <c r="CS118" i="1"/>
  <c r="CT118" i="1"/>
  <c r="CU118" i="1"/>
  <c r="CV118" i="1"/>
  <c r="CW118" i="1"/>
  <c r="CX118" i="1"/>
  <c r="CY118" i="1"/>
  <c r="CZ118" i="1"/>
  <c r="DA118" i="1"/>
  <c r="DB118" i="1"/>
  <c r="DC118" i="1"/>
  <c r="DD118" i="1"/>
  <c r="DE118" i="1"/>
  <c r="DF118" i="1"/>
  <c r="DG118" i="1"/>
  <c r="DH118" i="1"/>
  <c r="DI118" i="1"/>
  <c r="DJ118" i="1"/>
  <c r="DK118" i="1"/>
  <c r="DL118" i="1"/>
  <c r="DM118" i="1"/>
  <c r="DN118" i="1"/>
  <c r="DO118" i="1"/>
  <c r="DP118" i="1"/>
  <c r="DQ118" i="1"/>
  <c r="DR118" i="1"/>
  <c r="DS118" i="1"/>
  <c r="DT118" i="1"/>
  <c r="DU118" i="1"/>
  <c r="DV118" i="1"/>
  <c r="DW118" i="1"/>
  <c r="DX118" i="1"/>
  <c r="DY118" i="1"/>
  <c r="DZ118" i="1"/>
  <c r="EA118" i="1"/>
  <c r="EB118" i="1"/>
  <c r="EC118" i="1"/>
  <c r="ED118" i="1"/>
  <c r="EE118" i="1"/>
  <c r="EF118" i="1"/>
  <c r="EG118" i="1"/>
  <c r="EH118" i="1"/>
  <c r="EI118" i="1"/>
  <c r="EJ118" i="1"/>
  <c r="EK118" i="1"/>
  <c r="EL118" i="1"/>
  <c r="EM118" i="1"/>
  <c r="EN118" i="1"/>
  <c r="EO118" i="1"/>
  <c r="EP118" i="1"/>
  <c r="EQ118" i="1"/>
  <c r="ER118" i="1"/>
  <c r="ES118" i="1"/>
  <c r="ET118" i="1"/>
  <c r="EU118" i="1"/>
  <c r="EV118" i="1"/>
  <c r="EW118" i="1"/>
  <c r="EX118" i="1"/>
  <c r="EY118" i="1"/>
  <c r="EZ118" i="1"/>
  <c r="FA118" i="1"/>
  <c r="FB118" i="1"/>
  <c r="FC118" i="1"/>
  <c r="FD118" i="1"/>
  <c r="FE118" i="1"/>
  <c r="FF118" i="1"/>
  <c r="FG118" i="1"/>
  <c r="FH118" i="1"/>
  <c r="FI118" i="1"/>
  <c r="FJ118" i="1"/>
  <c r="FK118" i="1"/>
  <c r="FL118" i="1"/>
  <c r="FM118" i="1"/>
  <c r="FN118" i="1"/>
  <c r="FO118" i="1"/>
  <c r="FP118" i="1"/>
  <c r="FQ118" i="1"/>
  <c r="FR118" i="1"/>
  <c r="FS118" i="1"/>
  <c r="FT118" i="1"/>
  <c r="FU118" i="1"/>
  <c r="FV118" i="1"/>
  <c r="FW118" i="1"/>
  <c r="FX118" i="1"/>
  <c r="FY118" i="1"/>
  <c r="FZ118" i="1"/>
  <c r="GA118" i="1"/>
  <c r="GB118" i="1"/>
  <c r="GC118" i="1"/>
  <c r="GD118" i="1"/>
  <c r="GE118" i="1"/>
  <c r="GF118" i="1"/>
  <c r="GG118" i="1"/>
  <c r="GH118" i="1"/>
  <c r="GI118" i="1"/>
  <c r="GJ118" i="1"/>
  <c r="GK118" i="1"/>
  <c r="GL118" i="1"/>
  <c r="GM118" i="1"/>
  <c r="GN118" i="1"/>
  <c r="GO118" i="1"/>
  <c r="GP118" i="1"/>
  <c r="GQ118" i="1"/>
  <c r="GR118" i="1"/>
  <c r="GS118" i="1"/>
  <c r="GT118" i="1"/>
  <c r="GU118" i="1"/>
  <c r="GV118" i="1"/>
  <c r="GW118" i="1"/>
  <c r="GX118" i="1"/>
  <c r="D120" i="1"/>
  <c r="B122" i="1"/>
  <c r="E122" i="1"/>
  <c r="Z122" i="1"/>
  <c r="AA122" i="1"/>
  <c r="AM122" i="1"/>
  <c r="AN122" i="1"/>
  <c r="BE122" i="1"/>
  <c r="BF122" i="1"/>
  <c r="BG122" i="1"/>
  <c r="BH122" i="1"/>
  <c r="BI122" i="1"/>
  <c r="BJ122" i="1"/>
  <c r="BK122" i="1"/>
  <c r="BL122" i="1"/>
  <c r="BM122" i="1"/>
  <c r="BN122" i="1"/>
  <c r="BO122" i="1"/>
  <c r="BP122" i="1"/>
  <c r="BQ122" i="1"/>
  <c r="BR122" i="1"/>
  <c r="BS122" i="1"/>
  <c r="BT122" i="1"/>
  <c r="BU122" i="1"/>
  <c r="BV122" i="1"/>
  <c r="BW122" i="1"/>
  <c r="CN122" i="1"/>
  <c r="CO122" i="1"/>
  <c r="CP122" i="1"/>
  <c r="CQ122" i="1"/>
  <c r="CR122" i="1"/>
  <c r="CS122" i="1"/>
  <c r="CT122" i="1"/>
  <c r="CU122" i="1"/>
  <c r="CV122" i="1"/>
  <c r="CW122" i="1"/>
  <c r="CX122" i="1"/>
  <c r="CY122" i="1"/>
  <c r="CZ122" i="1"/>
  <c r="DA122" i="1"/>
  <c r="DB122" i="1"/>
  <c r="DC122" i="1"/>
  <c r="DD122" i="1"/>
  <c r="DE122" i="1"/>
  <c r="DF122" i="1"/>
  <c r="DG122" i="1"/>
  <c r="DH122" i="1"/>
  <c r="DI122" i="1"/>
  <c r="DJ122" i="1"/>
  <c r="DK122" i="1"/>
  <c r="DL122" i="1"/>
  <c r="DM122" i="1"/>
  <c r="DN122" i="1"/>
  <c r="DO122" i="1"/>
  <c r="DP122" i="1"/>
  <c r="DQ122" i="1"/>
  <c r="DR122" i="1"/>
  <c r="DS122" i="1"/>
  <c r="DT122" i="1"/>
  <c r="DU122" i="1"/>
  <c r="DV122" i="1"/>
  <c r="DW122" i="1"/>
  <c r="DX122" i="1"/>
  <c r="DY122" i="1"/>
  <c r="DZ122" i="1"/>
  <c r="EA122" i="1"/>
  <c r="EB122" i="1"/>
  <c r="EC122" i="1"/>
  <c r="ED122" i="1"/>
  <c r="EE122" i="1"/>
  <c r="EF122" i="1"/>
  <c r="EG122" i="1"/>
  <c r="EH122" i="1"/>
  <c r="EI122" i="1"/>
  <c r="EJ122" i="1"/>
  <c r="EK122" i="1"/>
  <c r="EL122" i="1"/>
  <c r="EM122" i="1"/>
  <c r="EN122" i="1"/>
  <c r="EO122" i="1"/>
  <c r="EP122" i="1"/>
  <c r="EQ122" i="1"/>
  <c r="ER122" i="1"/>
  <c r="ES122" i="1"/>
  <c r="ET122" i="1"/>
  <c r="EU122" i="1"/>
  <c r="EV122" i="1"/>
  <c r="EW122" i="1"/>
  <c r="EX122" i="1"/>
  <c r="EY122" i="1"/>
  <c r="EZ122" i="1"/>
  <c r="FA122" i="1"/>
  <c r="FB122" i="1"/>
  <c r="FC122" i="1"/>
  <c r="FD122" i="1"/>
  <c r="FE122" i="1"/>
  <c r="FF122" i="1"/>
  <c r="FG122" i="1"/>
  <c r="FH122" i="1"/>
  <c r="FI122" i="1"/>
  <c r="FJ122" i="1"/>
  <c r="FK122" i="1"/>
  <c r="FL122" i="1"/>
  <c r="FM122" i="1"/>
  <c r="FN122" i="1"/>
  <c r="FO122" i="1"/>
  <c r="FP122" i="1"/>
  <c r="FQ122" i="1"/>
  <c r="FR122" i="1"/>
  <c r="FS122" i="1"/>
  <c r="FT122" i="1"/>
  <c r="FU122" i="1"/>
  <c r="FV122" i="1"/>
  <c r="FW122" i="1"/>
  <c r="FX122" i="1"/>
  <c r="FY122" i="1"/>
  <c r="FZ122" i="1"/>
  <c r="GA122" i="1"/>
  <c r="GB122" i="1"/>
  <c r="GC122" i="1"/>
  <c r="GD122" i="1"/>
  <c r="GE122" i="1"/>
  <c r="GF122" i="1"/>
  <c r="GG122" i="1"/>
  <c r="GH122" i="1"/>
  <c r="GI122" i="1"/>
  <c r="GJ122" i="1"/>
  <c r="GK122" i="1"/>
  <c r="GL122" i="1"/>
  <c r="GM122" i="1"/>
  <c r="GN122" i="1"/>
  <c r="GO122" i="1"/>
  <c r="GP122" i="1"/>
  <c r="GQ122" i="1"/>
  <c r="GR122" i="1"/>
  <c r="GS122" i="1"/>
  <c r="GT122" i="1"/>
  <c r="GU122" i="1"/>
  <c r="GV122" i="1"/>
  <c r="GW122" i="1"/>
  <c r="GX122" i="1"/>
  <c r="C124" i="1"/>
  <c r="D124" i="1"/>
  <c r="I124" i="1"/>
  <c r="U124" i="1" s="1"/>
  <c r="K124" i="1"/>
  <c r="AC124" i="1"/>
  <c r="AE124" i="1"/>
  <c r="AD124" i="1" s="1"/>
  <c r="AF124" i="1"/>
  <c r="CT124" i="1" s="1"/>
  <c r="S124" i="1" s="1"/>
  <c r="CY124" i="1" s="1"/>
  <c r="X124" i="1" s="1"/>
  <c r="AG124" i="1"/>
  <c r="CU124" i="1" s="1"/>
  <c r="T124" i="1" s="1"/>
  <c r="AH124" i="1"/>
  <c r="AI124" i="1"/>
  <c r="CW124" i="1" s="1"/>
  <c r="V124" i="1" s="1"/>
  <c r="AJ124" i="1"/>
  <c r="CX124" i="1" s="1"/>
  <c r="CQ124" i="1"/>
  <c r="CR124" i="1"/>
  <c r="Q124" i="1" s="1"/>
  <c r="CS124" i="1"/>
  <c r="CV124" i="1"/>
  <c r="CZ124" i="1"/>
  <c r="Y124" i="1" s="1"/>
  <c r="FR124" i="1"/>
  <c r="GL124" i="1"/>
  <c r="GN124" i="1"/>
  <c r="GO124" i="1"/>
  <c r="GV124" i="1"/>
  <c r="HC124" i="1" s="1"/>
  <c r="GX124" i="1" s="1"/>
  <c r="C125" i="1"/>
  <c r="D125" i="1"/>
  <c r="I125" i="1"/>
  <c r="K125" i="1"/>
  <c r="P125" i="1"/>
  <c r="Q125" i="1"/>
  <c r="AC125" i="1"/>
  <c r="AB125" i="1" s="1"/>
  <c r="AD125" i="1"/>
  <c r="AE125" i="1"/>
  <c r="CS125" i="1" s="1"/>
  <c r="R125" i="1" s="1"/>
  <c r="GK125" i="1" s="1"/>
  <c r="AF125" i="1"/>
  <c r="CT125" i="1" s="1"/>
  <c r="S125" i="1" s="1"/>
  <c r="CZ125" i="1" s="1"/>
  <c r="Y125" i="1" s="1"/>
  <c r="AG125" i="1"/>
  <c r="AH125" i="1"/>
  <c r="AI125" i="1"/>
  <c r="CW125" i="1" s="1"/>
  <c r="V125" i="1" s="1"/>
  <c r="AJ125" i="1"/>
  <c r="CQ125" i="1"/>
  <c r="CR125" i="1"/>
  <c r="CU125" i="1"/>
  <c r="T125" i="1" s="1"/>
  <c r="CV125" i="1"/>
  <c r="U125" i="1" s="1"/>
  <c r="CX125" i="1"/>
  <c r="W125" i="1" s="1"/>
  <c r="FR125" i="1"/>
  <c r="GL125" i="1"/>
  <c r="GN125" i="1"/>
  <c r="GO125" i="1"/>
  <c r="GV125" i="1"/>
  <c r="HC125" i="1" s="1"/>
  <c r="GX125" i="1" s="1"/>
  <c r="C126" i="1"/>
  <c r="D126" i="1"/>
  <c r="U126" i="1"/>
  <c r="V126" i="1"/>
  <c r="AC126" i="1"/>
  <c r="CQ126" i="1" s="1"/>
  <c r="P126" i="1" s="1"/>
  <c r="AE126" i="1"/>
  <c r="AD126" i="1" s="1"/>
  <c r="AB126" i="1" s="1"/>
  <c r="AF126" i="1"/>
  <c r="CT126" i="1" s="1"/>
  <c r="S126" i="1" s="1"/>
  <c r="CY126" i="1" s="1"/>
  <c r="X126" i="1" s="1"/>
  <c r="AG126" i="1"/>
  <c r="AH126" i="1"/>
  <c r="AI126" i="1"/>
  <c r="CW126" i="1" s="1"/>
  <c r="AJ126" i="1"/>
  <c r="CX126" i="1" s="1"/>
  <c r="W126" i="1" s="1"/>
  <c r="CR126" i="1"/>
  <c r="Q126" i="1" s="1"/>
  <c r="CS126" i="1"/>
  <c r="R126" i="1" s="1"/>
  <c r="GK126" i="1" s="1"/>
  <c r="CU126" i="1"/>
  <c r="T126" i="1" s="1"/>
  <c r="CV126" i="1"/>
  <c r="CZ126" i="1"/>
  <c r="Y126" i="1" s="1"/>
  <c r="FR126" i="1"/>
  <c r="GL126" i="1"/>
  <c r="GN126" i="1"/>
  <c r="GO126" i="1"/>
  <c r="GV126" i="1"/>
  <c r="HC126" i="1" s="1"/>
  <c r="GX126" i="1" s="1"/>
  <c r="I127" i="1"/>
  <c r="S127" i="1"/>
  <c r="CZ127" i="1" s="1"/>
  <c r="Y127" i="1" s="1"/>
  <c r="T127" i="1"/>
  <c r="AC127" i="1"/>
  <c r="AB127" i="1" s="1"/>
  <c r="AD127" i="1"/>
  <c r="AE127" i="1"/>
  <c r="AF127" i="1"/>
  <c r="AG127" i="1"/>
  <c r="CU127" i="1" s="1"/>
  <c r="AH127" i="1"/>
  <c r="CV127" i="1" s="1"/>
  <c r="U127" i="1" s="1"/>
  <c r="AI127" i="1"/>
  <c r="CW127" i="1" s="1"/>
  <c r="V127" i="1" s="1"/>
  <c r="AJ127" i="1"/>
  <c r="CR127" i="1"/>
  <c r="Q127" i="1" s="1"/>
  <c r="CS127" i="1"/>
  <c r="R127" i="1" s="1"/>
  <c r="GK127" i="1" s="1"/>
  <c r="CT127" i="1"/>
  <c r="CX127" i="1"/>
  <c r="W127" i="1" s="1"/>
  <c r="CY127" i="1"/>
  <c r="X127" i="1" s="1"/>
  <c r="FR127" i="1"/>
  <c r="GL127" i="1"/>
  <c r="GN127" i="1"/>
  <c r="GO127" i="1"/>
  <c r="GV127" i="1"/>
  <c r="HC127" i="1"/>
  <c r="GX127" i="1" s="1"/>
  <c r="I128" i="1"/>
  <c r="Q128" i="1"/>
  <c r="V128" i="1"/>
  <c r="AC128" i="1"/>
  <c r="CQ128" i="1" s="1"/>
  <c r="P128" i="1" s="1"/>
  <c r="CP128" i="1" s="1"/>
  <c r="O128" i="1" s="1"/>
  <c r="AE128" i="1"/>
  <c r="AD128" i="1" s="1"/>
  <c r="AB128" i="1" s="1"/>
  <c r="AF128" i="1"/>
  <c r="CT128" i="1" s="1"/>
  <c r="S128" i="1" s="1"/>
  <c r="CY128" i="1" s="1"/>
  <c r="X128" i="1" s="1"/>
  <c r="AG128" i="1"/>
  <c r="CU128" i="1" s="1"/>
  <c r="T128" i="1" s="1"/>
  <c r="AH128" i="1"/>
  <c r="AI128" i="1"/>
  <c r="CW128" i="1" s="1"/>
  <c r="AJ128" i="1"/>
  <c r="CX128" i="1" s="1"/>
  <c r="CR128" i="1"/>
  <c r="CS128" i="1"/>
  <c r="R128" i="1" s="1"/>
  <c r="GK128" i="1" s="1"/>
  <c r="CV128" i="1"/>
  <c r="U128" i="1" s="1"/>
  <c r="FR128" i="1"/>
  <c r="GL128" i="1"/>
  <c r="GN128" i="1"/>
  <c r="GO128" i="1"/>
  <c r="GV128" i="1"/>
  <c r="HC128" i="1" s="1"/>
  <c r="GX128" i="1"/>
  <c r="C129" i="1"/>
  <c r="D129" i="1"/>
  <c r="R129" i="1"/>
  <c r="V129" i="1"/>
  <c r="AC129" i="1"/>
  <c r="CQ129" i="1" s="1"/>
  <c r="P129" i="1" s="1"/>
  <c r="AE129" i="1"/>
  <c r="AD129" i="1" s="1"/>
  <c r="AF129" i="1"/>
  <c r="AB129" i="1" s="1"/>
  <c r="AG129" i="1"/>
  <c r="CU129" i="1" s="1"/>
  <c r="T129" i="1" s="1"/>
  <c r="AH129" i="1"/>
  <c r="CV129" i="1" s="1"/>
  <c r="U129" i="1" s="1"/>
  <c r="AI129" i="1"/>
  <c r="AJ129" i="1"/>
  <c r="CR129" i="1"/>
  <c r="Q129" i="1" s="1"/>
  <c r="CS129" i="1"/>
  <c r="CW129" i="1"/>
  <c r="CX129" i="1"/>
  <c r="W129" i="1" s="1"/>
  <c r="FR129" i="1"/>
  <c r="GK129" i="1"/>
  <c r="GL129" i="1"/>
  <c r="GN129" i="1"/>
  <c r="GO129" i="1"/>
  <c r="GV129" i="1"/>
  <c r="HC129" i="1"/>
  <c r="GX129" i="1" s="1"/>
  <c r="I130" i="1"/>
  <c r="AC130" i="1"/>
  <c r="AD130" i="1"/>
  <c r="AE130" i="1"/>
  <c r="AF130" i="1"/>
  <c r="CT130" i="1" s="1"/>
  <c r="S130" i="1" s="1"/>
  <c r="CZ130" i="1" s="1"/>
  <c r="Y130" i="1" s="1"/>
  <c r="AG130" i="1"/>
  <c r="AH130" i="1"/>
  <c r="AI130" i="1"/>
  <c r="CW130" i="1" s="1"/>
  <c r="V130" i="1" s="1"/>
  <c r="AJ130" i="1"/>
  <c r="CQ130" i="1"/>
  <c r="P130" i="1" s="1"/>
  <c r="CR130" i="1"/>
  <c r="Q130" i="1" s="1"/>
  <c r="CS130" i="1"/>
  <c r="R130" i="1" s="1"/>
  <c r="GK130" i="1" s="1"/>
  <c r="CU130" i="1"/>
  <c r="T130" i="1" s="1"/>
  <c r="CV130" i="1"/>
  <c r="U130" i="1" s="1"/>
  <c r="CX130" i="1"/>
  <c r="W130" i="1" s="1"/>
  <c r="CY130" i="1"/>
  <c r="X130" i="1" s="1"/>
  <c r="FR130" i="1"/>
  <c r="GL130" i="1"/>
  <c r="GN130" i="1"/>
  <c r="GO130" i="1"/>
  <c r="GV130" i="1"/>
  <c r="HC130" i="1" s="1"/>
  <c r="GX130" i="1" s="1"/>
  <c r="I131" i="1"/>
  <c r="Q131" i="1"/>
  <c r="AC131" i="1"/>
  <c r="AB131" i="1" s="1"/>
  <c r="AD131" i="1"/>
  <c r="AE131" i="1"/>
  <c r="AF131" i="1"/>
  <c r="CT131" i="1" s="1"/>
  <c r="S131" i="1" s="1"/>
  <c r="AG131" i="1"/>
  <c r="AH131" i="1"/>
  <c r="AI131" i="1"/>
  <c r="CW131" i="1" s="1"/>
  <c r="V131" i="1" s="1"/>
  <c r="AJ131" i="1"/>
  <c r="CR131" i="1"/>
  <c r="CS131" i="1"/>
  <c r="R131" i="1" s="1"/>
  <c r="GK131" i="1" s="1"/>
  <c r="CU131" i="1"/>
  <c r="T131" i="1" s="1"/>
  <c r="CV131" i="1"/>
  <c r="U131" i="1" s="1"/>
  <c r="CX131" i="1"/>
  <c r="W131" i="1" s="1"/>
  <c r="FR131" i="1"/>
  <c r="GL131" i="1"/>
  <c r="GN131" i="1"/>
  <c r="GO131" i="1"/>
  <c r="GV131" i="1"/>
  <c r="GX131" i="1"/>
  <c r="HC131" i="1"/>
  <c r="C132" i="1"/>
  <c r="D132" i="1"/>
  <c r="Q132" i="1"/>
  <c r="S132" i="1"/>
  <c r="V132" i="1"/>
  <c r="AC132" i="1"/>
  <c r="AE132" i="1"/>
  <c r="AD132" i="1" s="1"/>
  <c r="AF132" i="1"/>
  <c r="CT132" i="1" s="1"/>
  <c r="AG132" i="1"/>
  <c r="AH132" i="1"/>
  <c r="CV132" i="1" s="1"/>
  <c r="U132" i="1" s="1"/>
  <c r="AI132" i="1"/>
  <c r="CW132" i="1" s="1"/>
  <c r="AJ132" i="1"/>
  <c r="CR132" i="1"/>
  <c r="CS132" i="1"/>
  <c r="R132" i="1" s="1"/>
  <c r="GK132" i="1" s="1"/>
  <c r="CU132" i="1"/>
  <c r="T132" i="1" s="1"/>
  <c r="CX132" i="1"/>
  <c r="W132" i="1" s="1"/>
  <c r="FR132" i="1"/>
  <c r="GL132" i="1"/>
  <c r="GN132" i="1"/>
  <c r="GO132" i="1"/>
  <c r="GV132" i="1"/>
  <c r="GX132" i="1"/>
  <c r="HC132" i="1"/>
  <c r="C133" i="1"/>
  <c r="D133" i="1"/>
  <c r="S133" i="1"/>
  <c r="V133" i="1"/>
  <c r="AC133" i="1"/>
  <c r="AE133" i="1"/>
  <c r="AD133" i="1" s="1"/>
  <c r="AF133" i="1"/>
  <c r="CT133" i="1" s="1"/>
  <c r="AG133" i="1"/>
  <c r="AH133" i="1"/>
  <c r="CV133" i="1" s="1"/>
  <c r="U133" i="1" s="1"/>
  <c r="AI133" i="1"/>
  <c r="AJ133" i="1"/>
  <c r="CR133" i="1"/>
  <c r="Q133" i="1" s="1"/>
  <c r="CU133" i="1"/>
  <c r="T133" i="1" s="1"/>
  <c r="CW133" i="1"/>
  <c r="CX133" i="1"/>
  <c r="W133" i="1" s="1"/>
  <c r="FR133" i="1"/>
  <c r="GL133" i="1"/>
  <c r="GN133" i="1"/>
  <c r="GO133" i="1"/>
  <c r="GV133" i="1"/>
  <c r="HC133" i="1" s="1"/>
  <c r="GX133" i="1" s="1"/>
  <c r="C134" i="1"/>
  <c r="D134" i="1"/>
  <c r="P134" i="1"/>
  <c r="S134" i="1"/>
  <c r="CY134" i="1" s="1"/>
  <c r="U134" i="1"/>
  <c r="X134" i="1"/>
  <c r="AC134" i="1"/>
  <c r="CQ134" i="1" s="1"/>
  <c r="AE134" i="1"/>
  <c r="AF134" i="1"/>
  <c r="AG134" i="1"/>
  <c r="AH134" i="1"/>
  <c r="CV134" i="1" s="1"/>
  <c r="AI134" i="1"/>
  <c r="AJ134" i="1"/>
  <c r="CX134" i="1" s="1"/>
  <c r="W134" i="1" s="1"/>
  <c r="CR134" i="1"/>
  <c r="Q134" i="1" s="1"/>
  <c r="CT134" i="1"/>
  <c r="CU134" i="1"/>
  <c r="T134" i="1" s="1"/>
  <c r="CW134" i="1"/>
  <c r="V134" i="1" s="1"/>
  <c r="CZ134" i="1"/>
  <c r="Y134" i="1" s="1"/>
  <c r="FR134" i="1"/>
  <c r="GL134" i="1"/>
  <c r="GN134" i="1"/>
  <c r="GO134" i="1"/>
  <c r="GV134" i="1"/>
  <c r="HC134" i="1" s="1"/>
  <c r="GX134" i="1" s="1"/>
  <c r="I135" i="1"/>
  <c r="Q135" i="1" s="1"/>
  <c r="V135" i="1"/>
  <c r="AC135" i="1"/>
  <c r="AE135" i="1"/>
  <c r="AD135" i="1" s="1"/>
  <c r="AF135" i="1"/>
  <c r="CT135" i="1" s="1"/>
  <c r="S135" i="1" s="1"/>
  <c r="AG135" i="1"/>
  <c r="AH135" i="1"/>
  <c r="CV135" i="1" s="1"/>
  <c r="AI135" i="1"/>
  <c r="CW135" i="1" s="1"/>
  <c r="AJ135" i="1"/>
  <c r="CR135" i="1"/>
  <c r="CS135" i="1"/>
  <c r="R135" i="1" s="1"/>
  <c r="GK135" i="1" s="1"/>
  <c r="CU135" i="1"/>
  <c r="T135" i="1" s="1"/>
  <c r="CX135" i="1"/>
  <c r="W135" i="1" s="1"/>
  <c r="FR135" i="1"/>
  <c r="GL135" i="1"/>
  <c r="GN135" i="1"/>
  <c r="GO135" i="1"/>
  <c r="GV135" i="1"/>
  <c r="HC135" i="1" s="1"/>
  <c r="GX135" i="1"/>
  <c r="I136" i="1"/>
  <c r="W136" i="1" s="1"/>
  <c r="Q136" i="1"/>
  <c r="AC136" i="1"/>
  <c r="AB136" i="1" s="1"/>
  <c r="AD136" i="1"/>
  <c r="AE136" i="1"/>
  <c r="AF136" i="1"/>
  <c r="CT136" i="1" s="1"/>
  <c r="S136" i="1" s="1"/>
  <c r="CZ136" i="1" s="1"/>
  <c r="Y136" i="1" s="1"/>
  <c r="AG136" i="1"/>
  <c r="CU136" i="1" s="1"/>
  <c r="T136" i="1" s="1"/>
  <c r="AH136" i="1"/>
  <c r="AI136" i="1"/>
  <c r="CW136" i="1" s="1"/>
  <c r="V136" i="1" s="1"/>
  <c r="AJ136" i="1"/>
  <c r="CQ136" i="1"/>
  <c r="P136" i="1" s="1"/>
  <c r="CR136" i="1"/>
  <c r="CS136" i="1"/>
  <c r="R136" i="1" s="1"/>
  <c r="GK136" i="1" s="1"/>
  <c r="CV136" i="1"/>
  <c r="U136" i="1" s="1"/>
  <c r="CX136" i="1"/>
  <c r="CY136" i="1"/>
  <c r="X136" i="1" s="1"/>
  <c r="FR136" i="1"/>
  <c r="GL136" i="1"/>
  <c r="GN136" i="1"/>
  <c r="GO136" i="1"/>
  <c r="GV136" i="1"/>
  <c r="GX136" i="1"/>
  <c r="HC136" i="1"/>
  <c r="I137" i="1"/>
  <c r="R137" i="1"/>
  <c r="U137" i="1"/>
  <c r="AB137" i="1"/>
  <c r="AC137" i="1"/>
  <c r="AD137" i="1"/>
  <c r="AE137" i="1"/>
  <c r="CS137" i="1" s="1"/>
  <c r="AF137" i="1"/>
  <c r="AG137" i="1"/>
  <c r="CU137" i="1" s="1"/>
  <c r="T137" i="1" s="1"/>
  <c r="AH137" i="1"/>
  <c r="AI137" i="1"/>
  <c r="AJ137" i="1"/>
  <c r="CX137" i="1" s="1"/>
  <c r="W137" i="1" s="1"/>
  <c r="CQ137" i="1"/>
  <c r="P137" i="1" s="1"/>
  <c r="CP137" i="1" s="1"/>
  <c r="O137" i="1" s="1"/>
  <c r="CR137" i="1"/>
  <c r="Q137" i="1" s="1"/>
  <c r="CT137" i="1"/>
  <c r="S137" i="1" s="1"/>
  <c r="CV137" i="1"/>
  <c r="CW137" i="1"/>
  <c r="V137" i="1" s="1"/>
  <c r="FR137" i="1"/>
  <c r="GK137" i="1"/>
  <c r="GL137" i="1"/>
  <c r="GN137" i="1"/>
  <c r="CB148" i="1" s="1"/>
  <c r="GO137" i="1"/>
  <c r="GV137" i="1"/>
  <c r="HC137" i="1"/>
  <c r="GX137" i="1" s="1"/>
  <c r="I138" i="1"/>
  <c r="P138" i="1"/>
  <c r="S138" i="1"/>
  <c r="CY138" i="1" s="1"/>
  <c r="U138" i="1"/>
  <c r="X138" i="1"/>
  <c r="AC138" i="1"/>
  <c r="CQ138" i="1" s="1"/>
  <c r="AE138" i="1"/>
  <c r="AF138" i="1"/>
  <c r="AG138" i="1"/>
  <c r="AH138" i="1"/>
  <c r="CV138" i="1" s="1"/>
  <c r="AI138" i="1"/>
  <c r="AJ138" i="1"/>
  <c r="CX138" i="1" s="1"/>
  <c r="W138" i="1" s="1"/>
  <c r="CR138" i="1"/>
  <c r="Q138" i="1" s="1"/>
  <c r="CT138" i="1"/>
  <c r="CU138" i="1"/>
  <c r="T138" i="1" s="1"/>
  <c r="CW138" i="1"/>
  <c r="V138" i="1" s="1"/>
  <c r="CZ138" i="1"/>
  <c r="Y138" i="1" s="1"/>
  <c r="FR138" i="1"/>
  <c r="GL138" i="1"/>
  <c r="GN138" i="1"/>
  <c r="GO138" i="1"/>
  <c r="GV138" i="1"/>
  <c r="HC138" i="1" s="1"/>
  <c r="GX138" i="1" s="1"/>
  <c r="C139" i="1"/>
  <c r="D139" i="1"/>
  <c r="I139" i="1"/>
  <c r="V139" i="1" s="1"/>
  <c r="K139" i="1"/>
  <c r="S139" i="1"/>
  <c r="AC139" i="1"/>
  <c r="AE139" i="1"/>
  <c r="AD139" i="1" s="1"/>
  <c r="AF139" i="1"/>
  <c r="CT139" i="1" s="1"/>
  <c r="AG139" i="1"/>
  <c r="AH139" i="1"/>
  <c r="CV139" i="1" s="1"/>
  <c r="U139" i="1" s="1"/>
  <c r="AI139" i="1"/>
  <c r="AJ139" i="1"/>
  <c r="CR139" i="1"/>
  <c r="Q139" i="1" s="1"/>
  <c r="CU139" i="1"/>
  <c r="T139" i="1" s="1"/>
  <c r="CW139" i="1"/>
  <c r="CX139" i="1"/>
  <c r="W139" i="1" s="1"/>
  <c r="FR139" i="1"/>
  <c r="GL139" i="1"/>
  <c r="GN139" i="1"/>
  <c r="GO139" i="1"/>
  <c r="CC148" i="1" s="1"/>
  <c r="GV139" i="1"/>
  <c r="HC139" i="1" s="1"/>
  <c r="GX139" i="1" s="1"/>
  <c r="C140" i="1"/>
  <c r="D140" i="1"/>
  <c r="I140" i="1"/>
  <c r="K140" i="1"/>
  <c r="Q140" i="1"/>
  <c r="S140" i="1"/>
  <c r="V140" i="1"/>
  <c r="AC140" i="1"/>
  <c r="AE140" i="1"/>
  <c r="AD140" i="1" s="1"/>
  <c r="AF140" i="1"/>
  <c r="CT140" i="1" s="1"/>
  <c r="AG140" i="1"/>
  <c r="AH140" i="1"/>
  <c r="CV140" i="1" s="1"/>
  <c r="U140" i="1" s="1"/>
  <c r="AI140" i="1"/>
  <c r="CW140" i="1" s="1"/>
  <c r="AJ140" i="1"/>
  <c r="CR140" i="1"/>
  <c r="CS140" i="1"/>
  <c r="R140" i="1" s="1"/>
  <c r="GK140" i="1" s="1"/>
  <c r="CU140" i="1"/>
  <c r="T140" i="1" s="1"/>
  <c r="CX140" i="1"/>
  <c r="W140" i="1" s="1"/>
  <c r="FR140" i="1"/>
  <c r="GL140" i="1"/>
  <c r="GN140" i="1"/>
  <c r="GO140" i="1"/>
  <c r="GV140" i="1"/>
  <c r="GX140" i="1"/>
  <c r="HC140" i="1"/>
  <c r="C141" i="1"/>
  <c r="D141" i="1"/>
  <c r="I141" i="1"/>
  <c r="K141" i="1"/>
  <c r="Q141" i="1"/>
  <c r="T141" i="1"/>
  <c r="AC141" i="1"/>
  <c r="AD141" i="1"/>
  <c r="AE141" i="1"/>
  <c r="AF141" i="1"/>
  <c r="CT141" i="1" s="1"/>
  <c r="S141" i="1" s="1"/>
  <c r="AG141" i="1"/>
  <c r="AH141" i="1"/>
  <c r="AI141" i="1"/>
  <c r="CW141" i="1" s="1"/>
  <c r="V141" i="1" s="1"/>
  <c r="AJ141" i="1"/>
  <c r="CR141" i="1"/>
  <c r="CS141" i="1"/>
  <c r="R141" i="1" s="1"/>
  <c r="GK141" i="1" s="1"/>
  <c r="CU141" i="1"/>
  <c r="CV141" i="1"/>
  <c r="U141" i="1" s="1"/>
  <c r="CX141" i="1"/>
  <c r="W141" i="1" s="1"/>
  <c r="FR141" i="1"/>
  <c r="GL141" i="1"/>
  <c r="GN141" i="1"/>
  <c r="GO141" i="1"/>
  <c r="GV141" i="1"/>
  <c r="HC141" i="1" s="1"/>
  <c r="GX141" i="1" s="1"/>
  <c r="I142" i="1"/>
  <c r="Q142" i="1"/>
  <c r="R142" i="1"/>
  <c r="T142" i="1"/>
  <c r="Y142" i="1"/>
  <c r="AC142" i="1"/>
  <c r="AD142" i="1"/>
  <c r="AB142" i="1" s="1"/>
  <c r="AE142" i="1"/>
  <c r="AF142" i="1"/>
  <c r="AG142" i="1"/>
  <c r="CU142" i="1" s="1"/>
  <c r="AH142" i="1"/>
  <c r="AI142" i="1"/>
  <c r="CW142" i="1" s="1"/>
  <c r="V142" i="1" s="1"/>
  <c r="AJ142" i="1"/>
  <c r="CX142" i="1" s="1"/>
  <c r="W142" i="1" s="1"/>
  <c r="CQ142" i="1"/>
  <c r="P142" i="1" s="1"/>
  <c r="CR142" i="1"/>
  <c r="CS142" i="1"/>
  <c r="CT142" i="1"/>
  <c r="S142" i="1" s="1"/>
  <c r="CZ142" i="1" s="1"/>
  <c r="CV142" i="1"/>
  <c r="U142" i="1" s="1"/>
  <c r="CY142" i="1"/>
  <c r="X142" i="1" s="1"/>
  <c r="FR142" i="1"/>
  <c r="GK142" i="1"/>
  <c r="GL142" i="1"/>
  <c r="GN142" i="1"/>
  <c r="GO142" i="1"/>
  <c r="GV142" i="1"/>
  <c r="HC142" i="1"/>
  <c r="GX142" i="1" s="1"/>
  <c r="I143" i="1"/>
  <c r="P143" i="1"/>
  <c r="X143" i="1"/>
  <c r="AC143" i="1"/>
  <c r="AE143" i="1"/>
  <c r="AF143" i="1"/>
  <c r="AG143" i="1"/>
  <c r="AH143" i="1"/>
  <c r="CV143" i="1" s="1"/>
  <c r="U143" i="1" s="1"/>
  <c r="AI143" i="1"/>
  <c r="AJ143" i="1"/>
  <c r="CX143" i="1" s="1"/>
  <c r="W143" i="1" s="1"/>
  <c r="CQ143" i="1"/>
  <c r="CT143" i="1"/>
  <c r="S143" i="1" s="1"/>
  <c r="CY143" i="1" s="1"/>
  <c r="CU143" i="1"/>
  <c r="T143" i="1" s="1"/>
  <c r="CW143" i="1"/>
  <c r="V143" i="1" s="1"/>
  <c r="CZ143" i="1"/>
  <c r="Y143" i="1" s="1"/>
  <c r="FR143" i="1"/>
  <c r="GL143" i="1"/>
  <c r="GN143" i="1"/>
  <c r="GO143" i="1"/>
  <c r="GV143" i="1"/>
  <c r="HC143" i="1" s="1"/>
  <c r="GX143" i="1" s="1"/>
  <c r="I144" i="1"/>
  <c r="V144" i="1" s="1"/>
  <c r="S144" i="1"/>
  <c r="CY144" i="1" s="1"/>
  <c r="X144" i="1" s="1"/>
  <c r="U144" i="1"/>
  <c r="AC144" i="1"/>
  <c r="AE144" i="1"/>
  <c r="AD144" i="1" s="1"/>
  <c r="AF144" i="1"/>
  <c r="CT144" i="1" s="1"/>
  <c r="AG144" i="1"/>
  <c r="AH144" i="1"/>
  <c r="CV144" i="1" s="1"/>
  <c r="AI144" i="1"/>
  <c r="AJ144" i="1"/>
  <c r="CR144" i="1"/>
  <c r="Q144" i="1" s="1"/>
  <c r="CS144" i="1"/>
  <c r="CU144" i="1"/>
  <c r="T144" i="1" s="1"/>
  <c r="CW144" i="1"/>
  <c r="CX144" i="1"/>
  <c r="W144" i="1" s="1"/>
  <c r="CZ144" i="1"/>
  <c r="Y144" i="1" s="1"/>
  <c r="FR144" i="1"/>
  <c r="GL144" i="1"/>
  <c r="GN144" i="1"/>
  <c r="GO144" i="1"/>
  <c r="GV144" i="1"/>
  <c r="HC144" i="1" s="1"/>
  <c r="GX144" i="1"/>
  <c r="I145" i="1"/>
  <c r="GX145" i="1" s="1"/>
  <c r="Q145" i="1"/>
  <c r="AC145" i="1"/>
  <c r="AB145" i="1" s="1"/>
  <c r="AD145" i="1"/>
  <c r="AE145" i="1"/>
  <c r="AF145" i="1"/>
  <c r="CT145" i="1" s="1"/>
  <c r="S145" i="1" s="1"/>
  <c r="AG145" i="1"/>
  <c r="AH145" i="1"/>
  <c r="AI145" i="1"/>
  <c r="AJ145" i="1"/>
  <c r="CQ145" i="1"/>
  <c r="P145" i="1" s="1"/>
  <c r="CR145" i="1"/>
  <c r="CS145" i="1"/>
  <c r="R145" i="1" s="1"/>
  <c r="GK145" i="1" s="1"/>
  <c r="CU145" i="1"/>
  <c r="T145" i="1" s="1"/>
  <c r="CV145" i="1"/>
  <c r="CW145" i="1"/>
  <c r="V145" i="1" s="1"/>
  <c r="CX145" i="1"/>
  <c r="FR145" i="1"/>
  <c r="GL145" i="1"/>
  <c r="GN145" i="1"/>
  <c r="GO145" i="1"/>
  <c r="GV145" i="1"/>
  <c r="HC145" i="1" s="1"/>
  <c r="I146" i="1"/>
  <c r="Q146" i="1" s="1"/>
  <c r="AC146" i="1"/>
  <c r="AD146" i="1"/>
  <c r="AE146" i="1"/>
  <c r="AF146" i="1"/>
  <c r="AB146" i="1" s="1"/>
  <c r="AG146" i="1"/>
  <c r="CU146" i="1" s="1"/>
  <c r="T146" i="1" s="1"/>
  <c r="AH146" i="1"/>
  <c r="CV146" i="1" s="1"/>
  <c r="U146" i="1" s="1"/>
  <c r="AI146" i="1"/>
  <c r="AJ146" i="1"/>
  <c r="CX146" i="1" s="1"/>
  <c r="CQ146" i="1"/>
  <c r="P146" i="1" s="1"/>
  <c r="CR146" i="1"/>
  <c r="CS146" i="1"/>
  <c r="R146" i="1" s="1"/>
  <c r="GK146" i="1" s="1"/>
  <c r="CT146" i="1"/>
  <c r="CW146" i="1"/>
  <c r="FR146" i="1"/>
  <c r="GL146" i="1"/>
  <c r="GN146" i="1"/>
  <c r="GO146" i="1"/>
  <c r="GV146" i="1"/>
  <c r="HC146" i="1"/>
  <c r="B148" i="1"/>
  <c r="C148" i="1"/>
  <c r="C122" i="1" s="1"/>
  <c r="D148" i="1"/>
  <c r="D122" i="1" s="1"/>
  <c r="F148" i="1"/>
  <c r="F122" i="1" s="1"/>
  <c r="G148" i="1"/>
  <c r="G122" i="1" s="1"/>
  <c r="BC148" i="1"/>
  <c r="BC122" i="1" s="1"/>
  <c r="BX148" i="1"/>
  <c r="BX122" i="1" s="1"/>
  <c r="BY148" i="1"/>
  <c r="BY122" i="1" s="1"/>
  <c r="CK148" i="1"/>
  <c r="CK122" i="1" s="1"/>
  <c r="CL148" i="1"/>
  <c r="CL122" i="1" s="1"/>
  <c r="CM148" i="1"/>
  <c r="CM122" i="1" s="1"/>
  <c r="F164" i="1"/>
  <c r="B178" i="1"/>
  <c r="B118" i="1" s="1"/>
  <c r="C178" i="1"/>
  <c r="C118" i="1" s="1"/>
  <c r="D178" i="1"/>
  <c r="D118" i="1" s="1"/>
  <c r="F178" i="1"/>
  <c r="F118" i="1" s="1"/>
  <c r="G178" i="1"/>
  <c r="G118" i="1" s="1"/>
  <c r="BC178" i="1"/>
  <c r="BC118" i="1" s="1"/>
  <c r="B208" i="1"/>
  <c r="B22" i="1" s="1"/>
  <c r="C208" i="1"/>
  <c r="C22" i="1" s="1"/>
  <c r="D208" i="1"/>
  <c r="D22" i="1" s="1"/>
  <c r="F208" i="1"/>
  <c r="F22" i="1" s="1"/>
  <c r="G208" i="1"/>
  <c r="G22" i="1" s="1"/>
  <c r="B238" i="1"/>
  <c r="B18" i="1" s="1"/>
  <c r="C238" i="1"/>
  <c r="C18" i="1" s="1"/>
  <c r="D238" i="1"/>
  <c r="D18" i="1" s="1"/>
  <c r="F238" i="1"/>
  <c r="F18" i="1" s="1"/>
  <c r="G238" i="1"/>
  <c r="G18" i="1" s="1"/>
  <c r="F12" i="6"/>
  <c r="G12" i="6"/>
  <c r="CY12" i="6"/>
  <c r="I113" i="7" l="1"/>
  <c r="P167" i="7"/>
  <c r="K167" i="7"/>
  <c r="K125" i="7"/>
  <c r="P125" i="7"/>
  <c r="E51" i="9"/>
  <c r="K139" i="7"/>
  <c r="P139" i="7"/>
  <c r="P101" i="7"/>
  <c r="K101" i="7"/>
  <c r="P155" i="7"/>
  <c r="K155" i="7"/>
  <c r="P43" i="7"/>
  <c r="K43" i="7"/>
  <c r="K61" i="7"/>
  <c r="P61" i="7"/>
  <c r="K90" i="7"/>
  <c r="P90" i="7"/>
  <c r="P50" i="7"/>
  <c r="K50" i="7"/>
  <c r="AD148" i="1"/>
  <c r="CJ148" i="1"/>
  <c r="CP145" i="1"/>
  <c r="O145" i="1" s="1"/>
  <c r="CY135" i="1"/>
  <c r="X135" i="1" s="1"/>
  <c r="CZ135" i="1"/>
  <c r="Y135" i="1" s="1"/>
  <c r="CB122" i="1"/>
  <c r="AS148" i="1"/>
  <c r="CC122" i="1"/>
  <c r="AT148" i="1"/>
  <c r="GM137" i="1"/>
  <c r="GP137" i="1" s="1"/>
  <c r="AI148" i="1"/>
  <c r="CZ145" i="1"/>
  <c r="Y145" i="1" s="1"/>
  <c r="CY145" i="1"/>
  <c r="X145" i="1" s="1"/>
  <c r="CY141" i="1"/>
  <c r="X141" i="1" s="1"/>
  <c r="CZ141" i="1"/>
  <c r="Y141" i="1" s="1"/>
  <c r="CY140" i="1"/>
  <c r="X140" i="1" s="1"/>
  <c r="CZ140" i="1"/>
  <c r="Y140" i="1" s="1"/>
  <c r="BD148" i="1"/>
  <c r="S146" i="1"/>
  <c r="V146" i="1"/>
  <c r="W145" i="1"/>
  <c r="BZ148" i="1"/>
  <c r="CP130" i="1"/>
  <c r="O130" i="1" s="1"/>
  <c r="GM130" i="1" s="1"/>
  <c r="GP130" i="1" s="1"/>
  <c r="AG148" i="1"/>
  <c r="CY133" i="1"/>
  <c r="X133" i="1" s="1"/>
  <c r="CZ133" i="1"/>
  <c r="Y133" i="1" s="1"/>
  <c r="AB141" i="1"/>
  <c r="CQ141" i="1"/>
  <c r="P141" i="1" s="1"/>
  <c r="CP141" i="1" s="1"/>
  <c r="O141" i="1" s="1"/>
  <c r="CP138" i="1"/>
  <c r="O138" i="1" s="1"/>
  <c r="CQ135" i="1"/>
  <c r="P135" i="1" s="1"/>
  <c r="CP135" i="1" s="1"/>
  <c r="O135" i="1" s="1"/>
  <c r="GM135" i="1" s="1"/>
  <c r="GP135" i="1" s="1"/>
  <c r="AB135" i="1"/>
  <c r="CP134" i="1"/>
  <c r="O134" i="1" s="1"/>
  <c r="CY139" i="1"/>
  <c r="X139" i="1" s="1"/>
  <c r="CZ139" i="1"/>
  <c r="Y139" i="1" s="1"/>
  <c r="BB148" i="1"/>
  <c r="U145" i="1"/>
  <c r="R144" i="1"/>
  <c r="GK144" i="1" s="1"/>
  <c r="GM128" i="1"/>
  <c r="GP128" i="1" s="1"/>
  <c r="CY132" i="1"/>
  <c r="X132" i="1" s="1"/>
  <c r="CZ132" i="1"/>
  <c r="Y132" i="1" s="1"/>
  <c r="CY51" i="1"/>
  <c r="X51" i="1" s="1"/>
  <c r="CZ51" i="1"/>
  <c r="Y51" i="1" s="1"/>
  <c r="CY50" i="1"/>
  <c r="X50" i="1" s="1"/>
  <c r="CZ50" i="1"/>
  <c r="Y50" i="1" s="1"/>
  <c r="CY49" i="1"/>
  <c r="X49" i="1" s="1"/>
  <c r="CZ49" i="1"/>
  <c r="Y49" i="1" s="1"/>
  <c r="F194" i="1"/>
  <c r="AD143" i="1"/>
  <c r="AB143" i="1" s="1"/>
  <c r="CS143" i="1"/>
  <c r="R143" i="1" s="1"/>
  <c r="GK143" i="1" s="1"/>
  <c r="CS138" i="1"/>
  <c r="R138" i="1" s="1"/>
  <c r="GK138" i="1" s="1"/>
  <c r="AD138" i="1"/>
  <c r="AB138" i="1" s="1"/>
  <c r="CY137" i="1"/>
  <c r="X137" i="1" s="1"/>
  <c r="CZ137" i="1"/>
  <c r="Y137" i="1" s="1"/>
  <c r="CS134" i="1"/>
  <c r="R134" i="1" s="1"/>
  <c r="GK134" i="1" s="1"/>
  <c r="AD134" i="1"/>
  <c r="AB134" i="1" s="1"/>
  <c r="AB133" i="1"/>
  <c r="CQ133" i="1"/>
  <c r="P133" i="1" s="1"/>
  <c r="CP133" i="1" s="1"/>
  <c r="O133" i="1" s="1"/>
  <c r="CY131" i="1"/>
  <c r="X131" i="1" s="1"/>
  <c r="CZ131" i="1"/>
  <c r="Y131" i="1" s="1"/>
  <c r="CT129" i="1"/>
  <c r="S129" i="1" s="1"/>
  <c r="W146" i="1"/>
  <c r="AP148" i="1"/>
  <c r="GX146" i="1"/>
  <c r="AB144" i="1"/>
  <c r="CQ144" i="1"/>
  <c r="P144" i="1" s="1"/>
  <c r="CP144" i="1" s="1"/>
  <c r="O144" i="1" s="1"/>
  <c r="GM144" i="1" s="1"/>
  <c r="GP144" i="1" s="1"/>
  <c r="CP143" i="1"/>
  <c r="O143" i="1" s="1"/>
  <c r="CP136" i="1"/>
  <c r="O136" i="1" s="1"/>
  <c r="GM136" i="1" s="1"/>
  <c r="GP136" i="1" s="1"/>
  <c r="CR143" i="1"/>
  <c r="Q143" i="1" s="1"/>
  <c r="CP142" i="1"/>
  <c r="O142" i="1" s="1"/>
  <c r="GM142" i="1" s="1"/>
  <c r="GP142" i="1" s="1"/>
  <c r="CQ140" i="1"/>
  <c r="P140" i="1" s="1"/>
  <c r="CP140" i="1" s="1"/>
  <c r="O140" i="1" s="1"/>
  <c r="GM140" i="1" s="1"/>
  <c r="GP140" i="1" s="1"/>
  <c r="AB140" i="1"/>
  <c r="AB139" i="1"/>
  <c r="CQ139" i="1"/>
  <c r="P139" i="1" s="1"/>
  <c r="CP139" i="1" s="1"/>
  <c r="O139" i="1" s="1"/>
  <c r="U135" i="1"/>
  <c r="AH148" i="1" s="1"/>
  <c r="CQ132" i="1"/>
  <c r="P132" i="1" s="1"/>
  <c r="CP132" i="1" s="1"/>
  <c r="O132" i="1" s="1"/>
  <c r="AB132" i="1"/>
  <c r="AO148" i="1"/>
  <c r="CV120" i="3"/>
  <c r="CX125" i="3"/>
  <c r="CX126" i="3"/>
  <c r="CU120" i="3"/>
  <c r="CY125" i="1"/>
  <c r="X125" i="1" s="1"/>
  <c r="P124" i="1"/>
  <c r="CS139" i="1"/>
  <c r="R139" i="1" s="1"/>
  <c r="GK139" i="1" s="1"/>
  <c r="CS133" i="1"/>
  <c r="R133" i="1" s="1"/>
  <c r="GK133" i="1" s="1"/>
  <c r="CQ131" i="1"/>
  <c r="P131" i="1" s="1"/>
  <c r="CP131" i="1" s="1"/>
  <c r="O131" i="1" s="1"/>
  <c r="GM131" i="1" s="1"/>
  <c r="GP131" i="1" s="1"/>
  <c r="CZ128" i="1"/>
  <c r="Y128" i="1" s="1"/>
  <c r="CQ127" i="1"/>
  <c r="P127" i="1" s="1"/>
  <c r="CP127" i="1" s="1"/>
  <c r="O127" i="1" s="1"/>
  <c r="GM127" i="1" s="1"/>
  <c r="GP127" i="1" s="1"/>
  <c r="CP125" i="1"/>
  <c r="O125" i="1" s="1"/>
  <c r="GM125" i="1" s="1"/>
  <c r="GP125" i="1" s="1"/>
  <c r="W124" i="1"/>
  <c r="CP51" i="1"/>
  <c r="O51" i="1" s="1"/>
  <c r="CP46" i="1"/>
  <c r="O46" i="1" s="1"/>
  <c r="GM46" i="1" s="1"/>
  <c r="GP46" i="1" s="1"/>
  <c r="CV116" i="3"/>
  <c r="CU116" i="3"/>
  <c r="CP126" i="1"/>
  <c r="O126" i="1" s="1"/>
  <c r="GM126" i="1" s="1"/>
  <c r="GP126" i="1" s="1"/>
  <c r="BD30" i="1"/>
  <c r="BD86" i="1"/>
  <c r="CP53" i="1"/>
  <c r="O53" i="1" s="1"/>
  <c r="AJ56" i="1"/>
  <c r="AG56" i="1"/>
  <c r="CU61" i="3"/>
  <c r="CX62" i="3"/>
  <c r="BC56" i="1"/>
  <c r="CY54" i="1"/>
  <c r="X54" i="1" s="1"/>
  <c r="CZ54" i="1"/>
  <c r="Y54" i="1" s="1"/>
  <c r="CJ30" i="1"/>
  <c r="BA56" i="1"/>
  <c r="CY45" i="1"/>
  <c r="X45" i="1" s="1"/>
  <c r="CZ45" i="1"/>
  <c r="Y45" i="1" s="1"/>
  <c r="CU118" i="3"/>
  <c r="CX119" i="3"/>
  <c r="AB130" i="1"/>
  <c r="GM52" i="1"/>
  <c r="GP52" i="1" s="1"/>
  <c r="CP49" i="1"/>
  <c r="O49" i="1" s="1"/>
  <c r="W128" i="1"/>
  <c r="R124" i="1"/>
  <c r="AB124" i="1"/>
  <c r="CP54" i="1"/>
  <c r="O54" i="1" s="1"/>
  <c r="GM54" i="1" s="1"/>
  <c r="GP54" i="1" s="1"/>
  <c r="CP45" i="1"/>
  <c r="O45" i="1" s="1"/>
  <c r="CY43" i="1"/>
  <c r="X43" i="1" s="1"/>
  <c r="CZ43" i="1"/>
  <c r="Y43" i="1" s="1"/>
  <c r="CY41" i="1"/>
  <c r="X41" i="1" s="1"/>
  <c r="CZ41" i="1"/>
  <c r="Y41" i="1" s="1"/>
  <c r="CY53" i="1"/>
  <c r="X53" i="1" s="1"/>
  <c r="CZ53" i="1"/>
  <c r="Y53" i="1" s="1"/>
  <c r="CY39" i="1"/>
  <c r="X39" i="1" s="1"/>
  <c r="CZ39" i="1"/>
  <c r="Y39" i="1" s="1"/>
  <c r="CY36" i="1"/>
  <c r="X36" i="1" s="1"/>
  <c r="CZ36" i="1"/>
  <c r="Y36" i="1" s="1"/>
  <c r="CP36" i="1"/>
  <c r="O36" i="1" s="1"/>
  <c r="BB56" i="1"/>
  <c r="AT56" i="1"/>
  <c r="AB45" i="1"/>
  <c r="CZ44" i="1"/>
  <c r="Y44" i="1" s="1"/>
  <c r="CP37" i="1"/>
  <c r="O37" i="1" s="1"/>
  <c r="GM37" i="1" s="1"/>
  <c r="GP37" i="1" s="1"/>
  <c r="CZ35" i="1"/>
  <c r="Y35" i="1" s="1"/>
  <c r="CY35" i="1"/>
  <c r="X35" i="1" s="1"/>
  <c r="AS56" i="1"/>
  <c r="S48" i="1"/>
  <c r="CY47" i="1"/>
  <c r="X47" i="1" s="1"/>
  <c r="GM47" i="1" s="1"/>
  <c r="GP47" i="1" s="1"/>
  <c r="CZ47" i="1"/>
  <c r="Y47" i="1" s="1"/>
  <c r="U38" i="1"/>
  <c r="AH56" i="1" s="1"/>
  <c r="CY34" i="1"/>
  <c r="X34" i="1" s="1"/>
  <c r="CZ34" i="1"/>
  <c r="Y34" i="1" s="1"/>
  <c r="AB34" i="1"/>
  <c r="CX64" i="3"/>
  <c r="CU64" i="3"/>
  <c r="CV64" i="3"/>
  <c r="CI56" i="1"/>
  <c r="CS54" i="1"/>
  <c r="R54" i="1" s="1"/>
  <c r="GK54" i="1" s="1"/>
  <c r="CS51" i="1"/>
  <c r="R51" i="1" s="1"/>
  <c r="GK51" i="1" s="1"/>
  <c r="CQ50" i="1"/>
  <c r="P50" i="1" s="1"/>
  <c r="CP50" i="1" s="1"/>
  <c r="O50" i="1" s="1"/>
  <c r="GM50" i="1" s="1"/>
  <c r="GP50" i="1" s="1"/>
  <c r="AD44" i="1"/>
  <c r="AB44" i="1" s="1"/>
  <c r="CS44" i="1"/>
  <c r="R44" i="1" s="1"/>
  <c r="GK44" i="1" s="1"/>
  <c r="AQ56" i="1"/>
  <c r="CY38" i="1"/>
  <c r="X38" i="1" s="1"/>
  <c r="CZ38" i="1"/>
  <c r="Y38" i="1" s="1"/>
  <c r="CG56" i="1"/>
  <c r="AP56" i="1"/>
  <c r="AB48" i="1"/>
  <c r="AD40" i="1"/>
  <c r="AB40" i="1" s="1"/>
  <c r="CS40" i="1"/>
  <c r="R40" i="1" s="1"/>
  <c r="GK40" i="1" s="1"/>
  <c r="AO56" i="1"/>
  <c r="CU56" i="3"/>
  <c r="CX60" i="3"/>
  <c r="CV56" i="3"/>
  <c r="CX56" i="3"/>
  <c r="CX59" i="3"/>
  <c r="AD46" i="1"/>
  <c r="AB46" i="1" s="1"/>
  <c r="CQ43" i="1"/>
  <c r="P43" i="1" s="1"/>
  <c r="CP43" i="1" s="1"/>
  <c r="O43" i="1" s="1"/>
  <c r="GM43" i="1" s="1"/>
  <c r="GP43" i="1" s="1"/>
  <c r="AB43" i="1"/>
  <c r="CS42" i="1"/>
  <c r="R42" i="1" s="1"/>
  <c r="GK42" i="1" s="1"/>
  <c r="AD42" i="1"/>
  <c r="CQ39" i="1"/>
  <c r="P39" i="1" s="1"/>
  <c r="CP39" i="1" s="1"/>
  <c r="O39" i="1" s="1"/>
  <c r="AB39" i="1"/>
  <c r="Q38" i="1"/>
  <c r="CP38" i="1" s="1"/>
  <c r="O38" i="1" s="1"/>
  <c r="GM38" i="1" s="1"/>
  <c r="GP38" i="1" s="1"/>
  <c r="CP35" i="1"/>
  <c r="O35" i="1" s="1"/>
  <c r="GM35" i="1" s="1"/>
  <c r="GP35" i="1" s="1"/>
  <c r="CX123" i="3"/>
  <c r="AB42" i="1"/>
  <c r="AB41" i="1"/>
  <c r="CQ41" i="1"/>
  <c r="P41" i="1" s="1"/>
  <c r="CP41" i="1" s="1"/>
  <c r="O41" i="1" s="1"/>
  <c r="CX121" i="3"/>
  <c r="DG109" i="3"/>
  <c r="DH109" i="3"/>
  <c r="CX69" i="3"/>
  <c r="CW69" i="3"/>
  <c r="CV68" i="3"/>
  <c r="CX68" i="3"/>
  <c r="CW62" i="3"/>
  <c r="CQ42" i="1"/>
  <c r="P42" i="1" s="1"/>
  <c r="CP42" i="1" s="1"/>
  <c r="O42" i="1" s="1"/>
  <c r="GM42" i="1" s="1"/>
  <c r="GP42" i="1" s="1"/>
  <c r="CS41" i="1"/>
  <c r="R41" i="1" s="1"/>
  <c r="GK41" i="1" s="1"/>
  <c r="AB36" i="1"/>
  <c r="AB35" i="1"/>
  <c r="S33" i="1"/>
  <c r="V33" i="1"/>
  <c r="AI56" i="1" s="1"/>
  <c r="AB32" i="1"/>
  <c r="DI109" i="3"/>
  <c r="DF84" i="3"/>
  <c r="DJ84" i="3" s="1"/>
  <c r="DI84" i="3"/>
  <c r="DG84" i="3"/>
  <c r="DI55" i="3"/>
  <c r="DH55" i="3"/>
  <c r="DF55" i="3"/>
  <c r="DJ55" i="3" s="1"/>
  <c r="DF17" i="3"/>
  <c r="DJ17" i="3" s="1"/>
  <c r="DG17" i="3"/>
  <c r="DH17" i="3"/>
  <c r="DI17" i="3"/>
  <c r="DI13" i="3"/>
  <c r="DF13" i="3"/>
  <c r="DJ13" i="3" s="1"/>
  <c r="DG13" i="3"/>
  <c r="DH13" i="3"/>
  <c r="CV118" i="3"/>
  <c r="CX118" i="3"/>
  <c r="CX117" i="3"/>
  <c r="DF109" i="3"/>
  <c r="DJ109" i="3" s="1"/>
  <c r="DI107" i="3"/>
  <c r="DF107" i="3"/>
  <c r="DJ107" i="3" s="1"/>
  <c r="DG107" i="3"/>
  <c r="DF106" i="3"/>
  <c r="DJ106" i="3" s="1"/>
  <c r="DG106" i="3"/>
  <c r="DI106" i="3"/>
  <c r="DF105" i="3"/>
  <c r="DJ105" i="3" s="1"/>
  <c r="DG105" i="3"/>
  <c r="DH105" i="3"/>
  <c r="DI105" i="3"/>
  <c r="DH104" i="3"/>
  <c r="DI104" i="3"/>
  <c r="DF104" i="3"/>
  <c r="DJ104" i="3" s="1"/>
  <c r="DF103" i="3"/>
  <c r="DJ103" i="3" s="1"/>
  <c r="DH103" i="3"/>
  <c r="DI103" i="3"/>
  <c r="DF102" i="3"/>
  <c r="DJ102" i="3" s="1"/>
  <c r="DG102" i="3"/>
  <c r="DH102" i="3"/>
  <c r="CW101" i="3"/>
  <c r="CX101" i="3"/>
  <c r="DF79" i="3"/>
  <c r="DG79" i="3"/>
  <c r="DJ79" i="3" s="1"/>
  <c r="DH79" i="3"/>
  <c r="DI79" i="3"/>
  <c r="CX49" i="3"/>
  <c r="DF34" i="3"/>
  <c r="DJ34" i="3" s="1"/>
  <c r="DG34" i="3"/>
  <c r="DH34" i="3"/>
  <c r="DI34" i="3"/>
  <c r="CS34" i="1"/>
  <c r="R34" i="1" s="1"/>
  <c r="CR33" i="1"/>
  <c r="Q33" i="1" s="1"/>
  <c r="AD56" i="1" s="1"/>
  <c r="CX120" i="3"/>
  <c r="DF115" i="3"/>
  <c r="DJ115" i="3" s="1"/>
  <c r="DG115" i="3"/>
  <c r="DI115" i="3"/>
  <c r="DF114" i="3"/>
  <c r="DJ114" i="3" s="1"/>
  <c r="DG114" i="3"/>
  <c r="DH114" i="3"/>
  <c r="DI114" i="3"/>
  <c r="DH113" i="3"/>
  <c r="DI113" i="3"/>
  <c r="DF113" i="3"/>
  <c r="DJ113" i="3" s="1"/>
  <c r="DF112" i="3"/>
  <c r="DJ112" i="3" s="1"/>
  <c r="DH112" i="3"/>
  <c r="DI112" i="3"/>
  <c r="DF100" i="3"/>
  <c r="DG100" i="3"/>
  <c r="DH100" i="3"/>
  <c r="DI100" i="3"/>
  <c r="DJ100" i="3" s="1"/>
  <c r="DH84" i="3"/>
  <c r="DG55" i="3"/>
  <c r="DI22" i="3"/>
  <c r="DG22" i="3"/>
  <c r="DH22" i="3"/>
  <c r="CX116" i="3"/>
  <c r="DI98" i="3"/>
  <c r="DF98" i="3"/>
  <c r="DJ98" i="3" s="1"/>
  <c r="DG98" i="3"/>
  <c r="DF96" i="3"/>
  <c r="DJ96" i="3" s="1"/>
  <c r="DG96" i="3"/>
  <c r="DH96" i="3"/>
  <c r="DI96" i="3"/>
  <c r="DH35" i="3"/>
  <c r="DI35" i="3"/>
  <c r="DF35" i="3"/>
  <c r="DJ35" i="3" s="1"/>
  <c r="DG35" i="3"/>
  <c r="CQ44" i="1"/>
  <c r="P44" i="1" s="1"/>
  <c r="CP44" i="1" s="1"/>
  <c r="O44" i="1" s="1"/>
  <c r="CS43" i="1"/>
  <c r="R43" i="1" s="1"/>
  <c r="GK43" i="1" s="1"/>
  <c r="CQ40" i="1"/>
  <c r="P40" i="1" s="1"/>
  <c r="CP40" i="1" s="1"/>
  <c r="O40" i="1" s="1"/>
  <c r="CS39" i="1"/>
  <c r="R39" i="1" s="1"/>
  <c r="GK39" i="1" s="1"/>
  <c r="CS36" i="1"/>
  <c r="R36" i="1" s="1"/>
  <c r="GK36" i="1" s="1"/>
  <c r="CS35" i="1"/>
  <c r="R35" i="1" s="1"/>
  <c r="GK35" i="1" s="1"/>
  <c r="CQ34" i="1"/>
  <c r="P34" i="1" s="1"/>
  <c r="CX124" i="3"/>
  <c r="DG112" i="3"/>
  <c r="DH106" i="3"/>
  <c r="DG104" i="3"/>
  <c r="DG92" i="3"/>
  <c r="DF92" i="3"/>
  <c r="DJ92" i="3" s="1"/>
  <c r="DH92" i="3"/>
  <c r="CX66" i="3"/>
  <c r="DF46" i="3"/>
  <c r="DJ46" i="3" s="1"/>
  <c r="DG46" i="3"/>
  <c r="DH46" i="3"/>
  <c r="DI46" i="3"/>
  <c r="DF42" i="3"/>
  <c r="DJ42" i="3" s="1"/>
  <c r="DG42" i="3"/>
  <c r="DH42" i="3"/>
  <c r="DI42" i="3"/>
  <c r="DF22" i="3"/>
  <c r="DJ22" i="3" s="1"/>
  <c r="CV47" i="3"/>
  <c r="CU47" i="3"/>
  <c r="DH115" i="3"/>
  <c r="DG113" i="3"/>
  <c r="DF93" i="3"/>
  <c r="DJ93" i="3" s="1"/>
  <c r="DG93" i="3"/>
  <c r="DH93" i="3"/>
  <c r="DI93" i="3"/>
  <c r="CX67" i="3"/>
  <c r="DH36" i="3"/>
  <c r="DI36" i="3"/>
  <c r="DF36" i="3"/>
  <c r="DJ36" i="3" s="1"/>
  <c r="DG36" i="3"/>
  <c r="DF8" i="3"/>
  <c r="DJ8" i="3" s="1"/>
  <c r="DG8" i="3"/>
  <c r="DH8" i="3"/>
  <c r="DI8" i="3"/>
  <c r="CX122" i="3"/>
  <c r="DH98" i="3"/>
  <c r="DI94" i="3"/>
  <c r="DF94" i="3"/>
  <c r="DJ94" i="3" s="1"/>
  <c r="DG94" i="3"/>
  <c r="DH94" i="3"/>
  <c r="DF75" i="3"/>
  <c r="DJ75" i="3" s="1"/>
  <c r="DG75" i="3"/>
  <c r="DH75" i="3"/>
  <c r="CV61" i="3"/>
  <c r="CX61" i="3"/>
  <c r="DI31" i="3"/>
  <c r="DF31" i="3"/>
  <c r="DJ31" i="3" s="1"/>
  <c r="DG31" i="3"/>
  <c r="DH31" i="3"/>
  <c r="DF29" i="3"/>
  <c r="DJ29" i="3" s="1"/>
  <c r="DG29" i="3"/>
  <c r="DH29" i="3"/>
  <c r="DI29" i="3"/>
  <c r="CX111" i="3"/>
  <c r="DF110" i="3"/>
  <c r="DG88" i="3"/>
  <c r="DH88" i="3"/>
  <c r="DG74" i="3"/>
  <c r="DH74" i="3"/>
  <c r="DI74" i="3"/>
  <c r="DG73" i="3"/>
  <c r="DH73" i="3"/>
  <c r="DF73" i="3"/>
  <c r="DJ73" i="3" s="1"/>
  <c r="CX58" i="3"/>
  <c r="CX57" i="3"/>
  <c r="DH45" i="3"/>
  <c r="DI45" i="3"/>
  <c r="DG41" i="3"/>
  <c r="DH41" i="3"/>
  <c r="DI41" i="3"/>
  <c r="DG40" i="3"/>
  <c r="DH40" i="3"/>
  <c r="DF40" i="3"/>
  <c r="DJ40" i="3" s="1"/>
  <c r="DI37" i="3"/>
  <c r="CW28" i="3"/>
  <c r="DG10" i="3"/>
  <c r="DG7" i="3"/>
  <c r="DH7" i="3"/>
  <c r="DI7" i="3"/>
  <c r="DF3" i="3"/>
  <c r="DJ3" i="3" s="1"/>
  <c r="DG3" i="3"/>
  <c r="DI108" i="3"/>
  <c r="DI99" i="3"/>
  <c r="DG91" i="3"/>
  <c r="DH91" i="3"/>
  <c r="DF87" i="3"/>
  <c r="DJ87" i="3" s="1"/>
  <c r="DG87" i="3"/>
  <c r="DF53" i="3"/>
  <c r="DJ53" i="3" s="1"/>
  <c r="DG53" i="3"/>
  <c r="DG33" i="3"/>
  <c r="DH33" i="3"/>
  <c r="DI33" i="3"/>
  <c r="DG32" i="3"/>
  <c r="DH32" i="3"/>
  <c r="DF32" i="3"/>
  <c r="DJ32" i="3" s="1"/>
  <c r="DH28" i="3"/>
  <c r="DI28" i="3"/>
  <c r="CV27" i="3"/>
  <c r="CX27" i="3"/>
  <c r="DH26" i="3"/>
  <c r="DI26" i="3"/>
  <c r="DF26" i="3"/>
  <c r="DJ26" i="3" s="1"/>
  <c r="DG26" i="3"/>
  <c r="DF20" i="3"/>
  <c r="DJ20" i="3" s="1"/>
  <c r="DG20" i="3"/>
  <c r="DG82" i="3"/>
  <c r="DH82" i="3"/>
  <c r="DF82" i="3"/>
  <c r="DJ82" i="3" s="1"/>
  <c r="CW65" i="3"/>
  <c r="CX65" i="3"/>
  <c r="CX63" i="3"/>
  <c r="DH19" i="3"/>
  <c r="DI19" i="3"/>
  <c r="DH18" i="3"/>
  <c r="DI18" i="3"/>
  <c r="DF18" i="3"/>
  <c r="DJ18" i="3" s="1"/>
  <c r="DG18" i="3"/>
  <c r="DI3" i="3"/>
  <c r="DH2" i="3"/>
  <c r="DI2" i="3"/>
  <c r="DI97" i="3"/>
  <c r="DI91" i="3"/>
  <c r="DH90" i="3"/>
  <c r="DI89" i="3"/>
  <c r="DF89" i="3"/>
  <c r="DG89" i="3"/>
  <c r="DJ89" i="3" s="1"/>
  <c r="DI87" i="3"/>
  <c r="DH86" i="3"/>
  <c r="DI86" i="3"/>
  <c r="DG78" i="3"/>
  <c r="DI73" i="3"/>
  <c r="DG72" i="3"/>
  <c r="DI53" i="3"/>
  <c r="DH52" i="3"/>
  <c r="DI52" i="3"/>
  <c r="CV51" i="3"/>
  <c r="CX51" i="3"/>
  <c r="CX50" i="3"/>
  <c r="DF45" i="3"/>
  <c r="DJ45" i="3" s="1"/>
  <c r="DI40" i="3"/>
  <c r="DG39" i="3"/>
  <c r="DF33" i="3"/>
  <c r="DJ33" i="3" s="1"/>
  <c r="DF28" i="3"/>
  <c r="DI25" i="3"/>
  <c r="DG24" i="3"/>
  <c r="DH24" i="3"/>
  <c r="DI24" i="3"/>
  <c r="DG23" i="3"/>
  <c r="DH23" i="3"/>
  <c r="DF23" i="3"/>
  <c r="DJ23" i="3" s="1"/>
  <c r="DI20" i="3"/>
  <c r="DH3" i="3"/>
  <c r="DG2" i="3"/>
  <c r="DJ2" i="3" s="1"/>
  <c r="DH85" i="3"/>
  <c r="DI85" i="3"/>
  <c r="DF85" i="3"/>
  <c r="DJ85" i="3" s="1"/>
  <c r="DF43" i="3"/>
  <c r="DG43" i="3"/>
  <c r="DG16" i="3"/>
  <c r="DH16" i="3"/>
  <c r="DI16" i="3"/>
  <c r="DG97" i="3"/>
  <c r="DF90" i="3"/>
  <c r="DJ90" i="3" s="1"/>
  <c r="DI82" i="3"/>
  <c r="DG81" i="3"/>
  <c r="DH77" i="3"/>
  <c r="DI77" i="3"/>
  <c r="DH76" i="3"/>
  <c r="DI76" i="3"/>
  <c r="DF76" i="3"/>
  <c r="DJ76" i="3" s="1"/>
  <c r="DG76" i="3"/>
  <c r="DF70" i="3"/>
  <c r="DJ70" i="3" s="1"/>
  <c r="DG70" i="3"/>
  <c r="DG25" i="3"/>
  <c r="DF24" i="3"/>
  <c r="DJ24" i="3" s="1"/>
  <c r="DF19" i="3"/>
  <c r="DJ19" i="3" s="1"/>
  <c r="DF11" i="3"/>
  <c r="DJ11" i="3" s="1"/>
  <c r="DG11" i="3"/>
  <c r="DH5" i="3"/>
  <c r="DG85" i="3"/>
  <c r="DF81" i="3"/>
  <c r="DJ81" i="3" s="1"/>
  <c r="CX48" i="3"/>
  <c r="CX47" i="3"/>
  <c r="DI43" i="3"/>
  <c r="DJ43" i="3" s="1"/>
  <c r="DF37" i="3"/>
  <c r="DJ37" i="3" s="1"/>
  <c r="DG37" i="3"/>
  <c r="DF16" i="3"/>
  <c r="DJ16" i="3" s="1"/>
  <c r="DH10" i="3"/>
  <c r="DI10" i="3"/>
  <c r="DH9" i="3"/>
  <c r="DI9" i="3"/>
  <c r="DF9" i="3"/>
  <c r="DJ9" i="3" s="1"/>
  <c r="DG9" i="3"/>
  <c r="DG5" i="3"/>
  <c r="DG44" i="3"/>
  <c r="DJ44" i="3" s="1"/>
  <c r="CX1" i="3"/>
  <c r="DG80" i="3"/>
  <c r="DG71" i="3"/>
  <c r="DG54" i="3"/>
  <c r="DF44" i="3"/>
  <c r="DG38" i="3"/>
  <c r="DG30" i="3"/>
  <c r="DG21" i="3"/>
  <c r="DG12" i="3"/>
  <c r="DG4" i="3"/>
  <c r="DF80" i="3"/>
  <c r="DJ80" i="3" s="1"/>
  <c r="DF71" i="3"/>
  <c r="DJ71" i="3" s="1"/>
  <c r="DF54" i="3"/>
  <c r="DJ54" i="3" s="1"/>
  <c r="CX15" i="3"/>
  <c r="P113" i="7" l="1"/>
  <c r="I175" i="7" s="1"/>
  <c r="K113" i="7"/>
  <c r="I178" i="7"/>
  <c r="I75" i="7"/>
  <c r="I72" i="7"/>
  <c r="I172" i="7"/>
  <c r="AH122" i="1"/>
  <c r="U148" i="1"/>
  <c r="CY48" i="1"/>
  <c r="X48" i="1" s="1"/>
  <c r="CZ48" i="1"/>
  <c r="Y48" i="1" s="1"/>
  <c r="BB30" i="1"/>
  <c r="BB86" i="1"/>
  <c r="F69" i="1"/>
  <c r="F152" i="1"/>
  <c r="AO122" i="1"/>
  <c r="AO178" i="1"/>
  <c r="BZ122" i="1"/>
  <c r="AQ148" i="1"/>
  <c r="CG148" i="1"/>
  <c r="AS122" i="1"/>
  <c r="AS178" i="1"/>
  <c r="F165" i="1"/>
  <c r="DI1" i="3"/>
  <c r="DJ1" i="3" s="1"/>
  <c r="DF1" i="3"/>
  <c r="DG1" i="3"/>
  <c r="DH1" i="3"/>
  <c r="GM40" i="1"/>
  <c r="GP40" i="1" s="1"/>
  <c r="DF118" i="3"/>
  <c r="DG118" i="3"/>
  <c r="DH118" i="3"/>
  <c r="DI118" i="3"/>
  <c r="DJ118" i="3" s="1"/>
  <c r="CP33" i="1"/>
  <c r="O33" i="1" s="1"/>
  <c r="DF59" i="3"/>
  <c r="DJ59" i="3" s="1"/>
  <c r="DG59" i="3"/>
  <c r="DH59" i="3"/>
  <c r="DI59" i="3"/>
  <c r="DH64" i="3"/>
  <c r="DI64" i="3"/>
  <c r="DJ64" i="3" s="1"/>
  <c r="DF64" i="3"/>
  <c r="DG64" i="3"/>
  <c r="AS30" i="1"/>
  <c r="AS86" i="1"/>
  <c r="F73" i="1"/>
  <c r="GM36" i="1"/>
  <c r="GP36" i="1" s="1"/>
  <c r="GK124" i="1"/>
  <c r="AE148" i="1"/>
  <c r="AG30" i="1"/>
  <c r="T56" i="1"/>
  <c r="CI148" i="1"/>
  <c r="GM138" i="1"/>
  <c r="GP138" i="1" s="1"/>
  <c r="DG61" i="3"/>
  <c r="DH61" i="3"/>
  <c r="DI61" i="3"/>
  <c r="DJ61" i="3" s="1"/>
  <c r="DF61" i="3"/>
  <c r="GK34" i="1"/>
  <c r="AE56" i="1"/>
  <c r="DF121" i="3"/>
  <c r="DJ121" i="3" s="1"/>
  <c r="DG121" i="3"/>
  <c r="DH121" i="3"/>
  <c r="DI121" i="3"/>
  <c r="DI27" i="3"/>
  <c r="DJ27" i="3" s="1"/>
  <c r="DF27" i="3"/>
  <c r="DG27" i="3"/>
  <c r="DH27" i="3"/>
  <c r="DF122" i="3"/>
  <c r="DJ122" i="3" s="1"/>
  <c r="DH122" i="3"/>
  <c r="DI122" i="3"/>
  <c r="DG122" i="3"/>
  <c r="DG101" i="3"/>
  <c r="DJ101" i="3" s="1"/>
  <c r="DH101" i="3"/>
  <c r="DI101" i="3"/>
  <c r="DF101" i="3"/>
  <c r="DI68" i="3"/>
  <c r="DJ68" i="3" s="1"/>
  <c r="DF68" i="3"/>
  <c r="DG68" i="3"/>
  <c r="DH68" i="3"/>
  <c r="GM39" i="1"/>
  <c r="GP39" i="1" s="1"/>
  <c r="DF56" i="3"/>
  <c r="DG56" i="3"/>
  <c r="DH56" i="3"/>
  <c r="DI56" i="3"/>
  <c r="DJ56" i="3" s="1"/>
  <c r="AP30" i="1"/>
  <c r="AP86" i="1"/>
  <c r="F65" i="1"/>
  <c r="CP48" i="1"/>
  <c r="O48" i="1" s="1"/>
  <c r="GM48" i="1" s="1"/>
  <c r="GP48" i="1" s="1"/>
  <c r="BA30" i="1"/>
  <c r="F76" i="1"/>
  <c r="BA86" i="1"/>
  <c r="AJ30" i="1"/>
  <c r="W56" i="1"/>
  <c r="GM51" i="1"/>
  <c r="GP51" i="1" s="1"/>
  <c r="CP124" i="1"/>
  <c r="O124" i="1" s="1"/>
  <c r="AC148" i="1"/>
  <c r="GM132" i="1"/>
  <c r="GP132" i="1" s="1"/>
  <c r="CY129" i="1"/>
  <c r="X129" i="1" s="1"/>
  <c r="CZ129" i="1"/>
  <c r="Y129" i="1" s="1"/>
  <c r="CP129" i="1"/>
  <c r="O129" i="1" s="1"/>
  <c r="GM129" i="1" s="1"/>
  <c r="GP129" i="1" s="1"/>
  <c r="AF148" i="1"/>
  <c r="GM141" i="1"/>
  <c r="GP141" i="1" s="1"/>
  <c r="AD30" i="1"/>
  <c r="Q56" i="1"/>
  <c r="DH50" i="3"/>
  <c r="DI50" i="3"/>
  <c r="DF50" i="3"/>
  <c r="DJ50" i="3" s="1"/>
  <c r="DG50" i="3"/>
  <c r="DH67" i="3"/>
  <c r="DI67" i="3"/>
  <c r="DF67" i="3"/>
  <c r="DJ67" i="3" s="1"/>
  <c r="DG67" i="3"/>
  <c r="GM44" i="1"/>
  <c r="GP44" i="1" s="1"/>
  <c r="AI30" i="1"/>
  <c r="V56" i="1"/>
  <c r="GM41" i="1"/>
  <c r="GP41" i="1" s="1"/>
  <c r="CG30" i="1"/>
  <c r="AX56" i="1"/>
  <c r="GM49" i="1"/>
  <c r="GP49" i="1" s="1"/>
  <c r="GM53" i="1"/>
  <c r="GP53" i="1" s="1"/>
  <c r="AJ148" i="1"/>
  <c r="GM143" i="1"/>
  <c r="GP143" i="1" s="1"/>
  <c r="BB122" i="1"/>
  <c r="BB178" i="1"/>
  <c r="F161" i="1"/>
  <c r="CZ146" i="1"/>
  <c r="Y146" i="1" s="1"/>
  <c r="CY146" i="1"/>
  <c r="X146" i="1" s="1"/>
  <c r="AK148" i="1" s="1"/>
  <c r="AI122" i="1"/>
  <c r="V148" i="1"/>
  <c r="DG116" i="3"/>
  <c r="DH116" i="3"/>
  <c r="DF116" i="3"/>
  <c r="DI116" i="3"/>
  <c r="DJ116" i="3" s="1"/>
  <c r="DF117" i="3"/>
  <c r="DJ117" i="3" s="1"/>
  <c r="DG117" i="3"/>
  <c r="DH117" i="3"/>
  <c r="DI117" i="3"/>
  <c r="DG15" i="3"/>
  <c r="DJ15" i="3" s="1"/>
  <c r="DH15" i="3"/>
  <c r="DF15" i="3"/>
  <c r="DI15" i="3"/>
  <c r="DI51" i="3"/>
  <c r="DJ51" i="3" s="1"/>
  <c r="DF51" i="3"/>
  <c r="DG51" i="3"/>
  <c r="DH51" i="3"/>
  <c r="DH57" i="3"/>
  <c r="DI57" i="3"/>
  <c r="DF57" i="3"/>
  <c r="DJ57" i="3" s="1"/>
  <c r="DG57" i="3"/>
  <c r="DF124" i="3"/>
  <c r="DJ124" i="3" s="1"/>
  <c r="DG124" i="3"/>
  <c r="DH124" i="3"/>
  <c r="DI124" i="3"/>
  <c r="CY33" i="1"/>
  <c r="X33" i="1" s="1"/>
  <c r="AK56" i="1" s="1"/>
  <c r="CZ33" i="1"/>
  <c r="Y33" i="1" s="1"/>
  <c r="AL56" i="1" s="1"/>
  <c r="AF56" i="1"/>
  <c r="DI60" i="3"/>
  <c r="DF60" i="3"/>
  <c r="DJ60" i="3" s="1"/>
  <c r="DG60" i="3"/>
  <c r="DH60" i="3"/>
  <c r="BD26" i="1"/>
  <c r="F111" i="1"/>
  <c r="GM139" i="1"/>
  <c r="GP139" i="1" s="1"/>
  <c r="BD122" i="1"/>
  <c r="BD178" i="1"/>
  <c r="F173" i="1"/>
  <c r="CP146" i="1"/>
  <c r="O146" i="1" s="1"/>
  <c r="GM145" i="1"/>
  <c r="GP145" i="1" s="1"/>
  <c r="DF111" i="3"/>
  <c r="DG111" i="3"/>
  <c r="DJ111" i="3" s="1"/>
  <c r="DH111" i="3"/>
  <c r="DI111" i="3"/>
  <c r="DH58" i="3"/>
  <c r="DI58" i="3"/>
  <c r="DF58" i="3"/>
  <c r="DJ58" i="3" s="1"/>
  <c r="DG58" i="3"/>
  <c r="DF66" i="3"/>
  <c r="DJ66" i="3" s="1"/>
  <c r="DG66" i="3"/>
  <c r="DH66" i="3"/>
  <c r="DI66" i="3"/>
  <c r="AH30" i="1"/>
  <c r="U56" i="1"/>
  <c r="CJ122" i="1"/>
  <c r="BA148" i="1"/>
  <c r="CP34" i="1"/>
  <c r="O34" i="1" s="1"/>
  <c r="GM34" i="1" s="1"/>
  <c r="GP34" i="1" s="1"/>
  <c r="AC56" i="1"/>
  <c r="DF49" i="3"/>
  <c r="DJ49" i="3" s="1"/>
  <c r="DH49" i="3"/>
  <c r="DI49" i="3"/>
  <c r="DG49" i="3"/>
  <c r="DH69" i="3"/>
  <c r="DI69" i="3"/>
  <c r="DF69" i="3"/>
  <c r="DG69" i="3"/>
  <c r="DJ69" i="3" s="1"/>
  <c r="GM45" i="1"/>
  <c r="GP45" i="1" s="1"/>
  <c r="DF126" i="3"/>
  <c r="DJ126" i="3" s="1"/>
  <c r="DG126" i="3"/>
  <c r="DH126" i="3"/>
  <c r="DI126" i="3"/>
  <c r="GM133" i="1"/>
  <c r="GP133" i="1" s="1"/>
  <c r="DG47" i="3"/>
  <c r="DH47" i="3"/>
  <c r="DF47" i="3"/>
  <c r="DI47" i="3"/>
  <c r="DJ47" i="3" s="1"/>
  <c r="DG63" i="3"/>
  <c r="DH63" i="3"/>
  <c r="DF63" i="3"/>
  <c r="DJ63" i="3" s="1"/>
  <c r="DI63" i="3"/>
  <c r="DH120" i="3"/>
  <c r="DF120" i="3"/>
  <c r="DG120" i="3"/>
  <c r="DI120" i="3"/>
  <c r="DJ120" i="3" s="1"/>
  <c r="DI123" i="3"/>
  <c r="DF123" i="3"/>
  <c r="DJ123" i="3" s="1"/>
  <c r="DG123" i="3"/>
  <c r="DH123" i="3"/>
  <c r="AO30" i="1"/>
  <c r="F60" i="1"/>
  <c r="AO86" i="1"/>
  <c r="CI30" i="1"/>
  <c r="AZ56" i="1"/>
  <c r="DF119" i="3"/>
  <c r="DJ119" i="3" s="1"/>
  <c r="DG119" i="3"/>
  <c r="DI119" i="3"/>
  <c r="DH119" i="3"/>
  <c r="BC30" i="1"/>
  <c r="BC86" i="1"/>
  <c r="F72" i="1"/>
  <c r="AL148" i="1"/>
  <c r="DG125" i="3"/>
  <c r="DI125" i="3"/>
  <c r="DH125" i="3"/>
  <c r="DF125" i="3"/>
  <c r="DJ125" i="3" s="1"/>
  <c r="GM134" i="1"/>
  <c r="GP134" i="1" s="1"/>
  <c r="AG122" i="1"/>
  <c r="T148" i="1"/>
  <c r="AT122" i="1"/>
  <c r="F166" i="1"/>
  <c r="AT178" i="1"/>
  <c r="DG48" i="3"/>
  <c r="DH48" i="3"/>
  <c r="DI48" i="3"/>
  <c r="DF48" i="3"/>
  <c r="DJ48" i="3" s="1"/>
  <c r="DG65" i="3"/>
  <c r="DJ65" i="3" s="1"/>
  <c r="DH65" i="3"/>
  <c r="DI65" i="3"/>
  <c r="DF65" i="3"/>
  <c r="AQ30" i="1"/>
  <c r="F66" i="1"/>
  <c r="AQ86" i="1"/>
  <c r="AT30" i="1"/>
  <c r="F74" i="1"/>
  <c r="AT86" i="1"/>
  <c r="DI62" i="3"/>
  <c r="DF62" i="3"/>
  <c r="DG62" i="3"/>
  <c r="DJ62" i="3" s="1"/>
  <c r="DH62" i="3"/>
  <c r="AP122" i="1"/>
  <c r="F157" i="1"/>
  <c r="AP178" i="1"/>
  <c r="AD122" i="1"/>
  <c r="Q148" i="1"/>
  <c r="I169" i="7" l="1"/>
  <c r="AK122" i="1"/>
  <c r="X148" i="1"/>
  <c r="F160" i="1"/>
  <c r="Q178" i="1"/>
  <c r="Q122" i="1"/>
  <c r="AT118" i="1"/>
  <c r="F196" i="1"/>
  <c r="GM146" i="1"/>
  <c r="GP146" i="1" s="1"/>
  <c r="AJ122" i="1"/>
  <c r="W148" i="1"/>
  <c r="AE122" i="1"/>
  <c r="R148" i="1"/>
  <c r="Q30" i="1"/>
  <c r="F68" i="1"/>
  <c r="Q86" i="1"/>
  <c r="AC122" i="1"/>
  <c r="CH148" i="1"/>
  <c r="CF148" i="1"/>
  <c r="P148" i="1"/>
  <c r="CE148" i="1"/>
  <c r="AS118" i="1"/>
  <c r="F195" i="1"/>
  <c r="F203" i="1"/>
  <c r="BD118" i="1"/>
  <c r="GM124" i="1"/>
  <c r="AB148" i="1"/>
  <c r="BB26" i="1"/>
  <c r="BB208" i="1"/>
  <c r="F99" i="1"/>
  <c r="AL122" i="1"/>
  <c r="Y148" i="1"/>
  <c r="AP118" i="1"/>
  <c r="F187" i="1"/>
  <c r="T122" i="1"/>
  <c r="F169" i="1"/>
  <c r="T178" i="1"/>
  <c r="AX30" i="1"/>
  <c r="AX86" i="1"/>
  <c r="F63" i="1"/>
  <c r="AP26" i="1"/>
  <c r="F95" i="1"/>
  <c r="AP208" i="1"/>
  <c r="CG122" i="1"/>
  <c r="AX148" i="1"/>
  <c r="U30" i="1"/>
  <c r="F78" i="1"/>
  <c r="U86" i="1"/>
  <c r="AT26" i="1"/>
  <c r="F104" i="1"/>
  <c r="AT208" i="1"/>
  <c r="BC26" i="1"/>
  <c r="F102" i="1"/>
  <c r="BC208" i="1"/>
  <c r="AO26" i="1"/>
  <c r="F90" i="1"/>
  <c r="AO208" i="1"/>
  <c r="AF30" i="1"/>
  <c r="S56" i="1"/>
  <c r="BB118" i="1"/>
  <c r="F191" i="1"/>
  <c r="AF122" i="1"/>
  <c r="S148" i="1"/>
  <c r="W30" i="1"/>
  <c r="W86" i="1"/>
  <c r="F80" i="1"/>
  <c r="AS26" i="1"/>
  <c r="F103" i="1"/>
  <c r="AS208" i="1"/>
  <c r="AQ122" i="1"/>
  <c r="F158" i="1"/>
  <c r="AQ178" i="1"/>
  <c r="AZ30" i="1"/>
  <c r="F67" i="1"/>
  <c r="AZ86" i="1"/>
  <c r="AQ26" i="1"/>
  <c r="F96" i="1"/>
  <c r="BD208" i="1"/>
  <c r="AL30" i="1"/>
  <c r="Y56" i="1"/>
  <c r="CI122" i="1"/>
  <c r="AZ148" i="1"/>
  <c r="AK30" i="1"/>
  <c r="X56" i="1"/>
  <c r="V30" i="1"/>
  <c r="F79" i="1"/>
  <c r="V86" i="1"/>
  <c r="BA26" i="1"/>
  <c r="F106" i="1"/>
  <c r="AE30" i="1"/>
  <c r="R56" i="1"/>
  <c r="T30" i="1"/>
  <c r="F77" i="1"/>
  <c r="T86" i="1"/>
  <c r="GM33" i="1"/>
  <c r="AB56" i="1"/>
  <c r="AO118" i="1"/>
  <c r="F182" i="1"/>
  <c r="U122" i="1"/>
  <c r="F170" i="1"/>
  <c r="U178" i="1"/>
  <c r="AC30" i="1"/>
  <c r="CF56" i="1"/>
  <c r="CH56" i="1"/>
  <c r="P56" i="1"/>
  <c r="CE56" i="1"/>
  <c r="BA122" i="1"/>
  <c r="F168" i="1"/>
  <c r="BA178" i="1"/>
  <c r="V122" i="1"/>
  <c r="V178" i="1"/>
  <c r="F171" i="1"/>
  <c r="GP33" i="1" l="1"/>
  <c r="CD56" i="1" s="1"/>
  <c r="CA56" i="1"/>
  <c r="W26" i="1"/>
  <c r="F110" i="1"/>
  <c r="AO22" i="1"/>
  <c r="F212" i="1"/>
  <c r="AO238" i="1"/>
  <c r="CF30" i="1"/>
  <c r="AW56" i="1"/>
  <c r="Y30" i="1"/>
  <c r="F83" i="1"/>
  <c r="Y86" i="1"/>
  <c r="T26" i="1"/>
  <c r="F107" i="1"/>
  <c r="T208" i="1"/>
  <c r="V26" i="1"/>
  <c r="F109" i="1"/>
  <c r="V208" i="1"/>
  <c r="AQ118" i="1"/>
  <c r="F188" i="1"/>
  <c r="U26" i="1"/>
  <c r="F108" i="1"/>
  <c r="U208" i="1"/>
  <c r="Y178" i="1"/>
  <c r="Y122" i="1"/>
  <c r="F175" i="1"/>
  <c r="Q26" i="1"/>
  <c r="F98" i="1"/>
  <c r="Q208" i="1"/>
  <c r="AX26" i="1"/>
  <c r="F93" i="1"/>
  <c r="AX208" i="1"/>
  <c r="BA118" i="1"/>
  <c r="F198" i="1"/>
  <c r="S122" i="1"/>
  <c r="F163" i="1"/>
  <c r="S178" i="1"/>
  <c r="AQ208" i="1"/>
  <c r="BC22" i="1"/>
  <c r="F224" i="1"/>
  <c r="BC238" i="1"/>
  <c r="V118" i="1"/>
  <c r="F201" i="1"/>
  <c r="BD22" i="1"/>
  <c r="F233" i="1"/>
  <c r="BD238" i="1"/>
  <c r="X30" i="1"/>
  <c r="F82" i="1"/>
  <c r="X86" i="1"/>
  <c r="AX122" i="1"/>
  <c r="AX178" i="1"/>
  <c r="F155" i="1"/>
  <c r="BB22" i="1"/>
  <c r="BB238" i="1"/>
  <c r="F221" i="1"/>
  <c r="R122" i="1"/>
  <c r="F162" i="1"/>
  <c r="R178" i="1"/>
  <c r="Q118" i="1"/>
  <c r="F190" i="1"/>
  <c r="U118" i="1"/>
  <c r="F200" i="1"/>
  <c r="R30" i="1"/>
  <c r="R86" i="1"/>
  <c r="F70" i="1"/>
  <c r="AS22" i="1"/>
  <c r="AS238" i="1"/>
  <c r="F225" i="1"/>
  <c r="E16" i="2" s="1"/>
  <c r="T118" i="1"/>
  <c r="F199" i="1"/>
  <c r="CE122" i="1"/>
  <c r="AV148" i="1"/>
  <c r="CE30" i="1"/>
  <c r="AV56" i="1"/>
  <c r="P122" i="1"/>
  <c r="F151" i="1"/>
  <c r="P178" i="1"/>
  <c r="BA208" i="1"/>
  <c r="AZ26" i="1"/>
  <c r="F97" i="1"/>
  <c r="S30" i="1"/>
  <c r="S86" i="1"/>
  <c r="F71" i="1"/>
  <c r="AT22" i="1"/>
  <c r="AT238" i="1"/>
  <c r="F226" i="1"/>
  <c r="F16" i="2" s="1"/>
  <c r="F18" i="2" s="1"/>
  <c r="AP22" i="1"/>
  <c r="F217" i="1"/>
  <c r="G16" i="2" s="1"/>
  <c r="G18" i="2" s="1"/>
  <c r="AP238" i="1"/>
  <c r="AB122" i="1"/>
  <c r="O148" i="1"/>
  <c r="CF122" i="1"/>
  <c r="AW148" i="1"/>
  <c r="W122" i="1"/>
  <c r="W178" i="1"/>
  <c r="F172" i="1"/>
  <c r="X122" i="1"/>
  <c r="F174" i="1"/>
  <c r="X178" i="1"/>
  <c r="P30" i="1"/>
  <c r="F59" i="1"/>
  <c r="P86" i="1"/>
  <c r="AZ122" i="1"/>
  <c r="F159" i="1"/>
  <c r="AZ178" i="1"/>
  <c r="CH30" i="1"/>
  <c r="AY56" i="1"/>
  <c r="AB30" i="1"/>
  <c r="O56" i="1"/>
  <c r="GP124" i="1"/>
  <c r="CD148" i="1" s="1"/>
  <c r="CA148" i="1"/>
  <c r="CH122" i="1"/>
  <c r="AY148" i="1"/>
  <c r="W118" i="1" l="1"/>
  <c r="F202" i="1"/>
  <c r="AT18" i="1"/>
  <c r="F256" i="1"/>
  <c r="AQ22" i="1"/>
  <c r="AQ238" i="1"/>
  <c r="F218" i="1"/>
  <c r="CD30" i="1"/>
  <c r="AU56" i="1"/>
  <c r="AO18" i="1"/>
  <c r="F242" i="1"/>
  <c r="AW122" i="1"/>
  <c r="AW178" i="1"/>
  <c r="F154" i="1"/>
  <c r="P118" i="1"/>
  <c r="F181" i="1"/>
  <c r="S118" i="1"/>
  <c r="F193" i="1"/>
  <c r="Q22" i="1"/>
  <c r="Q238" i="1"/>
  <c r="F220" i="1"/>
  <c r="CA122" i="1"/>
  <c r="AR148" i="1"/>
  <c r="R26" i="1"/>
  <c r="F100" i="1"/>
  <c r="R208" i="1"/>
  <c r="CD122" i="1"/>
  <c r="AU148" i="1"/>
  <c r="U22" i="1"/>
  <c r="F230" i="1"/>
  <c r="U238" i="1"/>
  <c r="O30" i="1"/>
  <c r="F58" i="1"/>
  <c r="O86" i="1"/>
  <c r="BA22" i="1"/>
  <c r="BA238" i="1"/>
  <c r="F228" i="1"/>
  <c r="BB18" i="1"/>
  <c r="F251" i="1"/>
  <c r="BD18" i="1"/>
  <c r="F263" i="1"/>
  <c r="X118" i="1"/>
  <c r="F204" i="1"/>
  <c r="E18" i="2"/>
  <c r="Y26" i="1"/>
  <c r="F113" i="1"/>
  <c r="Y208" i="1"/>
  <c r="W208" i="1"/>
  <c r="AV122" i="1"/>
  <c r="AV178" i="1"/>
  <c r="F153" i="1"/>
  <c r="AX22" i="1"/>
  <c r="F215" i="1"/>
  <c r="AX238" i="1"/>
  <c r="Y118" i="1"/>
  <c r="F205" i="1"/>
  <c r="P26" i="1"/>
  <c r="F89" i="1"/>
  <c r="P208" i="1"/>
  <c r="T22" i="1"/>
  <c r="F229" i="1"/>
  <c r="T238" i="1"/>
  <c r="AY30" i="1"/>
  <c r="AY86" i="1"/>
  <c r="F64" i="1"/>
  <c r="O122" i="1"/>
  <c r="F150" i="1"/>
  <c r="O178" i="1"/>
  <c r="S26" i="1"/>
  <c r="F101" i="1"/>
  <c r="S208" i="1"/>
  <c r="AS18" i="1"/>
  <c r="F255" i="1"/>
  <c r="AX118" i="1"/>
  <c r="F185" i="1"/>
  <c r="AY122" i="1"/>
  <c r="AY178" i="1"/>
  <c r="F156" i="1"/>
  <c r="AZ118" i="1"/>
  <c r="F189" i="1"/>
  <c r="AP18" i="1"/>
  <c r="F247" i="1"/>
  <c r="AV30" i="1"/>
  <c r="AV86" i="1"/>
  <c r="F61" i="1"/>
  <c r="R118" i="1"/>
  <c r="F192" i="1"/>
  <c r="V22" i="1"/>
  <c r="V238" i="1"/>
  <c r="F231" i="1"/>
  <c r="AZ208" i="1"/>
  <c r="X26" i="1"/>
  <c r="F112" i="1"/>
  <c r="X208" i="1"/>
  <c r="BC18" i="1"/>
  <c r="F254" i="1"/>
  <c r="AW30" i="1"/>
  <c r="AW86" i="1"/>
  <c r="F62" i="1"/>
  <c r="CA30" i="1"/>
  <c r="AR56" i="1"/>
  <c r="T18" i="1" l="1"/>
  <c r="F259" i="1"/>
  <c r="U18" i="1"/>
  <c r="F260" i="1"/>
  <c r="AR122" i="1"/>
  <c r="F176" i="1"/>
  <c r="AR178" i="1"/>
  <c r="AU30" i="1"/>
  <c r="F75" i="1"/>
  <c r="AU86" i="1"/>
  <c r="X22" i="1"/>
  <c r="F234" i="1"/>
  <c r="X238" i="1"/>
  <c r="AX18" i="1"/>
  <c r="F245" i="1"/>
  <c r="AR30" i="1"/>
  <c r="F84" i="1"/>
  <c r="AR86" i="1"/>
  <c r="AY118" i="1"/>
  <c r="F186" i="1"/>
  <c r="AQ18" i="1"/>
  <c r="F248" i="1"/>
  <c r="W22" i="1"/>
  <c r="F232" i="1"/>
  <c r="W238" i="1"/>
  <c r="Y22" i="1"/>
  <c r="F235" i="1"/>
  <c r="Y238" i="1"/>
  <c r="AV26" i="1"/>
  <c r="F91" i="1"/>
  <c r="AV208" i="1"/>
  <c r="O118" i="1"/>
  <c r="F180" i="1"/>
  <c r="AW118" i="1"/>
  <c r="F184" i="1"/>
  <c r="S22" i="1"/>
  <c r="F223" i="1"/>
  <c r="J16" i="2" s="1"/>
  <c r="J18" i="2" s="1"/>
  <c r="S238" i="1"/>
  <c r="AZ22" i="1"/>
  <c r="AZ238" i="1"/>
  <c r="F219" i="1"/>
  <c r="P22" i="1"/>
  <c r="P238" i="1"/>
  <c r="F211" i="1"/>
  <c r="BA18" i="1"/>
  <c r="F258" i="1"/>
  <c r="AU122" i="1"/>
  <c r="F167" i="1"/>
  <c r="AU178" i="1"/>
  <c r="Q18" i="1"/>
  <c r="F250" i="1"/>
  <c r="AY26" i="1"/>
  <c r="F94" i="1"/>
  <c r="AY208" i="1"/>
  <c r="AW26" i="1"/>
  <c r="F92" i="1"/>
  <c r="AW208" i="1"/>
  <c r="AV118" i="1"/>
  <c r="F183" i="1"/>
  <c r="V18" i="1"/>
  <c r="F261" i="1"/>
  <c r="O26" i="1"/>
  <c r="F88" i="1"/>
  <c r="O208" i="1"/>
  <c r="R22" i="1"/>
  <c r="F222" i="1"/>
  <c r="R238" i="1"/>
  <c r="AR118" i="1" l="1"/>
  <c r="F206" i="1"/>
  <c r="O22" i="1"/>
  <c r="O238" i="1"/>
  <c r="F210" i="1"/>
  <c r="AZ18" i="1"/>
  <c r="F249" i="1"/>
  <c r="AY22" i="1"/>
  <c r="F216" i="1"/>
  <c r="AY238" i="1"/>
  <c r="X18" i="1"/>
  <c r="F264" i="1"/>
  <c r="Y18" i="1"/>
  <c r="F265" i="1"/>
  <c r="R18" i="1"/>
  <c r="F252" i="1"/>
  <c r="AV22" i="1"/>
  <c r="F213" i="1"/>
  <c r="AV238" i="1"/>
  <c r="S18" i="1"/>
  <c r="F253" i="1"/>
  <c r="P18" i="1"/>
  <c r="F241" i="1"/>
  <c r="AR26" i="1"/>
  <c r="F114" i="1"/>
  <c r="AR208" i="1"/>
  <c r="AU26" i="1"/>
  <c r="F105" i="1"/>
  <c r="AU208" i="1"/>
  <c r="AW22" i="1"/>
  <c r="F214" i="1"/>
  <c r="AW238" i="1"/>
  <c r="AU118" i="1"/>
  <c r="F197" i="1"/>
  <c r="W18" i="1"/>
  <c r="F262" i="1"/>
  <c r="AW18" i="1" l="1"/>
  <c r="F244" i="1"/>
  <c r="AU22" i="1"/>
  <c r="AU238" i="1"/>
  <c r="F227" i="1"/>
  <c r="H16" i="2" s="1"/>
  <c r="O18" i="1"/>
  <c r="F240" i="1"/>
  <c r="AV18" i="1"/>
  <c r="F243" i="1"/>
  <c r="AR22" i="1"/>
  <c r="AR238" i="1"/>
  <c r="F236" i="1"/>
  <c r="AY18" i="1"/>
  <c r="F246" i="1"/>
  <c r="H18" i="2" l="1"/>
  <c r="I16" i="2"/>
  <c r="I18" i="2" s="1"/>
  <c r="AU18" i="1"/>
  <c r="F257" i="1"/>
  <c r="AR18" i="1"/>
  <c r="F266" i="1"/>
  <c r="F267" i="1" l="1"/>
  <c r="F268" i="1"/>
</calcChain>
</file>

<file path=xl/sharedStrings.xml><?xml version="1.0" encoding="utf-8"?>
<sst xmlns="http://schemas.openxmlformats.org/spreadsheetml/2006/main" count="5522" uniqueCount="488">
  <si>
    <t>Smeta.RU  (495) 974-1589</t>
  </si>
  <si>
    <t>_PS_</t>
  </si>
  <si>
    <t>Smeta.RU</t>
  </si>
  <si>
    <t/>
  </si>
  <si>
    <t>920_Перовская 24. ТР-2024_(ГВС/ХВС) (СН-2012 Выпуск №2 (в ценах на 01.01.2025 г))</t>
  </si>
  <si>
    <t>Сметные нормы списания</t>
  </si>
  <si>
    <t>Коды ОКП для СН-2012 Выпуск № 2 (в ценах на 01.01.2025 г)</t>
  </si>
  <si>
    <t>СН-2012 Выпуск № 2. (в ценах на 01.01.2025) глава_1-5, 7</t>
  </si>
  <si>
    <t>Типовой расчет для СН-2012 Выпуск № 2 (в ценах на 01.01.2025 г)</t>
  </si>
  <si>
    <t>СН-2012 Выпуск № 2. База данных "Сборник стоимостных нормативов" в текущих ценах по состоянию на 01.01.2025 года</t>
  </si>
  <si>
    <t>Поправки для СН-2012 Выпуск № 2 в ценах на 01.01.2025 г от 09.01.2025</t>
  </si>
  <si>
    <t>Новая локальная смета</t>
  </si>
  <si>
    <t>Новый раздел</t>
  </si>
  <si>
    <t>2 эт. Санузел</t>
  </si>
  <si>
    <t>Новый подраздел</t>
  </si>
  <si>
    <t>ГВС/ХВС</t>
  </si>
  <si>
    <t>1</t>
  </si>
  <si>
    <t>1.15-3103-4-2/1</t>
  </si>
  <si>
    <t>Прокладка трубопроводов из напорных полиэтиленовых труб, наружным диаметром до 20 мм</t>
  </si>
  <si>
    <t>100 м</t>
  </si>
  <si>
    <t>СН-2012.1 Выпуск № 2 (в текущих ценах по состоянию на 01.01.2025 г.). Сб.5-3103-4-2/1</t>
  </si>
  <si>
    <t>*0</t>
  </si>
  <si>
    <t>*0,2</t>
  </si>
  <si>
    <t>СН-2012</t>
  </si>
  <si>
    <t>Подрядные работы, гл. 1-5,7</t>
  </si>
  <si>
    <t>работа</t>
  </si>
  <si>
    <t>1,1</t>
  </si>
  <si>
    <t>1468070000</t>
  </si>
  <si>
    <t>Средства для крепления труб</t>
  </si>
  <si>
    <t>шт.</t>
  </si>
  <si>
    <t>1,2</t>
  </si>
  <si>
    <t>2248100000</t>
  </si>
  <si>
    <t>Трубы из полиэтилена</t>
  </si>
  <si>
    <t>м</t>
  </si>
  <si>
    <t>1,3</t>
  </si>
  <si>
    <t>2248130000</t>
  </si>
  <si>
    <t>Фасонные части из полиэтилена (224815) фасонные части из полипропилена</t>
  </si>
  <si>
    <t>1,4</t>
  </si>
  <si>
    <t>3700000000</t>
  </si>
  <si>
    <t>Арматура трубопроводная</t>
  </si>
  <si>
    <t>2</t>
  </si>
  <si>
    <t>1.15-3103-3-2/1</t>
  </si>
  <si>
    <t>Прокладка трубопроводов водоснабжения из стальных водогазопроводных оцинкованных труб диаметром 20 мм</t>
  </si>
  <si>
    <t>СН-2012.1 Выпуск № 1 (в текущих ценах по состоянию на 01.10.2024 г.). Сб.15-3103-3-2/1</t>
  </si>
  <si>
    <t>2,1</t>
  </si>
  <si>
    <t>21.13-4-40</t>
  </si>
  <si>
    <t>Краны латунные шаровые муфтовые проходные, марка 11б27п, диаметр 20 мм</t>
  </si>
  <si>
    <t>СН-2012.21 Выпуск № 2 (в текущих ценах по состоянию на 01.01.2025 г.). Сб.13-4-40</t>
  </si>
  <si>
    <t>3</t>
  </si>
  <si>
    <t>3,1</t>
  </si>
  <si>
    <t>3,2</t>
  </si>
  <si>
    <t>21.12-5-142</t>
  </si>
  <si>
    <t>Трубы напорные PN10 (ном. давление 10 атм.) из полипропилена PPRC, наружный диаметр 20 мм</t>
  </si>
  <si>
    <t>СН-2012.21 Выпуск № 2 (в текущих ценах по состоянию на 01.01.2025 г.). Сб.12-5-142</t>
  </si>
  <si>
    <t>3,3</t>
  </si>
  <si>
    <t>21.12-5-345</t>
  </si>
  <si>
    <t>Трубы напорные PN20 (ном. давление 20 атм.) из полипропилена PPRC, наружный диаметр 20 мм</t>
  </si>
  <si>
    <t>СН-2012.21 Выпуск № 2 (в текущих ценах по состоянию на 01.01.2025 г.). Сб.12-5-345</t>
  </si>
  <si>
    <t>3,4</t>
  </si>
  <si>
    <t>21.12-5-424</t>
  </si>
  <si>
    <t>Угольник 90° комбинированный из сополимера полипропилена "Рандом Сополимер" РР-R тип 3 (PRC-R), наружная резьба, диаметр 32-32мм</t>
  </si>
  <si>
    <t>СН-2012.21 Выпуск № 2 (в текущих ценах по состоянию на 01.01.2025 г.). Сб.12-5-424</t>
  </si>
  <si>
    <t>3,5</t>
  </si>
  <si>
    <t>3,6</t>
  </si>
  <si>
    <t>21.12-5-388</t>
  </si>
  <si>
    <t>Муфта комбинированная разъемная из сополимера полипропилена "Рандом Сополимер" РР-R тип 3 (PRC-R), наружная резьба, диаметр 20-20мм</t>
  </si>
  <si>
    <t>СН-2012.21 Выпуск № 2 (в текущих ценах по состоянию на 01.01.2025 г.). Сб.12-5-388</t>
  </si>
  <si>
    <t>3,7</t>
  </si>
  <si>
    <t>21.12-13-2</t>
  </si>
  <si>
    <t>Муфты латунные для металлопластиковых труб, размер: 20х20 мм</t>
  </si>
  <si>
    <t>СН-2012.21 Выпуск № 2 (в текущих ценах по состоянию на 01.01.2025 г.). Сб.12-13-2</t>
  </si>
  <si>
    <t>4</t>
  </si>
  <si>
    <t>1.17-3403-3-1/1</t>
  </si>
  <si>
    <t>Установка фильтров диаметром до 25 мм (без стоимости фильтра)</t>
  </si>
  <si>
    <t>СН-2012.1 Выпуск № 2 (в текущих ценах по состоянию на 01.01.2025 г.). Сб.7-3403-3-1/1</t>
  </si>
  <si>
    <t>4,1</t>
  </si>
  <si>
    <t>3113210000</t>
  </si>
  <si>
    <t>Фильтры для очистки воды</t>
  </si>
  <si>
    <t>5</t>
  </si>
  <si>
    <t>1.15-3203-5-2/1</t>
  </si>
  <si>
    <t>Установка муфтовой арматуры диаметром 20 мм</t>
  </si>
  <si>
    <t>10 шт.</t>
  </si>
  <si>
    <t>СН-2012.1 Выпуск № 2 (в текущих ценах по состоянию на 01.01.2025 г.). Сб.5-3203-5-2/1</t>
  </si>
  <si>
    <t>6</t>
  </si>
  <si>
    <t>6,1</t>
  </si>
  <si>
    <t>21.18-7-12</t>
  </si>
  <si>
    <t>Фильтр для очистки воды сетчатые, с внутренней резьбой, максимальная температура воды 130°, условное давление 1,6 МПа, пропускная способность 15 м3/ч, диаметр условного прохода 25 мм</t>
  </si>
  <si>
    <t>СН-2012.21 Выпуск № 2 (в текущих ценах по состоянию на 01.01.2025 г.). Сб.18-7-12</t>
  </si>
  <si>
    <t>6,2</t>
  </si>
  <si>
    <t>21.18-7-10</t>
  </si>
  <si>
    <t>Фильтры для очистки воды сетчатые, с внутренней резьбой, максимальная температура воды 130°С, условное давление 1,6 МПа, диаметр условного прохода 20 мм, пропускная способность 4,5 м3/ч</t>
  </si>
  <si>
    <t>СН-2012.21 Выпуск № 2 (в текущих ценах по состоянию на 01.01.2025 г.). Сб.18-7-10</t>
  </si>
  <si>
    <t>7</t>
  </si>
  <si>
    <t>7,1</t>
  </si>
  <si>
    <t>21.13-3-40</t>
  </si>
  <si>
    <t>Клапаны обратные латунные пружинные, с наружной резьбой и металлическим затвором, тип 223, P=1,6 МПа, Tmax=80°C, диаметр условного прохода 20 мм</t>
  </si>
  <si>
    <t>СН-2012.21 Выпуск № 2 (в текущих ценах по состоянию на 01.01.2025 г.). Сб.13-3-40</t>
  </si>
  <si>
    <t>ПЗ</t>
  </si>
  <si>
    <t>Прямые затраты</t>
  </si>
  <si>
    <t>СтМатОб</t>
  </si>
  <si>
    <t>Стоимость материальных ресурсов (всего)</t>
  </si>
  <si>
    <t>СтМатОбЗак</t>
  </si>
  <si>
    <t>Стоимость материалов и оборудования заказчика</t>
  </si>
  <si>
    <t>СтМатОбПод</t>
  </si>
  <si>
    <t>Стоимость материалов и оборудования подрядчика</t>
  </si>
  <si>
    <t>СтМат</t>
  </si>
  <si>
    <t>Стоимость материалов (всего)</t>
  </si>
  <si>
    <t>СтМатЗак</t>
  </si>
  <si>
    <t>Стоимость материалов заказчика</t>
  </si>
  <si>
    <t>СтМатПод</t>
  </si>
  <si>
    <t>Стоимость материалов подрядчика</t>
  </si>
  <si>
    <t>Оборуд</t>
  </si>
  <si>
    <t>Стоимость оборудования (всего)</t>
  </si>
  <si>
    <t>ОборудЗак</t>
  </si>
  <si>
    <t>Стоимость оборудования заказчика</t>
  </si>
  <si>
    <t>ОборудПод</t>
  </si>
  <si>
    <t>Стоимость оборудования подрядчика</t>
  </si>
  <si>
    <t>ЭММ</t>
  </si>
  <si>
    <t>Эксплуатация машин</t>
  </si>
  <si>
    <t>ЭММсНРиСП</t>
  </si>
  <si>
    <t>Эксплуатация машин по ТСН-2001.16</t>
  </si>
  <si>
    <t>ЗПМ</t>
  </si>
  <si>
    <t>ЗП машинистов</t>
  </si>
  <si>
    <t>ОЗП</t>
  </si>
  <si>
    <t>Основная ЗП рабочих</t>
  </si>
  <si>
    <t>ОЗПсНРиСП</t>
  </si>
  <si>
    <t>Основная ЗП рабочих по ТСН-2001.16</t>
  </si>
  <si>
    <t>Строит</t>
  </si>
  <si>
    <t>Строительные работы с НР и СП</t>
  </si>
  <si>
    <t>Монтаж</t>
  </si>
  <si>
    <t>Монтажные работы с НР и СП</t>
  </si>
  <si>
    <t>Прочие</t>
  </si>
  <si>
    <t>Прочие работы с НР и СП</t>
  </si>
  <si>
    <t>ПрочиеЗатр</t>
  </si>
  <si>
    <t>Прочие затраты по ТСН-2001.16</t>
  </si>
  <si>
    <t>ВозврМат</t>
  </si>
  <si>
    <t>Возврат материалов</t>
  </si>
  <si>
    <t>ТрудСтр</t>
  </si>
  <si>
    <t>Трудозатраты строителей</t>
  </si>
  <si>
    <t>ТрудМаш</t>
  </si>
  <si>
    <t>Трудозатраты машинистов</t>
  </si>
  <si>
    <t>ТранспМат</t>
  </si>
  <si>
    <t>Транспорт материалов</t>
  </si>
  <si>
    <t>Перевозка</t>
  </si>
  <si>
    <t>Перевозка грузов</t>
  </si>
  <si>
    <t>НР</t>
  </si>
  <si>
    <t>Накладные расходы</t>
  </si>
  <si>
    <t>СмПриб</t>
  </si>
  <si>
    <t>Сметная прибыль</t>
  </si>
  <si>
    <t>Всего</t>
  </si>
  <si>
    <t>Всего с НР и СП</t>
  </si>
  <si>
    <t>Подвал</t>
  </si>
  <si>
    <t>ХВС</t>
  </si>
  <si>
    <t>8</t>
  </si>
  <si>
    <t>1.15-3104-1-3/1</t>
  </si>
  <si>
    <t>Разборка трубопроводов из водогазопроводных труб диаметром до 50 мм</t>
  </si>
  <si>
    <t>СН-2012.1 Выпуск № 2 (в текущих ценах по состоянию на 01.01.2025 г.). Сб.5-3104-1-3/1</t>
  </si>
  <si>
    <t>9</t>
  </si>
  <si>
    <t>1.15-3104-1-5/1</t>
  </si>
  <si>
    <t>Разборка трубопроводов из водогазопроводных труб диаметром до 80 мм</t>
  </si>
  <si>
    <t>СН-2012.1 Выпуск № 2 (в текущих ценах по состоянию на 01.01.2025 г.). Сб.5-3104-1-5/1</t>
  </si>
  <si>
    <t>10</t>
  </si>
  <si>
    <t>1.15-3103-7-2/1</t>
  </si>
  <si>
    <t>Прокладка трубопроводов водоснабжения из стальных электросварных труб диаметром 50 мм</t>
  </si>
  <si>
    <t>СН-2012.1 Выпуск № 2 (в текущих ценах по состоянию на 01.01.2025 г.). Сб.5-3103-7-2/1</t>
  </si>
  <si>
    <t>10,1</t>
  </si>
  <si>
    <t>21.12-1-12</t>
  </si>
  <si>
    <t>Узлы трубопроводов из стальных водогазопроводных оцинкованных труб с гильзами для водоснабжения, диаметр условного прохода 50мм</t>
  </si>
  <si>
    <t>СН-2012.21 Выпуск № 2 (в текущих ценах по состоянию на 01.01.2025 г.). Сб.12-1-12</t>
  </si>
  <si>
    <t>10,2</t>
  </si>
  <si>
    <t>21.12-1-30</t>
  </si>
  <si>
    <t>Узлы трубопроводов отопления, водоснабжения из стальных электросварных труб с гильзами, наружный диаметр (толщина стенки) 57х3,5мм</t>
  </si>
  <si>
    <t>СН-2012.21 Выпуск № 2 (в текущих ценах по состоянию на 01.01.2025 г.). Сб.12-1-30</t>
  </si>
  <si>
    <t>11</t>
  </si>
  <si>
    <t>1.15-3103-7-4/1</t>
  </si>
  <si>
    <t>Прокладка трубопроводов водоснабжения из стальных электросварных труб диаметром 80 мм</t>
  </si>
  <si>
    <t>СН-2012.1 Выпуск № 2 (в текущих ценах по состоянию на 01.01.2025 г.). Сб.5-3103-7-4/1</t>
  </si>
  <si>
    <t>11,1</t>
  </si>
  <si>
    <t>21.12-1-17</t>
  </si>
  <si>
    <t>Узлы трубопроводов из стальных водогазопроводных оцинкованных труб с гильзами для водоснабжения, диаметр условного прохода 90мм</t>
  </si>
  <si>
    <t>СН-2012.21 Выпуск № 2 (в текущих ценах по состоянию на 01.01.2025 г.). Сб.12-1-17</t>
  </si>
  <si>
    <t>11,2</t>
  </si>
  <si>
    <t>21.12-1-32</t>
  </si>
  <si>
    <t>Узлы трубопроводов отопления, водоснабжения из стальных электросварных труб с гильзами, наружный диаметр (толщина стенки) 89х3,5мм</t>
  </si>
  <si>
    <t>СН-2012.21 Выпуск № 2 (в текущих ценах по состоянию на 01.01.2025 г.). Сб.12-1-32</t>
  </si>
  <si>
    <t>12</t>
  </si>
  <si>
    <t>1.15-3103-3-6/1</t>
  </si>
  <si>
    <t>Прокладка трубопроводов водоснабжения из стальных водогазопроводных оцинкованных труб диаметром 50 мм</t>
  </si>
  <si>
    <t>СН-2012.1 Выпуск № 1 (в текущих ценах по состоянию на 01.10.2024 г.). Сб.15-3103-3-6/1</t>
  </si>
  <si>
    <t>13</t>
  </si>
  <si>
    <t>1.15-3103-3-8/1</t>
  </si>
  <si>
    <t>Прокладка трубопроводов водоснабжения из стальных водогазопроводных оцинкованных труб диаметром 80 мм</t>
  </si>
  <si>
    <t>СН-2012.1 Выпуск № 1 (в текущих ценах по состоянию на 01.10.2024 г.). Сб.15-3103-3-8/1</t>
  </si>
  <si>
    <t>14</t>
  </si>
  <si>
    <t>1.15-3105-1-1/1</t>
  </si>
  <si>
    <t>Врезки в действующие внутренние сети трубопроводов водоснабжения диаметром 50 мм</t>
  </si>
  <si>
    <t>СН-2012.1 Выпуск № 2 (в текущих ценах по состоянию на 01.01.2025 г.). Сб.5-3105-1-1/1</t>
  </si>
  <si>
    <t>14,1</t>
  </si>
  <si>
    <t>21.1-11-21</t>
  </si>
  <si>
    <t>Болты строительные черные с гайками и шайбами (10х100мм)</t>
  </si>
  <si>
    <t>т</t>
  </si>
  <si>
    <t>СН-2012.21 Выпуск № 2 (в текущих ценах по состоянию на 01.01.2025 г.). Сб.1-11-21</t>
  </si>
  <si>
    <t>14,2</t>
  </si>
  <si>
    <t>21.12-6-199</t>
  </si>
  <si>
    <t>Трубы стальные бесшовные горячедеформированные со снятой фаской из стали марок 15, 20, 25, ГОСТ 8732-78, наружный диаметр 57 мм, толщина стенки 3,5 мм</t>
  </si>
  <si>
    <t>СН-2012.21 Выпуск № 2 (в текущих ценах по состоянию на 01.01.2025 г.). Сб.12-6-199</t>
  </si>
  <si>
    <t>14,3</t>
  </si>
  <si>
    <t>21.12-9-9</t>
  </si>
  <si>
    <t>Фланцы стальные плоские приварные с соединительным выступом, из стали ВСт3СП, ГОСТ 12820-80, условное давление 1 (10) МПа (кгс/см2), диаметр условного прохода 50мм</t>
  </si>
  <si>
    <t>СН-2012.21 Выпуск № 2 (в текущих ценах по состоянию на 01.01.2025 г.). Сб.12-9-9</t>
  </si>
  <si>
    <t>14,4</t>
  </si>
  <si>
    <t>21.13-2-1</t>
  </si>
  <si>
    <t>Задвижки чугунные, параллельные, фланцевые с выдвижным шпинделем, для воды и пара, марка 30ч6бр, давление 1,0 (10) МПа (кгс/см2), диаметр 50 мм</t>
  </si>
  <si>
    <t>СН-2012.21 Выпуск № 2 (в текущих ценах по состоянию на 01.01.2025 г.). Сб.13-2-1</t>
  </si>
  <si>
    <t>15</t>
  </si>
  <si>
    <t>1.15-3105-2-1/1</t>
  </si>
  <si>
    <t>Гидравлическое испытание трубопроводов холодного и горячего водоснабжения диаметром до 50 мм</t>
  </si>
  <si>
    <t>СН-2012.1 Выпуск № 2 (в текущих ценах по состоянию на 01.01.2025 г.). Сб.5-3105-2-1/1</t>
  </si>
  <si>
    <t>16</t>
  </si>
  <si>
    <t>1.15-3105-2-2/1</t>
  </si>
  <si>
    <t>Гидравлическое испытание трубопроводов холодного и горячего водоснабжения диаметром до 100 мм</t>
  </si>
  <si>
    <t>СН-2012.1 Выпуск № 2 (в текущих ценах по состоянию на 01.01.2025 г.). Сб.5-3105-2-2/1</t>
  </si>
  <si>
    <t>17</t>
  </si>
  <si>
    <t>1.17-3703-23-1/1</t>
  </si>
  <si>
    <t>Изоляция трубопроводов изделиями из вспененного каучука, вспененного полиэтилена, трубками без нанесения на поверхность изоляции защитной окраски (без стоимости трубок, клея, листов, лент изоляционных)</t>
  </si>
  <si>
    <t>10 м</t>
  </si>
  <si>
    <t>СН-2012.1 Выпуск № 2 (в текущих ценах по состоянию на 01.01.2025 г.). Сб.7-3703-23-1/1</t>
  </si>
  <si>
    <t>17,1</t>
  </si>
  <si>
    <t>21.1-25-623</t>
  </si>
  <si>
    <t>Лента самоклеящаяся, ширина 50 мм, толщина 3 мм, тип "K-Flex ST"</t>
  </si>
  <si>
    <t>СН-2012.21 Выпуск № 2 (в текущих ценах по состоянию на 01.01.2025 г.). Сб.1-25-623</t>
  </si>
  <si>
    <t>17,2</t>
  </si>
  <si>
    <t>2246130000</t>
  </si>
  <si>
    <t>Листы (рулоны) из вспененного каучука и полиэтилена</t>
  </si>
  <si>
    <t>м2</t>
  </si>
  <si>
    <t>17,3</t>
  </si>
  <si>
    <t>21.1-14-113</t>
  </si>
  <si>
    <t>Трубки теплоизоляционные из вспененного полиэтилена для поверхностей с температурой от -40°C до +95°С, внутренний диаметр (толщина) 89 (13) мм</t>
  </si>
  <si>
    <t>СН-2012.21 Выпуск № 2 (в текущих ценах по состоянию на 01.01.2025 г.). Сб.1-14-113</t>
  </si>
  <si>
    <t>17,4</t>
  </si>
  <si>
    <t>21.1-14-121</t>
  </si>
  <si>
    <t>Трубки теплоизоляционные из вспененного полиэтилена для поверхностей с температурой от -40°C до +95°С, внутренний диаметр (толщина) 60 (13) мм</t>
  </si>
  <si>
    <t>СН-2012.21 Выпуск № 2 (в текущих ценах по состоянию на 01.01.2025 г.). Сб.1-14-121</t>
  </si>
  <si>
    <t>17,5</t>
  </si>
  <si>
    <t>2513110000</t>
  </si>
  <si>
    <t>Клей</t>
  </si>
  <si>
    <t>л</t>
  </si>
  <si>
    <t>НДС 20%</t>
  </si>
  <si>
    <t>Итого с НДС 20%</t>
  </si>
  <si>
    <t>Переменная</t>
  </si>
  <si>
    <t>Новая переменная</t>
  </si>
  <si>
    <t>Переменная1</t>
  </si>
  <si>
    <t>Уровень цен на 01.01.2025г.</t>
  </si>
  <si>
    <t>_OBSM_</t>
  </si>
  <si>
    <t>9999990008</t>
  </si>
  <si>
    <t>Трудозатраты рабочих</t>
  </si>
  <si>
    <t>чел.-ч.</t>
  </si>
  <si>
    <t>22.1-13-13</t>
  </si>
  <si>
    <t>СН-2012.22 Выпуск № 2 (в текущих ценах по состоянию на 01.01.2025 г.). Сб.1-13-13</t>
  </si>
  <si>
    <t>Агрегаты для сварки полиэтиленовых труб</t>
  </si>
  <si>
    <t>маш.-ч</t>
  </si>
  <si>
    <t>21.1-11-128</t>
  </si>
  <si>
    <t>СН-2012.21 Выпуск № 2 (в текущих ценах по состоянию на 01.01.2025 г.). Сб.1-11-128</t>
  </si>
  <si>
    <t>Шурупы-саморезы с полусферической головкой, с прессшайбой, наконечник острый, оцинкованные, размер 4,2х14 мм, для крепления листового металла</t>
  </si>
  <si>
    <t>кг</t>
  </si>
  <si>
    <t>21.1-11-51</t>
  </si>
  <si>
    <t>СН-2012.21 Выпуск № 2 (в текущих ценах по состоянию на 01.01.2025 г.). Сб.1-11-51</t>
  </si>
  <si>
    <t>Дюбели с насаженными шайбами</t>
  </si>
  <si>
    <t>21.1-11-80</t>
  </si>
  <si>
    <t>СН-2012.21 Выпуск № 2 (в текущих ценах по состоянию на 01.01.2025 г.). Сб.1-11-80</t>
  </si>
  <si>
    <t>Патроны, калибр 6,8/18М для дюбеля</t>
  </si>
  <si>
    <t>100 шт.</t>
  </si>
  <si>
    <t>21.1-16-121</t>
  </si>
  <si>
    <t>СН-2012.21 Выпуск № 2 (в текущих ценах по состоянию на 01.01.2025 г.). Сб.1-16-121</t>
  </si>
  <si>
    <t>Метилен хлористый технический</t>
  </si>
  <si>
    <t>21.1-16-29</t>
  </si>
  <si>
    <t>СН-2012.21 Выпуск № 2 (в текущих ценах по состоянию на 01.01.2025 г.). Сб.1-16-29</t>
  </si>
  <si>
    <t>Известь хлорная</t>
  </si>
  <si>
    <t>21.1-25-13</t>
  </si>
  <si>
    <t>СН-2012.21 Выпуск № 2 (в текущих ценах по состоянию на 01.01.2025 г.). Сб.1-25-13</t>
  </si>
  <si>
    <t>Вода</t>
  </si>
  <si>
    <t>м3</t>
  </si>
  <si>
    <t>21.1-25-83</t>
  </si>
  <si>
    <t>СН-2012.21 Выпуск № 2 (в текущих ценах по состоянию на 01.01.2025 г.). Сб.1-25-83</t>
  </si>
  <si>
    <t>Клей 88НП, 88-Н</t>
  </si>
  <si>
    <t>22.1-13-10</t>
  </si>
  <si>
    <t>СН-2012.22 Выпуск № 2 (в текущих ценах по состоянию на 01.01.2025 г.). Сб.1-13-10</t>
  </si>
  <si>
    <t>Агрегаты сварочные однопостовые для ручной электродуговой сварки</t>
  </si>
  <si>
    <t>21.12-10-22</t>
  </si>
  <si>
    <t>СН-2012.21 Выпуск № 2 (в текущих ценах по состоянию на 01.01.2025 г.). Сб.12-10-22</t>
  </si>
  <si>
    <t>Средства для крепления радиаторов на кирпичных и бетонных стенах, крючки для труб, диаметр труб, мм, 50</t>
  </si>
  <si>
    <t>1000 шт.</t>
  </si>
  <si>
    <t>21.12-1-8</t>
  </si>
  <si>
    <t>СН-2012.21 Выпуск № 2 (в текущих ценах по состоянию на 01.01.2025 г.). Сб.12-1-8</t>
  </si>
  <si>
    <t>Узлы трубопроводов из стальных водогазопроводных оцинкованных труб с гильзами для водоснабжения, диаметр условного прохода 20мм</t>
  </si>
  <si>
    <t>21.1-23-2</t>
  </si>
  <si>
    <t>СН-2012.21 Выпуск № 2 (в текущих ценах по состоянию на 01.01.2025 г.). Сб.1-23-2</t>
  </si>
  <si>
    <t>Проволока электродная порошковая для дуговой сварки</t>
  </si>
  <si>
    <t>21.1-25-16</t>
  </si>
  <si>
    <t>СН-2012.21 Выпуск № 2 (в текущих ценах по состоянию на 01.01.2025 г.). Сб.1-25-16</t>
  </si>
  <si>
    <t>Волокно льняное №11 для уплотнения резьбовых соединений при монтаже систем водоснабжения и отопления</t>
  </si>
  <si>
    <t>21.1-4-10</t>
  </si>
  <si>
    <t>СН-2012.21 Выпуск № 2 (в текущих ценах по состоянию на 01.01.2025 г.). Сб.1-4-10</t>
  </si>
  <si>
    <t>Кислород технический газообразный</t>
  </si>
  <si>
    <t>21.1-4-2</t>
  </si>
  <si>
    <t>СН-2012.21 Выпуск № 2 (в текущих ценах по состоянию на 01.01.2025 г.). Сб.1-4-2</t>
  </si>
  <si>
    <t>Ацетилен технический</t>
  </si>
  <si>
    <t>21.1-6-46</t>
  </si>
  <si>
    <t>СН-2012.21 Выпуск № 2 (в текущих ценах по состоянию на 01.01.2025 г.). Сб.1-6-46</t>
  </si>
  <si>
    <t>Краски масляные жидкотертые цветные (готовые к употреблению) для наружных и внутренних работ, марка МА-15, сурик железный для окраски по металлу</t>
  </si>
  <si>
    <t>21.1-6-90</t>
  </si>
  <si>
    <t>СН-2012.21 Выпуск № 2 (в текущих ценах по состоянию на 01.01.2025 г.). Сб.1-6-90</t>
  </si>
  <si>
    <t>Олифа для окраски комбинированная оксоль</t>
  </si>
  <si>
    <t>22.1-13-14</t>
  </si>
  <si>
    <t>СН-2012.22 Выпуск № 2 (в текущих ценах по состоянию на 01.01.2025 г.). Сб.1-13-14</t>
  </si>
  <si>
    <t>Установки для сварки ручной дуговой (постоянного тока)</t>
  </si>
  <si>
    <t>21.1-23-9</t>
  </si>
  <si>
    <t>СН-2012.21 Выпуск № 2 (в текущих ценах по состоянию на 01.01.2025 г.). Сб.1-23-9</t>
  </si>
  <si>
    <t>Электроды, тип Э-42, 46, 50, диаметр 4 - 6 мм</t>
  </si>
  <si>
    <t>22.1-13-15</t>
  </si>
  <si>
    <t>СН-2012.22 Выпуск № 2 (в текущих ценах по состоянию на 01.01.2025 г.). Сб.1-13-15</t>
  </si>
  <si>
    <t>Аппараты сварочные</t>
  </si>
  <si>
    <t>9999990001</t>
  </si>
  <si>
    <t>Масса мусора</t>
  </si>
  <si>
    <t>22.1-13-16</t>
  </si>
  <si>
    <t>СН-2012.22 Выпуск № 2 (в текущих ценах по состоянию на 01.01.2025 г.). Сб.1-13-16</t>
  </si>
  <si>
    <t>Аппараты для газовой сварки и резки</t>
  </si>
  <si>
    <t>21.1-23-1</t>
  </si>
  <si>
    <t>СН-2012.21 Выпуск № 2 (в текущих ценах по состоянию на 01.01.2025 г.). Сб.1-23-1</t>
  </si>
  <si>
    <t>Проволока сварочная, марка СВ-08 Г2С, диаметр 2 мм</t>
  </si>
  <si>
    <t>21.3-2-15</t>
  </si>
  <si>
    <t>СН-2012.21 Выпуск № 2 (в текущих ценах по состоянию на 01.01.2025 г.). Сб.3-2-15</t>
  </si>
  <si>
    <t>Растворы цементные, марка 100</t>
  </si>
  <si>
    <t>21.12-10-23</t>
  </si>
  <si>
    <t>СН-2012.21 Выпуск № 2 (в текущих ценах по состоянию на 01.01.2025 г.). Сб.12-10-23</t>
  </si>
  <si>
    <t>Средства для крепления радиаторов на кирпичных и бетонных стенах, крючки для труб, диаметр труб, мм, 100</t>
  </si>
  <si>
    <t>21.1-11-134</t>
  </si>
  <si>
    <t>СН-2012.21 Выпуск № 2 (в текущих ценах по состоянию на 01.01.2025 г.). Сб.1-11-134</t>
  </si>
  <si>
    <t>Клипсы для крепления изоляции</t>
  </si>
  <si>
    <t>Фасонные части из полиэтилена</t>
  </si>
  <si>
    <t>СН-2012.22 Выпуск № 1 (в текущих ценах по состоянию на 01.10.2024 г.). Сб.1-13-10</t>
  </si>
  <si>
    <t>СН-2012.21 Выпуск № 1 (в текущих ценах по состоянию на 01.10.2024 г.). Сб.12-10-22</t>
  </si>
  <si>
    <t>СН-2012.21 Выпуск № 1 (в текущих ценах по состоянию на 01.10.2024 г.). Сб.12-1-8</t>
  </si>
  <si>
    <t>СН-2012.21 Выпуск № 1 (в текущих ценах по состоянию на 01.10.2024 г.). Сб.1-23-2</t>
  </si>
  <si>
    <t>СН-2012.21 Выпуск № 1 (в текущих ценах по состоянию на 01.10.2024 г.). Сб.1-25-13</t>
  </si>
  <si>
    <t>СН-2012.21 Выпуск № 1 (в текущих ценах по состоянию на 01.10.2024 г.). Сб.1-25-16</t>
  </si>
  <si>
    <t>СН-2012.21 Выпуск № 1 (в текущих ценах по состоянию на 01.10.2024 г.). Сб.1-4-10</t>
  </si>
  <si>
    <t>СН-2012.21 Выпуск № 1 (в текущих ценах по состоянию на 01.10.2024 г.). Сб.1-4-2</t>
  </si>
  <si>
    <t>СН-2012.21 Выпуск № 1 (в текущих ценах по состоянию на 01.10.2024 г.). Сб.1-6-46</t>
  </si>
  <si>
    <t>СН-2012.21 Выпуск № 1 (в текущих ценах по состоянию на 01.10.2024 г.). Сб.1-6-90</t>
  </si>
  <si>
    <t>Олифа для окраски комбинированная "Оксоль"</t>
  </si>
  <si>
    <t>22.1-30-79</t>
  </si>
  <si>
    <t>СН-2012.22 Выпуск № 2 (в текущих ценах по состоянию на 01.01.2025 г.). Сб.1-30-79</t>
  </si>
  <si>
    <t>Машины отрезные, диаметр диска 230 мм</t>
  </si>
  <si>
    <t>СН-2012.21 Выпуск № 1 (в текущих ценах по состоянию на 01.10.2024 г.). Сб.12-1-12</t>
  </si>
  <si>
    <t>СН-2012.21 Выпуск № 1 (в текущих ценах по состоянию на 01.10.2024 г.). Сб.12-10-23</t>
  </si>
  <si>
    <t>21.12-1-15</t>
  </si>
  <si>
    <t>СН-2012.21 Выпуск № 1 (в текущих ценах по состоянию на 01.10.2024 г.). Сб.12-1-15</t>
  </si>
  <si>
    <t>Узлы трубопроводов из стальных водогазопроводных оцинкованных труб с гильзами для водоснабжения, диаметр условного прохода 80мм</t>
  </si>
  <si>
    <t>СН-2012.21 Выпуск № 1 (в текущих ценах по состоянию на 01.10.2024 г.). Сб.3-2-15</t>
  </si>
  <si>
    <t>21.1-23-10</t>
  </si>
  <si>
    <t>СН-2012.21 Выпуск № 2 (в текущих ценах по состоянию на 01.01.2025 г.). Сб.1-23-10</t>
  </si>
  <si>
    <t>Электроды, тип Э-42А, диаметр 4-6 мм</t>
  </si>
  <si>
    <t>2245300000</t>
  </si>
  <si>
    <t>Ленты изоляционные</t>
  </si>
  <si>
    <t>2247120000</t>
  </si>
  <si>
    <t>Трубки из вспененного каучука и полиэтилена</t>
  </si>
  <si>
    <t>"СОГЛАСОВАНО"</t>
  </si>
  <si>
    <t>"УТВЕРЖДАЮ"</t>
  </si>
  <si>
    <t>Форма № 1а (глава 1-5)</t>
  </si>
  <si>
    <t>"_____"________________ 2025 г.</t>
  </si>
  <si>
    <t>(локальный сметный расчет)</t>
  </si>
  <si>
    <t>(наименование работ и затрат, наименование объекта)</t>
  </si>
  <si>
    <t>Сметная стоимость</t>
  </si>
  <si>
    <t>тыс.руб</t>
  </si>
  <si>
    <t>Строительные работы</t>
  </si>
  <si>
    <t>Монтажные работы</t>
  </si>
  <si>
    <t>Оборудование</t>
  </si>
  <si>
    <t>Прочие работы</t>
  </si>
  <si>
    <t>Средства на оплату труда</t>
  </si>
  <si>
    <t>№№ п/п</t>
  </si>
  <si>
    <t>Шифр расценки и коды ресурсов</t>
  </si>
  <si>
    <t>Наименование работ и затрат</t>
  </si>
  <si>
    <t>Единица измерения</t>
  </si>
  <si>
    <t>Кол-во единиц</t>
  </si>
  <si>
    <t>Цена на ед. изм. руб.</t>
  </si>
  <si>
    <t>Попра-вочные коэфф.</t>
  </si>
  <si>
    <t>Коэфф. зимних удоро-жаний</t>
  </si>
  <si>
    <t>Коэфф. пересчета</t>
  </si>
  <si>
    <t>ВСЕГО затрат, руб.</t>
  </si>
  <si>
    <t>Справочно</t>
  </si>
  <si>
    <t>ЗТР, всего чел.-час</t>
  </si>
  <si>
    <t>Ст-ть ед. с начислен.</t>
  </si>
  <si>
    <t>Составлен(а) в уровне текущих (прогнозных) цен на I квартал 2025 года</t>
  </si>
  <si>
    <t>ЗП</t>
  </si>
  <si>
    <t>ЭМ</t>
  </si>
  <si>
    <t>в т.ч. ЗПМ</t>
  </si>
  <si>
    <t>НР от ЗП</t>
  </si>
  <si>
    <t>%</t>
  </si>
  <si>
    <t>СП от ЗП</t>
  </si>
  <si>
    <t>НР и СП от ЗПМ</t>
  </si>
  <si>
    <t>ЗТР</t>
  </si>
  <si>
    <t>чел-ч</t>
  </si>
  <si>
    <t>МР</t>
  </si>
  <si>
    <t xml:space="preserve">Составил   </t>
  </si>
  <si>
    <t>[должность,подпись(инициалы,фамилия)]</t>
  </si>
  <si>
    <t xml:space="preserve">Проверил   </t>
  </si>
  <si>
    <t>" ___ " ___________ 20 ___ г.</t>
  </si>
  <si>
    <t xml:space="preserve">Мы, нижеподписавшиеся, произвели осмотр объекта </t>
  </si>
  <si>
    <t xml:space="preserve">и постановили произвести ремонт объекта в </t>
  </si>
  <si>
    <t>следующем объеме:</t>
  </si>
  <si>
    <t>№ п/п</t>
  </si>
  <si>
    <t>Количество</t>
  </si>
  <si>
    <t>Примечание</t>
  </si>
  <si>
    <t>Заказчик _________________</t>
  </si>
  <si>
    <t>Подрядчик _________________</t>
  </si>
  <si>
    <t>TYPE</t>
  </si>
  <si>
    <t>SOURCE_LINK</t>
  </si>
  <si>
    <t>RABMAT_EX</t>
  </si>
  <si>
    <t>TIP_RAB</t>
  </si>
  <si>
    <t>TYPE_TRUD</t>
  </si>
  <si>
    <t>TAB</t>
  </si>
  <si>
    <t>NAME</t>
  </si>
  <si>
    <t>EDIZM</t>
  </si>
  <si>
    <t>KOLL</t>
  </si>
  <si>
    <t>UCH</t>
  </si>
  <si>
    <t>PRICE_B</t>
  </si>
  <si>
    <t>PRICE_ED</t>
  </si>
  <si>
    <t>STOIM_B</t>
  </si>
  <si>
    <t>PRICE_C</t>
  </si>
  <si>
    <t>STOIM_C</t>
  </si>
  <si>
    <t>ZPM_B</t>
  </si>
  <si>
    <t>ZPM_ED</t>
  </si>
  <si>
    <t>STOIM_ZPM_B</t>
  </si>
  <si>
    <t>ZPM_C</t>
  </si>
  <si>
    <t>STOIM_ZPM_C</t>
  </si>
  <si>
    <t>CRC_GR_RES</t>
  </si>
  <si>
    <t>CRC_B</t>
  </si>
  <si>
    <t>CRC_C</t>
  </si>
  <si>
    <t>RABMAT</t>
  </si>
  <si>
    <t>WBS</t>
  </si>
  <si>
    <t>CBSI</t>
  </si>
  <si>
    <t>CBSII</t>
  </si>
  <si>
    <t>TechSpecCVORPP</t>
  </si>
  <si>
    <t>BuildingFinished</t>
  </si>
  <si>
    <t>PEREVOZKA</t>
  </si>
  <si>
    <t>Trud</t>
  </si>
  <si>
    <t>Mash</t>
  </si>
  <si>
    <t>Mat</t>
  </si>
  <si>
    <t>MatZak</t>
  </si>
  <si>
    <t>Oborud</t>
  </si>
  <si>
    <t>OborudZak</t>
  </si>
  <si>
    <t>ZeroStoim</t>
  </si>
  <si>
    <t>NegativeKoll</t>
  </si>
  <si>
    <t>ReUnionKollResurcy</t>
  </si>
  <si>
    <t>UnionOneUchRes</t>
  </si>
  <si>
    <t>IdLevel</t>
  </si>
  <si>
    <t>ViewCodes</t>
  </si>
  <si>
    <t>UnionCodes</t>
  </si>
  <si>
    <t>Ресурсная ведомость на</t>
  </si>
  <si>
    <t>Объект: 920_Перовская 24. ТР-2024_(ГВС/ХВС) (СН-2012 Выпуск №2 (в ценах на 01.01.2025 г))</t>
  </si>
  <si>
    <t>Обоснование</t>
  </si>
  <si>
    <t>Наименование</t>
  </si>
  <si>
    <t>Объем</t>
  </si>
  <si>
    <t>Базовая</t>
  </si>
  <si>
    <t>цена</t>
  </si>
  <si>
    <t>стоимость</t>
  </si>
  <si>
    <t>Текущая стоимость</t>
  </si>
  <si>
    <t xml:space="preserve">Машины и механизмы </t>
  </si>
  <si>
    <t xml:space="preserve">Итого машины и механизмы </t>
  </si>
  <si>
    <t xml:space="preserve">Материальные ресурсы </t>
  </si>
  <si>
    <t xml:space="preserve">Итого материальные ресурсы </t>
  </si>
  <si>
    <t>за вычетом возврата лома</t>
  </si>
  <si>
    <t>Возврат материалов (стоимость по анализу цен из открытых источников):</t>
  </si>
  <si>
    <t xml:space="preserve"> наименование</t>
  </si>
  <si>
    <t>ед.изм.</t>
  </si>
  <si>
    <t>кол-во</t>
  </si>
  <si>
    <t>масса ед., т</t>
  </si>
  <si>
    <t>всего масса,т</t>
  </si>
  <si>
    <t>вид лома</t>
  </si>
  <si>
    <t>цена т, руб.</t>
  </si>
  <si>
    <t>стоимость, руб.</t>
  </si>
  <si>
    <t>12А</t>
  </si>
  <si>
    <t>итого</t>
  </si>
  <si>
    <t>Директор ГБОУ Школа № 920</t>
  </si>
  <si>
    <t>К.О. Иноземцева</t>
  </si>
  <si>
    <t>В случае, если настоящая документация содержит указания на марки, модели или наименования производителя оборудования, то такое указание считается установленным под условием – «или эквивалент»</t>
  </si>
  <si>
    <t xml:space="preserve">Директор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</si>
</sst>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mmmm"/>
    <numFmt numFmtId="165" formatCode="#,##0.00;[Red]\-\ #,##0.00"/>
  </numFmts>
  <fonts count="20" x14ac:knownFonts="1">
    <font>
      <sz val="10"/>
      <name val="Arial"/>
      <charset val="204"/>
    </font>
    <font>
      <b/>
      <sz val="10"/>
      <color indexed="12"/>
      <name val="Arial"/>
      <family val="2"/>
      <charset val="204"/>
    </font>
    <font>
      <b/>
      <sz val="10"/>
      <color indexed="16"/>
      <name val="Arial"/>
      <family val="2"/>
      <charset val="204"/>
    </font>
    <font>
      <b/>
      <sz val="10"/>
      <color indexed="20"/>
      <name val="Arial"/>
      <family val="2"/>
      <charset val="204"/>
    </font>
    <font>
      <b/>
      <sz val="10"/>
      <color indexed="17"/>
      <name val="Arial"/>
      <family val="2"/>
      <charset val="204"/>
    </font>
    <font>
      <b/>
      <sz val="10"/>
      <color indexed="14"/>
      <name val="Arial"/>
      <family val="2"/>
      <charset val="204"/>
    </font>
    <font>
      <sz val="10"/>
      <color indexed="12"/>
      <name val="Arial"/>
      <family val="2"/>
      <charset val="204"/>
    </font>
    <font>
      <sz val="10"/>
      <color indexed="14"/>
      <name val="Arial"/>
      <family val="2"/>
      <charset val="204"/>
    </font>
    <font>
      <sz val="10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9"/>
      <name val="Arial"/>
      <family val="2"/>
      <charset val="204"/>
    </font>
    <font>
      <sz val="11"/>
      <name val="Arial"/>
      <family val="2"/>
      <charset val="204"/>
    </font>
    <font>
      <b/>
      <sz val="13"/>
      <name val="Arial"/>
      <family val="2"/>
      <charset val="204"/>
    </font>
    <font>
      <b/>
      <sz val="12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i/>
      <sz val="11"/>
      <name val="Arial"/>
      <family val="2"/>
      <charset val="204"/>
    </font>
    <font>
      <sz val="13"/>
      <name val="Arial"/>
      <family val="2"/>
      <charset val="204"/>
    </font>
    <font>
      <b/>
      <sz val="11"/>
      <name val="Arial"/>
      <family val="2"/>
      <charset val="204"/>
    </font>
    <font>
      <b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auto="1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107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7" fillId="0" borderId="0" xfId="0" applyFont="1"/>
    <xf numFmtId="0" fontId="10" fillId="0" borderId="0" xfId="0" applyFont="1"/>
    <xf numFmtId="0" fontId="11" fillId="0" borderId="0" xfId="0" applyFont="1" applyAlignment="1">
      <alignment horizontal="right"/>
    </xf>
    <xf numFmtId="0" fontId="11" fillId="0" borderId="0" xfId="0" applyFont="1"/>
    <xf numFmtId="0" fontId="12" fillId="0" borderId="0" xfId="0" applyFont="1" applyAlignment="1"/>
    <xf numFmtId="0" fontId="11" fillId="0" borderId="0" xfId="0" applyFont="1" applyAlignment="1"/>
    <xf numFmtId="0" fontId="11" fillId="0" borderId="0" xfId="0" applyFont="1" applyBorder="1" applyAlignment="1">
      <alignment horizontal="left"/>
    </xf>
    <xf numFmtId="0" fontId="11" fillId="0" borderId="0" xfId="0" applyFont="1" applyAlignment="1">
      <alignment horizontal="left"/>
    </xf>
    <xf numFmtId="0" fontId="11" fillId="0" borderId="0" xfId="0" applyFont="1" applyBorder="1" applyAlignment="1">
      <alignment wrapText="1"/>
    </xf>
    <xf numFmtId="164" fontId="11" fillId="0" borderId="0" xfId="0" applyNumberFormat="1" applyFont="1"/>
    <xf numFmtId="1" fontId="11" fillId="0" borderId="0" xfId="0" applyNumberFormat="1" applyFont="1"/>
    <xf numFmtId="0" fontId="16" fillId="0" borderId="3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 wrapText="1"/>
    </xf>
    <xf numFmtId="0" fontId="11" fillId="0" borderId="0" xfId="0" applyFont="1" applyAlignment="1">
      <alignment horizontal="left" vertical="top" wrapText="1"/>
    </xf>
    <xf numFmtId="0" fontId="16" fillId="0" borderId="0" xfId="0" applyFont="1" applyAlignment="1">
      <alignment horizontal="right" wrapText="1"/>
    </xf>
    <xf numFmtId="0" fontId="11" fillId="0" borderId="0" xfId="0" applyFont="1" applyAlignment="1">
      <alignment horizontal="right" wrapText="1"/>
    </xf>
    <xf numFmtId="165" fontId="11" fillId="0" borderId="0" xfId="0" applyNumberFormat="1" applyFont="1" applyAlignment="1">
      <alignment horizontal="right"/>
    </xf>
    <xf numFmtId="165" fontId="16" fillId="0" borderId="0" xfId="0" applyNumberFormat="1" applyFont="1" applyAlignment="1">
      <alignment horizontal="right"/>
    </xf>
    <xf numFmtId="165" fontId="0" fillId="0" borderId="0" xfId="0" applyNumberFormat="1"/>
    <xf numFmtId="0" fontId="18" fillId="0" borderId="0" xfId="0" applyFont="1" applyAlignment="1">
      <alignment horizontal="right"/>
    </xf>
    <xf numFmtId="0" fontId="0" fillId="0" borderId="6" xfId="0" applyBorder="1"/>
    <xf numFmtId="165" fontId="18" fillId="0" borderId="6" xfId="0" applyNumberFormat="1" applyFont="1" applyBorder="1" applyAlignment="1">
      <alignment horizontal="right"/>
    </xf>
    <xf numFmtId="0" fontId="8" fillId="0" borderId="0" xfId="0" applyFont="1" applyAlignment="1">
      <alignment vertical="top" wrapText="1"/>
    </xf>
    <xf numFmtId="0" fontId="11" fillId="0" borderId="0" xfId="0" quotePrefix="1" applyFont="1" applyAlignment="1">
      <alignment horizontal="right" wrapText="1"/>
    </xf>
    <xf numFmtId="0" fontId="18" fillId="0" borderId="0" xfId="0" applyFont="1"/>
    <xf numFmtId="0" fontId="18" fillId="0" borderId="0" xfId="0" applyFont="1" applyAlignment="1">
      <alignment horizontal="left" wrapText="1"/>
    </xf>
    <xf numFmtId="0" fontId="11" fillId="0" borderId="1" xfId="0" applyFont="1" applyBorder="1"/>
    <xf numFmtId="0" fontId="18" fillId="0" borderId="0" xfId="0" applyFont="1" applyBorder="1" applyAlignment="1">
      <alignment horizontal="right"/>
    </xf>
    <xf numFmtId="0" fontId="18" fillId="0" borderId="0" xfId="0" applyFont="1" applyAlignment="1">
      <alignment horizontal="left" vertical="top"/>
    </xf>
    <xf numFmtId="0" fontId="11" fillId="0" borderId="2" xfId="0" applyFont="1" applyBorder="1" applyAlignment="1">
      <alignment horizontal="center" vertical="center" wrapText="1"/>
    </xf>
    <xf numFmtId="0" fontId="18" fillId="0" borderId="0" xfId="0" applyFont="1" applyAlignment="1">
      <alignment horizontal="center" wrapText="1"/>
    </xf>
    <xf numFmtId="0" fontId="11" fillId="0" borderId="2" xfId="0" applyFont="1" applyBorder="1" applyAlignment="1">
      <alignment horizontal="center"/>
    </xf>
    <xf numFmtId="0" fontId="11" fillId="0" borderId="2" xfId="0" applyFont="1" applyFill="1" applyBorder="1" applyAlignment="1">
      <alignment horizontal="center"/>
    </xf>
    <xf numFmtId="0" fontId="11" fillId="0" borderId="3" xfId="0" applyFont="1" applyBorder="1" applyAlignment="1">
      <alignment horizontal="left" vertical="top" wrapText="1"/>
    </xf>
    <xf numFmtId="0" fontId="11" fillId="0" borderId="3" xfId="0" applyFont="1" applyBorder="1" applyAlignment="1">
      <alignment horizontal="left" wrapText="1"/>
    </xf>
    <xf numFmtId="0" fontId="11" fillId="0" borderId="3" xfId="0" applyFont="1" applyBorder="1" applyAlignment="1">
      <alignment horizontal="right" wrapText="1"/>
    </xf>
    <xf numFmtId="0" fontId="11" fillId="0" borderId="3" xfId="0" applyFont="1" applyBorder="1" applyAlignment="1">
      <alignment horizontal="right"/>
    </xf>
    <xf numFmtId="0" fontId="11" fillId="0" borderId="2" xfId="0" applyFont="1" applyBorder="1" applyAlignment="1">
      <alignment horizontal="left" vertical="top" wrapText="1"/>
    </xf>
    <xf numFmtId="0" fontId="11" fillId="0" borderId="2" xfId="0" applyFont="1" applyBorder="1" applyAlignment="1">
      <alignment horizontal="left" wrapText="1"/>
    </xf>
    <xf numFmtId="0" fontId="11" fillId="0" borderId="2" xfId="0" applyFont="1" applyBorder="1" applyAlignment="1">
      <alignment horizontal="right" wrapText="1"/>
    </xf>
    <xf numFmtId="0" fontId="11" fillId="0" borderId="2" xfId="0" applyFont="1" applyBorder="1" applyAlignment="1">
      <alignment horizontal="right"/>
    </xf>
    <xf numFmtId="0" fontId="12" fillId="0" borderId="3" xfId="0" quotePrefix="1" applyFont="1" applyBorder="1" applyAlignment="1">
      <alignment horizontal="center" vertical="center" wrapText="1"/>
    </xf>
    <xf numFmtId="49" fontId="11" fillId="0" borderId="3" xfId="0" applyNumberFormat="1" applyFont="1" applyBorder="1" applyAlignment="1">
      <alignment horizontal="left" vertical="top" wrapText="1"/>
    </xf>
    <xf numFmtId="165" fontId="11" fillId="0" borderId="3" xfId="0" applyNumberFormat="1" applyFont="1" applyBorder="1" applyAlignment="1">
      <alignment horizontal="right" wrapText="1"/>
    </xf>
    <xf numFmtId="0" fontId="18" fillId="0" borderId="3" xfId="0" applyFont="1" applyBorder="1" applyAlignment="1">
      <alignment horizontal="right"/>
    </xf>
    <xf numFmtId="0" fontId="9" fillId="0" borderId="0" xfId="0" applyFont="1" applyFill="1"/>
    <xf numFmtId="0" fontId="19" fillId="0" borderId="0" xfId="0" applyFont="1" applyFill="1" applyAlignment="1"/>
    <xf numFmtId="0" fontId="19" fillId="0" borderId="0" xfId="0" applyFont="1" applyFill="1" applyAlignment="1">
      <alignment wrapText="1"/>
    </xf>
    <xf numFmtId="165" fontId="18" fillId="0" borderId="0" xfId="0" applyNumberFormat="1" applyFont="1" applyFill="1" applyAlignment="1">
      <alignment horizontal="right"/>
    </xf>
    <xf numFmtId="0" fontId="9" fillId="0" borderId="0" xfId="0" applyFont="1" applyFill="1" applyAlignment="1">
      <alignment wrapText="1"/>
    </xf>
    <xf numFmtId="0" fontId="18" fillId="0" borderId="0" xfId="0" quotePrefix="1" applyFont="1" applyFill="1" applyAlignment="1">
      <alignment horizontal="left" wrapText="1"/>
    </xf>
    <xf numFmtId="0" fontId="0" fillId="0" borderId="0" xfId="0" applyFont="1" applyFill="1" applyAlignment="1">
      <alignment wrapText="1"/>
    </xf>
    <xf numFmtId="0" fontId="8" fillId="0" borderId="3" xfId="0" applyFont="1" applyFill="1" applyBorder="1" applyAlignment="1">
      <alignment wrapText="1"/>
    </xf>
    <xf numFmtId="0" fontId="8" fillId="0" borderId="3" xfId="0" applyFont="1" applyFill="1" applyBorder="1"/>
    <xf numFmtId="0" fontId="11" fillId="0" borderId="0" xfId="0" quotePrefix="1" applyFont="1" applyFill="1" applyAlignment="1">
      <alignment horizontal="left" wrapText="1"/>
    </xf>
    <xf numFmtId="0" fontId="0" fillId="0" borderId="0" xfId="0" applyFont="1" applyFill="1"/>
    <xf numFmtId="0" fontId="10" fillId="0" borderId="3" xfId="0" applyFont="1" applyFill="1" applyBorder="1" applyAlignment="1">
      <alignment wrapText="1"/>
    </xf>
    <xf numFmtId="2" fontId="8" fillId="0" borderId="3" xfId="0" applyNumberFormat="1" applyFont="1" applyFill="1" applyBorder="1"/>
    <xf numFmtId="4" fontId="8" fillId="0" borderId="3" xfId="0" applyNumberFormat="1" applyFont="1" applyFill="1" applyBorder="1"/>
    <xf numFmtId="0" fontId="19" fillId="0" borderId="3" xfId="0" applyFont="1" applyFill="1" applyBorder="1" applyAlignment="1">
      <alignment wrapText="1"/>
    </xf>
    <xf numFmtId="0" fontId="19" fillId="0" borderId="3" xfId="0" applyFont="1" applyFill="1" applyBorder="1"/>
    <xf numFmtId="4" fontId="19" fillId="0" borderId="3" xfId="0" applyNumberFormat="1" applyFont="1" applyFill="1" applyBorder="1"/>
    <xf numFmtId="0" fontId="11" fillId="0" borderId="0" xfId="0" applyFont="1" applyAlignment="1">
      <alignment horizontal="right" vertical="center"/>
    </xf>
    <xf numFmtId="0" fontId="10" fillId="0" borderId="5" xfId="0" applyFont="1" applyBorder="1" applyAlignment="1">
      <alignment horizontal="center"/>
    </xf>
    <xf numFmtId="0" fontId="11" fillId="0" borderId="0" xfId="0" applyFont="1" applyAlignment="1">
      <alignment horizontal="left" wrapText="1"/>
    </xf>
    <xf numFmtId="165" fontId="11" fillId="0" borderId="0" xfId="0" applyNumberFormat="1" applyFont="1" applyAlignment="1">
      <alignment horizontal="right"/>
    </xf>
    <xf numFmtId="165" fontId="18" fillId="0" borderId="0" xfId="0" applyNumberFormat="1" applyFont="1" applyAlignment="1">
      <alignment horizontal="right"/>
    </xf>
    <xf numFmtId="0" fontId="18" fillId="0" borderId="0" xfId="0" applyFont="1" applyAlignment="1">
      <alignment horizontal="right"/>
    </xf>
    <xf numFmtId="0" fontId="18" fillId="0" borderId="0" xfId="0" applyFont="1" applyAlignment="1">
      <alignment horizontal="left" wrapText="1"/>
    </xf>
    <xf numFmtId="165" fontId="18" fillId="0" borderId="6" xfId="0" applyNumberFormat="1" applyFont="1" applyBorder="1" applyAlignment="1">
      <alignment horizontal="right"/>
    </xf>
    <xf numFmtId="0" fontId="12" fillId="0" borderId="0" xfId="0" applyFont="1" applyAlignment="1">
      <alignment horizont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0" xfId="0" applyFont="1" applyAlignment="1">
      <alignment horizontal="left"/>
    </xf>
    <xf numFmtId="0" fontId="11" fillId="0" borderId="0" xfId="0" applyFont="1" applyAlignment="1">
      <alignment horizontal="right"/>
    </xf>
    <xf numFmtId="0" fontId="15" fillId="0" borderId="1" xfId="0" applyFont="1" applyBorder="1" applyAlignment="1">
      <alignment horizontal="center" wrapText="1"/>
    </xf>
    <xf numFmtId="0" fontId="10" fillId="0" borderId="0" xfId="0" applyFont="1" applyAlignment="1">
      <alignment horizontal="center" wrapText="1"/>
    </xf>
    <xf numFmtId="0" fontId="0" fillId="0" borderId="0" xfId="0" applyAlignment="1"/>
    <xf numFmtId="0" fontId="11" fillId="0" borderId="0" xfId="0" applyFont="1" applyBorder="1" applyAlignment="1">
      <alignment horizontal="left" wrapText="1"/>
    </xf>
    <xf numFmtId="0" fontId="13" fillId="0" borderId="1" xfId="0" applyFont="1" applyBorder="1" applyAlignment="1">
      <alignment horizontal="center" wrapText="1"/>
    </xf>
    <xf numFmtId="0" fontId="14" fillId="0" borderId="1" xfId="0" applyFont="1" applyBorder="1" applyAlignment="1">
      <alignment horizontal="center" wrapText="1"/>
    </xf>
    <xf numFmtId="0" fontId="15" fillId="0" borderId="0" xfId="0" applyFont="1" applyAlignment="1">
      <alignment horizontal="center" wrapText="1"/>
    </xf>
    <xf numFmtId="0" fontId="13" fillId="0" borderId="0" xfId="0" applyFont="1" applyAlignment="1">
      <alignment horizontal="left"/>
    </xf>
    <xf numFmtId="0" fontId="12" fillId="0" borderId="2" xfId="0" applyFont="1" applyBorder="1" applyAlignment="1">
      <alignment horizontal="center" wrapText="1"/>
    </xf>
    <xf numFmtId="0" fontId="18" fillId="0" borderId="0" xfId="0" applyFont="1" applyBorder="1" applyAlignment="1">
      <alignment horizontal="right"/>
    </xf>
    <xf numFmtId="0" fontId="13" fillId="0" borderId="0" xfId="0" applyFont="1" applyAlignment="1">
      <alignment horizontal="center" wrapText="1"/>
    </xf>
    <xf numFmtId="0" fontId="18" fillId="0" borderId="0" xfId="0" applyFont="1" applyAlignment="1">
      <alignment horizontal="center" wrapText="1"/>
    </xf>
    <xf numFmtId="0" fontId="18" fillId="0" borderId="3" xfId="0" applyFont="1" applyBorder="1" applyAlignment="1">
      <alignment horizontal="right"/>
    </xf>
    <xf numFmtId="165" fontId="18" fillId="0" borderId="3" xfId="0" applyNumberFormat="1" applyFont="1" applyBorder="1" applyAlignment="1">
      <alignment horizontal="right"/>
    </xf>
    <xf numFmtId="0" fontId="18" fillId="0" borderId="3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center" wrapText="1"/>
    </xf>
    <xf numFmtId="0" fontId="17" fillId="0" borderId="3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0" fontId="19" fillId="0" borderId="0" xfId="0" applyFont="1" applyBorder="1" applyAlignment="1">
      <alignment horizontal="left"/>
    </xf>
    <xf numFmtId="0" fontId="19" fillId="0" borderId="0" xfId="1" applyFont="1" applyAlignment="1">
      <alignment horizontal="left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195"/>
  <sheetViews>
    <sheetView zoomScaleNormal="100" workbookViewId="0">
      <selection activeCell="C192" sqref="C192:G192"/>
    </sheetView>
  </sheetViews>
  <sheetFormatPr defaultRowHeight="12.75" x14ac:dyDescent="0.2"/>
  <cols>
    <col min="1" max="1" width="5.7109375" customWidth="1"/>
    <col min="2" max="2" width="11.7109375" customWidth="1"/>
    <col min="3" max="3" width="40.7109375" customWidth="1"/>
    <col min="4" max="6" width="11.7109375" customWidth="1"/>
    <col min="7" max="7" width="12.7109375" customWidth="1"/>
    <col min="9" max="11" width="12.7109375" customWidth="1"/>
    <col min="15" max="31" width="0" hidden="1" customWidth="1"/>
    <col min="32" max="32" width="112.85546875" hidden="1" customWidth="1"/>
    <col min="33" max="36" width="0" hidden="1" customWidth="1"/>
  </cols>
  <sheetData>
    <row r="1" spans="1:11" x14ac:dyDescent="0.2">
      <c r="A1" s="8" t="str">
        <f>CONCATENATE(Source!B1, "     СН-2012 (© ОАО МЦЦС 'Мосстройцены', ", "2025", ")")</f>
        <v>Smeta.RU  (495) 974-1589     СН-2012 (© ОАО МЦЦС 'Мосстройцены', 2025)</v>
      </c>
    </row>
    <row r="2" spans="1:11" ht="14.25" x14ac:dyDescent="0.2">
      <c r="A2" s="9"/>
      <c r="B2" s="9"/>
      <c r="C2" s="9"/>
      <c r="D2" s="9"/>
      <c r="E2" s="9"/>
      <c r="F2" s="9"/>
      <c r="G2" s="9"/>
      <c r="H2" s="9"/>
      <c r="I2" s="9"/>
      <c r="J2" s="81" t="s">
        <v>369</v>
      </c>
      <c r="K2" s="81"/>
    </row>
    <row r="3" spans="1:11" ht="16.5" x14ac:dyDescent="0.25">
      <c r="A3" s="11"/>
      <c r="B3" s="89" t="s">
        <v>367</v>
      </c>
      <c r="C3" s="89"/>
      <c r="D3" s="89"/>
      <c r="E3" s="89"/>
      <c r="F3" s="10"/>
      <c r="G3" s="89" t="s">
        <v>368</v>
      </c>
      <c r="H3" s="89"/>
      <c r="I3" s="89"/>
      <c r="J3" s="89"/>
      <c r="K3" s="89"/>
    </row>
    <row r="4" spans="1:11" ht="14.25" x14ac:dyDescent="0.2">
      <c r="A4" s="10"/>
      <c r="B4" s="80"/>
      <c r="C4" s="80"/>
      <c r="D4" s="80"/>
      <c r="E4" s="80"/>
      <c r="F4" s="10"/>
      <c r="G4" s="80" t="s">
        <v>487</v>
      </c>
      <c r="H4" s="80"/>
      <c r="I4" s="80"/>
      <c r="J4" s="80"/>
      <c r="K4" s="80"/>
    </row>
    <row r="5" spans="1:11" ht="14.25" x14ac:dyDescent="0.2">
      <c r="A5" s="12"/>
      <c r="B5" s="12"/>
      <c r="C5" s="13"/>
      <c r="D5" s="13"/>
      <c r="E5" s="13"/>
      <c r="F5" s="10"/>
      <c r="G5" s="14" t="s">
        <v>485</v>
      </c>
      <c r="H5" s="13"/>
      <c r="I5" s="13"/>
      <c r="J5" s="13"/>
      <c r="K5" s="14"/>
    </row>
    <row r="6" spans="1:11" ht="14.25" x14ac:dyDescent="0.2">
      <c r="A6" s="14"/>
      <c r="B6" s="80" t="str">
        <f>CONCATENATE("______________________ ", IF(Source!AL12&lt;&gt;"", Source!AL12, ""))</f>
        <v xml:space="preserve">______________________ </v>
      </c>
      <c r="C6" s="80"/>
      <c r="D6" s="80"/>
      <c r="E6" s="80"/>
      <c r="F6" s="10"/>
      <c r="G6" s="80" t="str">
        <f>CONCATENATE("______________________ ", IF(Source!AH12&lt;&gt;"", Source!AH12, ""))</f>
        <v xml:space="preserve">______________________ </v>
      </c>
      <c r="H6" s="80"/>
      <c r="I6" s="80"/>
      <c r="J6" s="80"/>
      <c r="K6" s="80"/>
    </row>
    <row r="7" spans="1:11" ht="14.25" x14ac:dyDescent="0.2">
      <c r="A7" s="15"/>
      <c r="B7" s="85" t="s">
        <v>370</v>
      </c>
      <c r="C7" s="85"/>
      <c r="D7" s="85"/>
      <c r="E7" s="85"/>
      <c r="F7" s="10"/>
      <c r="G7" s="85" t="s">
        <v>370</v>
      </c>
      <c r="H7" s="85"/>
      <c r="I7" s="85"/>
      <c r="J7" s="85"/>
      <c r="K7" s="85"/>
    </row>
    <row r="9" spans="1:11" ht="14.25" x14ac:dyDescent="0.2">
      <c r="A9" s="10"/>
      <c r="B9" s="10"/>
      <c r="C9" s="10"/>
      <c r="D9" s="10"/>
      <c r="E9" s="10"/>
      <c r="F9" s="10"/>
      <c r="G9" s="10"/>
      <c r="H9" s="10"/>
      <c r="I9" s="10"/>
      <c r="J9" s="10"/>
      <c r="K9" s="10"/>
    </row>
    <row r="10" spans="1:11" ht="15.75" x14ac:dyDescent="0.25">
      <c r="A10" s="86" t="str">
        <f>CONCATENATE( "ЛОКАЛЬНАЯ СМЕТА № ",IF(Source!F20&lt;&gt;"Новая локальная смета", Source!F20, ""))</f>
        <v xml:space="preserve">ЛОКАЛЬНАЯ СМЕТА № </v>
      </c>
      <c r="B10" s="87"/>
      <c r="C10" s="87"/>
      <c r="D10" s="87"/>
      <c r="E10" s="87"/>
      <c r="F10" s="87"/>
      <c r="G10" s="87"/>
      <c r="H10" s="87"/>
      <c r="I10" s="87"/>
      <c r="J10" s="87"/>
      <c r="K10" s="87"/>
    </row>
    <row r="11" spans="1:11" x14ac:dyDescent="0.2">
      <c r="A11" s="83" t="s">
        <v>371</v>
      </c>
      <c r="B11" s="83"/>
      <c r="C11" s="83"/>
      <c r="D11" s="83"/>
      <c r="E11" s="83"/>
      <c r="F11" s="83"/>
      <c r="G11" s="83"/>
      <c r="H11" s="83"/>
      <c r="I11" s="83"/>
      <c r="J11" s="83"/>
      <c r="K11" s="83"/>
    </row>
    <row r="12" spans="1:11" ht="14.25" x14ac:dyDescent="0.2">
      <c r="A12" s="10"/>
      <c r="B12" s="10"/>
      <c r="C12" s="10"/>
      <c r="D12" s="10"/>
      <c r="E12" s="10"/>
      <c r="F12" s="10"/>
      <c r="G12" s="10"/>
      <c r="H12" s="10"/>
      <c r="I12" s="10"/>
      <c r="J12" s="10"/>
      <c r="K12" s="10"/>
    </row>
    <row r="13" spans="1:11" ht="18" hidden="1" x14ac:dyDescent="0.25">
      <c r="A13" s="88" t="str">
        <f>IF(Source!G20&lt;&gt;"Новая локальная смета", Source!G20, "")</f>
        <v/>
      </c>
      <c r="B13" s="88"/>
      <c r="C13" s="88"/>
      <c r="D13" s="88"/>
      <c r="E13" s="88"/>
      <c r="F13" s="88"/>
      <c r="G13" s="88"/>
      <c r="H13" s="88"/>
      <c r="I13" s="88"/>
      <c r="J13" s="88"/>
      <c r="K13" s="88"/>
    </row>
    <row r="14" spans="1:11" ht="14.25" hidden="1" x14ac:dyDescent="0.2">
      <c r="A14" s="10"/>
      <c r="B14" s="10"/>
      <c r="C14" s="10"/>
      <c r="D14" s="10"/>
      <c r="E14" s="10"/>
      <c r="F14" s="10"/>
      <c r="G14" s="10"/>
      <c r="H14" s="10"/>
      <c r="I14" s="10"/>
      <c r="J14" s="10"/>
      <c r="K14" s="10"/>
    </row>
    <row r="15" spans="1:11" ht="18" x14ac:dyDescent="0.25">
      <c r="A15" s="82" t="str">
        <f>IF(Source!G12&lt;&gt;"Новый объект", Source!G12, "")</f>
        <v>920_Перовская 24. ТР-2024_(ГВС/ХВС) (СН-2012 Выпуск №2 (в ценах на 01.01.2025 г))</v>
      </c>
      <c r="B15" s="82"/>
      <c r="C15" s="82"/>
      <c r="D15" s="82"/>
      <c r="E15" s="82"/>
      <c r="F15" s="82"/>
      <c r="G15" s="82"/>
      <c r="H15" s="82"/>
      <c r="I15" s="82"/>
      <c r="J15" s="82"/>
      <c r="K15" s="82"/>
    </row>
    <row r="16" spans="1:11" x14ac:dyDescent="0.2">
      <c r="A16" s="83" t="s">
        <v>372</v>
      </c>
      <c r="B16" s="84"/>
      <c r="C16" s="84"/>
      <c r="D16" s="84"/>
      <c r="E16" s="84"/>
      <c r="F16" s="84"/>
      <c r="G16" s="84"/>
      <c r="H16" s="84"/>
      <c r="I16" s="84"/>
      <c r="J16" s="84"/>
      <c r="K16" s="84"/>
    </row>
    <row r="17" spans="1:11" ht="14.25" x14ac:dyDescent="0.2">
      <c r="A17" s="10"/>
      <c r="B17" s="10"/>
      <c r="C17" s="10"/>
      <c r="D17" s="10"/>
      <c r="E17" s="10"/>
      <c r="F17" s="10"/>
      <c r="G17" s="10"/>
      <c r="H17" s="10"/>
      <c r="I17" s="10"/>
      <c r="J17" s="10"/>
      <c r="K17" s="10"/>
    </row>
    <row r="18" spans="1:11" ht="14.25" x14ac:dyDescent="0.2">
      <c r="A18" s="71" t="str">
        <f>CONCATENATE( "Основание: чертежи № ", Source!J20)</f>
        <v xml:space="preserve">Основание: чертежи № </v>
      </c>
      <c r="B18" s="71"/>
      <c r="C18" s="71"/>
      <c r="D18" s="71"/>
      <c r="E18" s="71"/>
      <c r="F18" s="71"/>
      <c r="G18" s="71"/>
      <c r="H18" s="71"/>
      <c r="I18" s="71"/>
      <c r="J18" s="71"/>
      <c r="K18" s="71"/>
    </row>
    <row r="19" spans="1:11" ht="14.25" x14ac:dyDescent="0.2">
      <c r="A19" s="10"/>
      <c r="B19" s="10"/>
      <c r="C19" s="10"/>
      <c r="D19" s="10"/>
      <c r="E19" s="10"/>
      <c r="F19" s="10"/>
      <c r="G19" s="10"/>
      <c r="H19" s="10"/>
      <c r="I19" s="10"/>
      <c r="J19" s="10"/>
      <c r="K19" s="10"/>
    </row>
    <row r="20" spans="1:11" ht="14.25" x14ac:dyDescent="0.2">
      <c r="A20" s="10"/>
      <c r="B20" s="10"/>
      <c r="C20" s="10"/>
      <c r="D20" s="10"/>
      <c r="E20" s="10"/>
      <c r="F20" s="80" t="s">
        <v>373</v>
      </c>
      <c r="G20" s="80"/>
      <c r="H20" s="80"/>
      <c r="I20" s="72">
        <f>I21+I22+I23+I24</f>
        <v>463.5</v>
      </c>
      <c r="J20" s="81"/>
      <c r="K20" s="10" t="s">
        <v>374</v>
      </c>
    </row>
    <row r="21" spans="1:11" ht="14.25" hidden="1" x14ac:dyDescent="0.2">
      <c r="A21" s="10"/>
      <c r="B21" s="10"/>
      <c r="C21" s="10"/>
      <c r="D21" s="10"/>
      <c r="E21" s="10"/>
      <c r="F21" s="80" t="s">
        <v>375</v>
      </c>
      <c r="G21" s="80"/>
      <c r="H21" s="80"/>
      <c r="I21" s="72">
        <f>ROUND((Source!F225)/1000, 2)</f>
        <v>0</v>
      </c>
      <c r="J21" s="81"/>
      <c r="K21" s="10" t="s">
        <v>374</v>
      </c>
    </row>
    <row r="22" spans="1:11" ht="14.25" hidden="1" x14ac:dyDescent="0.2">
      <c r="A22" s="10"/>
      <c r="B22" s="10"/>
      <c r="C22" s="10"/>
      <c r="D22" s="10"/>
      <c r="E22" s="10"/>
      <c r="F22" s="80" t="s">
        <v>376</v>
      </c>
      <c r="G22" s="80"/>
      <c r="H22" s="80"/>
      <c r="I22" s="72">
        <f>ROUND((Source!F226)/1000, 2)</f>
        <v>0</v>
      </c>
      <c r="J22" s="81"/>
      <c r="K22" s="10" t="s">
        <v>374</v>
      </c>
    </row>
    <row r="23" spans="1:11" ht="14.25" hidden="1" x14ac:dyDescent="0.2">
      <c r="A23" s="10"/>
      <c r="B23" s="10"/>
      <c r="C23" s="10"/>
      <c r="D23" s="10"/>
      <c r="E23" s="10"/>
      <c r="F23" s="80" t="s">
        <v>377</v>
      </c>
      <c r="G23" s="80"/>
      <c r="H23" s="80"/>
      <c r="I23" s="72">
        <f>ROUND((Source!F217)/1000, 2)</f>
        <v>0</v>
      </c>
      <c r="J23" s="81"/>
      <c r="K23" s="10" t="s">
        <v>374</v>
      </c>
    </row>
    <row r="24" spans="1:11" ht="14.25" hidden="1" x14ac:dyDescent="0.2">
      <c r="A24" s="10"/>
      <c r="B24" s="10"/>
      <c r="C24" s="10"/>
      <c r="D24" s="10"/>
      <c r="E24" s="10"/>
      <c r="F24" s="80" t="s">
        <v>378</v>
      </c>
      <c r="G24" s="80"/>
      <c r="H24" s="80"/>
      <c r="I24" s="72">
        <f>ROUND((Source!F227+Source!F228)/1000, 2)</f>
        <v>463.5</v>
      </c>
      <c r="J24" s="81"/>
      <c r="K24" s="10" t="s">
        <v>374</v>
      </c>
    </row>
    <row r="25" spans="1:11" ht="14.25" x14ac:dyDescent="0.2">
      <c r="A25" s="10"/>
      <c r="B25" s="10"/>
      <c r="C25" s="10"/>
      <c r="D25" s="10"/>
      <c r="E25" s="10"/>
      <c r="F25" s="80" t="s">
        <v>379</v>
      </c>
      <c r="G25" s="80"/>
      <c r="H25" s="80"/>
      <c r="I25" s="72">
        <f>(Source!F223+ Source!F222)/1000</f>
        <v>125.9699</v>
      </c>
      <c r="J25" s="81"/>
      <c r="K25" s="10" t="s">
        <v>374</v>
      </c>
    </row>
    <row r="26" spans="1:11" ht="14.25" x14ac:dyDescent="0.2">
      <c r="A26" s="10" t="s">
        <v>393</v>
      </c>
      <c r="B26" s="10"/>
      <c r="C26" s="10"/>
      <c r="D26" s="16"/>
      <c r="E26" s="17"/>
      <c r="F26" s="10"/>
      <c r="G26" s="10"/>
      <c r="H26" s="10"/>
      <c r="I26" s="10"/>
      <c r="J26" s="10"/>
      <c r="K26" s="10"/>
    </row>
    <row r="27" spans="1:11" ht="14.25" x14ac:dyDescent="0.2">
      <c r="A27" s="78" t="s">
        <v>380</v>
      </c>
      <c r="B27" s="78" t="s">
        <v>381</v>
      </c>
      <c r="C27" s="78" t="s">
        <v>382</v>
      </c>
      <c r="D27" s="78" t="s">
        <v>383</v>
      </c>
      <c r="E27" s="78" t="s">
        <v>384</v>
      </c>
      <c r="F27" s="78" t="s">
        <v>385</v>
      </c>
      <c r="G27" s="78" t="s">
        <v>386</v>
      </c>
      <c r="H27" s="78" t="s">
        <v>387</v>
      </c>
      <c r="I27" s="78" t="s">
        <v>388</v>
      </c>
      <c r="J27" s="78" t="s">
        <v>389</v>
      </c>
      <c r="K27" s="18" t="s">
        <v>390</v>
      </c>
    </row>
    <row r="28" spans="1:11" ht="28.5" x14ac:dyDescent="0.2">
      <c r="A28" s="79"/>
      <c r="B28" s="79"/>
      <c r="C28" s="79"/>
      <c r="D28" s="79"/>
      <c r="E28" s="79"/>
      <c r="F28" s="79"/>
      <c r="G28" s="79"/>
      <c r="H28" s="79"/>
      <c r="I28" s="79"/>
      <c r="J28" s="79"/>
      <c r="K28" s="19" t="s">
        <v>391</v>
      </c>
    </row>
    <row r="29" spans="1:11" ht="28.5" x14ac:dyDescent="0.2">
      <c r="A29" s="79"/>
      <c r="B29" s="79"/>
      <c r="C29" s="79"/>
      <c r="D29" s="79"/>
      <c r="E29" s="79"/>
      <c r="F29" s="79"/>
      <c r="G29" s="79"/>
      <c r="H29" s="79"/>
      <c r="I29" s="79"/>
      <c r="J29" s="79"/>
      <c r="K29" s="19" t="s">
        <v>392</v>
      </c>
    </row>
    <row r="30" spans="1:11" ht="14.25" x14ac:dyDescent="0.2">
      <c r="A30" s="19">
        <v>1</v>
      </c>
      <c r="B30" s="19">
        <v>2</v>
      </c>
      <c r="C30" s="19">
        <v>3</v>
      </c>
      <c r="D30" s="19">
        <v>4</v>
      </c>
      <c r="E30" s="19">
        <v>5</v>
      </c>
      <c r="F30" s="19">
        <v>6</v>
      </c>
      <c r="G30" s="19">
        <v>7</v>
      </c>
      <c r="H30" s="19">
        <v>8</v>
      </c>
      <c r="I30" s="19">
        <v>9</v>
      </c>
      <c r="J30" s="19">
        <v>10</v>
      </c>
      <c r="K30" s="19">
        <v>11</v>
      </c>
    </row>
    <row r="32" spans="1:11" ht="16.5" x14ac:dyDescent="0.25">
      <c r="A32" s="77" t="str">
        <f>CONCATENATE("Раздел: ",IF(Source!G24&lt;&gt;"Новый раздел", Source!G24, ""))</f>
        <v>Раздел: 2 эт. Санузел</v>
      </c>
      <c r="B32" s="77"/>
      <c r="C32" s="77"/>
      <c r="D32" s="77"/>
      <c r="E32" s="77"/>
      <c r="F32" s="77"/>
      <c r="G32" s="77"/>
      <c r="H32" s="77"/>
      <c r="I32" s="77"/>
      <c r="J32" s="77"/>
      <c r="K32" s="77"/>
    </row>
    <row r="34" spans="1:22" ht="16.5" x14ac:dyDescent="0.25">
      <c r="A34" s="77" t="str">
        <f>CONCATENATE("Подраздел: ",IF(Source!G28&lt;&gt;"Новый подраздел", Source!G28, ""))</f>
        <v>Подраздел: ГВС/ХВС</v>
      </c>
      <c r="B34" s="77"/>
      <c r="C34" s="77"/>
      <c r="D34" s="77"/>
      <c r="E34" s="77"/>
      <c r="F34" s="77"/>
      <c r="G34" s="77"/>
      <c r="H34" s="77"/>
      <c r="I34" s="77"/>
      <c r="J34" s="77"/>
      <c r="K34" s="77"/>
    </row>
    <row r="35" spans="1:22" ht="28.5" x14ac:dyDescent="0.2">
      <c r="A35" s="20">
        <v>4</v>
      </c>
      <c r="B35" s="20" t="str">
        <f>Source!F47</f>
        <v>1.17-3403-3-1/1</v>
      </c>
      <c r="C35" s="20" t="str">
        <f>Source!G47</f>
        <v>Установка фильтров диаметром до 25 мм (без стоимости фильтра)</v>
      </c>
      <c r="D35" s="21" t="str">
        <f>Source!H47</f>
        <v>шт.</v>
      </c>
      <c r="E35" s="9">
        <f>Source!I47</f>
        <v>2</v>
      </c>
      <c r="F35" s="23"/>
      <c r="G35" s="22"/>
      <c r="H35" s="9"/>
      <c r="I35" s="9"/>
      <c r="J35" s="23"/>
      <c r="K35" s="23"/>
      <c r="Q35">
        <f>ROUND((Source!BZ47/100)*ROUND((Source!AF47*Source!AV47)*Source!I47, 2), 2)</f>
        <v>101.19</v>
      </c>
      <c r="R35">
        <f>Source!X47</f>
        <v>101.19</v>
      </c>
      <c r="S35">
        <f>ROUND((Source!CA47/100)*ROUND((Source!AF47*Source!AV47)*Source!I47, 2), 2)</f>
        <v>14.46</v>
      </c>
      <c r="T35">
        <f>Source!Y47</f>
        <v>14.46</v>
      </c>
      <c r="U35">
        <f>ROUND((175/100)*ROUND((Source!AE47*Source!AV47)*Source!I47, 2), 2)</f>
        <v>0.05</v>
      </c>
      <c r="V35">
        <f>ROUND((160/100)*ROUND(Source!CS47*Source!I47, 2), 2)</f>
        <v>0.05</v>
      </c>
    </row>
    <row r="36" spans="1:22" ht="14.25" x14ac:dyDescent="0.2">
      <c r="A36" s="20"/>
      <c r="B36" s="20"/>
      <c r="C36" s="20" t="s">
        <v>394</v>
      </c>
      <c r="D36" s="21"/>
      <c r="E36" s="9"/>
      <c r="F36" s="23">
        <f>Source!AO47</f>
        <v>361.39</v>
      </c>
      <c r="G36" s="22" t="str">
        <f>Source!DG47</f>
        <v>*0,2</v>
      </c>
      <c r="H36" s="9">
        <f>Source!AV47</f>
        <v>1</v>
      </c>
      <c r="I36" s="9">
        <f>IF(Source!BA47&lt;&gt; 0, Source!BA47, 1)</f>
        <v>1</v>
      </c>
      <c r="J36" s="23">
        <f>Source!S47</f>
        <v>144.56</v>
      </c>
      <c r="K36" s="23"/>
    </row>
    <row r="37" spans="1:22" ht="14.25" x14ac:dyDescent="0.2">
      <c r="A37" s="20"/>
      <c r="B37" s="20"/>
      <c r="C37" s="20" t="s">
        <v>395</v>
      </c>
      <c r="D37" s="21"/>
      <c r="E37" s="9"/>
      <c r="F37" s="23">
        <f>Source!AM47</f>
        <v>10.28</v>
      </c>
      <c r="G37" s="22" t="str">
        <f>Source!DE47</f>
        <v>*0,2</v>
      </c>
      <c r="H37" s="9">
        <f>Source!AV47</f>
        <v>1</v>
      </c>
      <c r="I37" s="9">
        <f>IF(Source!BB47&lt;&gt; 0, Source!BB47, 1)</f>
        <v>1</v>
      </c>
      <c r="J37" s="23">
        <f>Source!Q47</f>
        <v>4.1100000000000003</v>
      </c>
      <c r="K37" s="23"/>
    </row>
    <row r="38" spans="1:22" ht="14.25" x14ac:dyDescent="0.2">
      <c r="A38" s="20"/>
      <c r="B38" s="20"/>
      <c r="C38" s="20" t="s">
        <v>396</v>
      </c>
      <c r="D38" s="21"/>
      <c r="E38" s="9"/>
      <c r="F38" s="23">
        <f>Source!AN47</f>
        <v>7.0000000000000007E-2</v>
      </c>
      <c r="G38" s="22" t="str">
        <f>Source!DF47</f>
        <v>*0,2</v>
      </c>
      <c r="H38" s="9">
        <f>Source!AV47</f>
        <v>1</v>
      </c>
      <c r="I38" s="9">
        <f>IF(Source!BS47&lt;&gt; 0, Source!BS47, 1)</f>
        <v>1</v>
      </c>
      <c r="J38" s="24">
        <f>Source!R47</f>
        <v>0.03</v>
      </c>
      <c r="K38" s="23"/>
    </row>
    <row r="39" spans="1:22" ht="14.25" x14ac:dyDescent="0.2">
      <c r="A39" s="20"/>
      <c r="B39" s="20"/>
      <c r="C39" s="20" t="s">
        <v>397</v>
      </c>
      <c r="D39" s="21" t="s">
        <v>398</v>
      </c>
      <c r="E39" s="9">
        <f>Source!AT47</f>
        <v>70</v>
      </c>
      <c r="F39" s="23"/>
      <c r="G39" s="22"/>
      <c r="H39" s="9"/>
      <c r="I39" s="9"/>
      <c r="J39" s="23">
        <f>SUM(R35:R38)</f>
        <v>101.19</v>
      </c>
      <c r="K39" s="23"/>
    </row>
    <row r="40" spans="1:22" ht="14.25" x14ac:dyDescent="0.2">
      <c r="A40" s="20"/>
      <c r="B40" s="20"/>
      <c r="C40" s="20" t="s">
        <v>399</v>
      </c>
      <c r="D40" s="21" t="s">
        <v>398</v>
      </c>
      <c r="E40" s="9">
        <f>Source!AU47</f>
        <v>10</v>
      </c>
      <c r="F40" s="23"/>
      <c r="G40" s="22"/>
      <c r="H40" s="9"/>
      <c r="I40" s="9"/>
      <c r="J40" s="23">
        <f>SUM(T35:T39)</f>
        <v>14.46</v>
      </c>
      <c r="K40" s="23"/>
    </row>
    <row r="41" spans="1:22" ht="14.25" x14ac:dyDescent="0.2">
      <c r="A41" s="20"/>
      <c r="B41" s="20"/>
      <c r="C41" s="20" t="s">
        <v>400</v>
      </c>
      <c r="D41" s="21" t="s">
        <v>398</v>
      </c>
      <c r="E41" s="9">
        <f>160</f>
        <v>160</v>
      </c>
      <c r="F41" s="23"/>
      <c r="G41" s="22"/>
      <c r="H41" s="9"/>
      <c r="I41" s="9"/>
      <c r="J41" s="23">
        <f>SUM(V35:V40)</f>
        <v>0.05</v>
      </c>
      <c r="K41" s="23"/>
    </row>
    <row r="42" spans="1:22" ht="14.25" x14ac:dyDescent="0.2">
      <c r="A42" s="20"/>
      <c r="B42" s="20"/>
      <c r="C42" s="20" t="s">
        <v>401</v>
      </c>
      <c r="D42" s="21" t="s">
        <v>402</v>
      </c>
      <c r="E42" s="9">
        <f>Source!AQ47</f>
        <v>0.86</v>
      </c>
      <c r="F42" s="23"/>
      <c r="G42" s="22" t="str">
        <f>Source!DI47</f>
        <v>*0,2</v>
      </c>
      <c r="H42" s="9">
        <f>Source!AV47</f>
        <v>1</v>
      </c>
      <c r="I42" s="9"/>
      <c r="J42" s="23"/>
      <c r="K42" s="23">
        <f>Source!U47</f>
        <v>0.34400000000000003</v>
      </c>
    </row>
    <row r="43" spans="1:22" ht="15" x14ac:dyDescent="0.25">
      <c r="A43" s="27"/>
      <c r="B43" s="27"/>
      <c r="C43" s="27"/>
      <c r="D43" s="27"/>
      <c r="E43" s="27"/>
      <c r="F43" s="27"/>
      <c r="G43" s="27"/>
      <c r="H43" s="27"/>
      <c r="I43" s="76">
        <f>J36+J37+J39+J40+J41</f>
        <v>264.37</v>
      </c>
      <c r="J43" s="76"/>
      <c r="K43" s="28">
        <f>IF(Source!I47&lt;&gt;0, ROUND(I43/Source!I47, 2), 0)</f>
        <v>132.19</v>
      </c>
      <c r="P43" s="25">
        <f>I43</f>
        <v>264.37</v>
      </c>
    </row>
    <row r="44" spans="1:22" ht="28.5" x14ac:dyDescent="0.2">
      <c r="A44" s="20">
        <v>5</v>
      </c>
      <c r="B44" s="20" t="str">
        <f>Source!F49</f>
        <v>1.15-3203-5-2/1</v>
      </c>
      <c r="C44" s="20" t="str">
        <f>Source!G49</f>
        <v>Установка муфтовой арматуры диаметром 20 мм</v>
      </c>
      <c r="D44" s="21" t="str">
        <f>Source!H49</f>
        <v>10 шт.</v>
      </c>
      <c r="E44" s="9">
        <f>Source!I49</f>
        <v>0.2</v>
      </c>
      <c r="F44" s="23"/>
      <c r="G44" s="22"/>
      <c r="H44" s="9"/>
      <c r="I44" s="9"/>
      <c r="J44" s="23"/>
      <c r="K44" s="23"/>
      <c r="Q44">
        <f>ROUND((Source!BZ49/100)*ROUND((Source!AF49*Source!AV49)*Source!I49, 2), 2)</f>
        <v>20.99</v>
      </c>
      <c r="R44">
        <f>Source!X49</f>
        <v>20.99</v>
      </c>
      <c r="S44">
        <f>ROUND((Source!CA49/100)*ROUND((Source!AF49*Source!AV49)*Source!I49, 2), 2)</f>
        <v>3</v>
      </c>
      <c r="T44">
        <f>Source!Y49</f>
        <v>3</v>
      </c>
      <c r="U44">
        <f>ROUND((175/100)*ROUND((Source!AE49*Source!AV49)*Source!I49, 2), 2)</f>
        <v>0</v>
      </c>
      <c r="V44">
        <f>ROUND((160/100)*ROUND(Source!CS49*Source!I49, 2), 2)</f>
        <v>0</v>
      </c>
    </row>
    <row r="45" spans="1:22" x14ac:dyDescent="0.2">
      <c r="C45" s="29" t="str">
        <f>"Объем: "&amp;Source!I49&amp;"=2/"&amp;"10"</f>
        <v>Объем: 0,2=2/10</v>
      </c>
    </row>
    <row r="46" spans="1:22" ht="14.25" x14ac:dyDescent="0.2">
      <c r="A46" s="20"/>
      <c r="B46" s="20"/>
      <c r="C46" s="20" t="s">
        <v>394</v>
      </c>
      <c r="D46" s="21"/>
      <c r="E46" s="9"/>
      <c r="F46" s="23">
        <f>Source!AO49</f>
        <v>749.64</v>
      </c>
      <c r="G46" s="22" t="str">
        <f>Source!DG49</f>
        <v>*0,2</v>
      </c>
      <c r="H46" s="9">
        <f>Source!AV49</f>
        <v>1</v>
      </c>
      <c r="I46" s="9">
        <f>IF(Source!BA49&lt;&gt; 0, Source!BA49, 1)</f>
        <v>1</v>
      </c>
      <c r="J46" s="23">
        <f>Source!S49</f>
        <v>29.99</v>
      </c>
      <c r="K46" s="23"/>
    </row>
    <row r="47" spans="1:22" ht="14.25" x14ac:dyDescent="0.2">
      <c r="A47" s="20"/>
      <c r="B47" s="20"/>
      <c r="C47" s="20" t="s">
        <v>397</v>
      </c>
      <c r="D47" s="21" t="s">
        <v>398</v>
      </c>
      <c r="E47" s="9">
        <f>Source!AT49</f>
        <v>70</v>
      </c>
      <c r="F47" s="23"/>
      <c r="G47" s="22"/>
      <c r="H47" s="9"/>
      <c r="I47" s="9"/>
      <c r="J47" s="23">
        <f>SUM(R44:R46)</f>
        <v>20.99</v>
      </c>
      <c r="K47" s="23"/>
    </row>
    <row r="48" spans="1:22" ht="14.25" x14ac:dyDescent="0.2">
      <c r="A48" s="20"/>
      <c r="B48" s="20"/>
      <c r="C48" s="20" t="s">
        <v>399</v>
      </c>
      <c r="D48" s="21" t="s">
        <v>398</v>
      </c>
      <c r="E48" s="9">
        <f>Source!AU49</f>
        <v>10</v>
      </c>
      <c r="F48" s="23"/>
      <c r="G48" s="22"/>
      <c r="H48" s="9"/>
      <c r="I48" s="9"/>
      <c r="J48" s="23">
        <f>SUM(T44:T47)</f>
        <v>3</v>
      </c>
      <c r="K48" s="23"/>
    </row>
    <row r="49" spans="1:22" ht="14.25" x14ac:dyDescent="0.2">
      <c r="A49" s="20"/>
      <c r="B49" s="20"/>
      <c r="C49" s="20" t="s">
        <v>401</v>
      </c>
      <c r="D49" s="21" t="s">
        <v>402</v>
      </c>
      <c r="E49" s="9">
        <f>Source!AQ49</f>
        <v>1.72</v>
      </c>
      <c r="F49" s="23"/>
      <c r="G49" s="22" t="str">
        <f>Source!DI49</f>
        <v>*0,2</v>
      </c>
      <c r="H49" s="9">
        <f>Source!AV49</f>
        <v>1</v>
      </c>
      <c r="I49" s="9"/>
      <c r="J49" s="23"/>
      <c r="K49" s="23">
        <f>Source!U49</f>
        <v>6.8800000000000014E-2</v>
      </c>
    </row>
    <row r="50" spans="1:22" ht="15" x14ac:dyDescent="0.25">
      <c r="A50" s="27"/>
      <c r="B50" s="27"/>
      <c r="C50" s="27"/>
      <c r="D50" s="27"/>
      <c r="E50" s="27"/>
      <c r="F50" s="27"/>
      <c r="G50" s="27"/>
      <c r="H50" s="27"/>
      <c r="I50" s="76">
        <f>J46+J47+J48</f>
        <v>53.98</v>
      </c>
      <c r="J50" s="76"/>
      <c r="K50" s="28">
        <f>IF(Source!I49&lt;&gt;0, ROUND(I50/Source!I49, 2), 0)</f>
        <v>269.89999999999998</v>
      </c>
      <c r="P50" s="25">
        <f>I50</f>
        <v>53.98</v>
      </c>
    </row>
    <row r="51" spans="1:22" ht="28.5" x14ac:dyDescent="0.2">
      <c r="A51" s="20">
        <v>6</v>
      </c>
      <c r="B51" s="20" t="str">
        <f>Source!F50</f>
        <v>1.17-3403-3-1/1</v>
      </c>
      <c r="C51" s="20" t="str">
        <f>Source!G50</f>
        <v>Установка фильтров диаметром до 25 мм (без стоимости фильтра)</v>
      </c>
      <c r="D51" s="21" t="str">
        <f>Source!H50</f>
        <v>шт.</v>
      </c>
      <c r="E51" s="9">
        <f>Source!I50</f>
        <v>2</v>
      </c>
      <c r="F51" s="23"/>
      <c r="G51" s="22"/>
      <c r="H51" s="9"/>
      <c r="I51" s="9"/>
      <c r="J51" s="23"/>
      <c r="K51" s="23"/>
      <c r="Q51">
        <f>ROUND((Source!BZ50/100)*ROUND((Source!AF50*Source!AV50)*Source!I50, 2), 2)</f>
        <v>505.95</v>
      </c>
      <c r="R51">
        <f>Source!X50</f>
        <v>505.95</v>
      </c>
      <c r="S51">
        <f>ROUND((Source!CA50/100)*ROUND((Source!AF50*Source!AV50)*Source!I50, 2), 2)</f>
        <v>72.28</v>
      </c>
      <c r="T51">
        <f>Source!Y50</f>
        <v>72.28</v>
      </c>
      <c r="U51">
        <f>ROUND((175/100)*ROUND((Source!AE50*Source!AV50)*Source!I50, 2), 2)</f>
        <v>0.25</v>
      </c>
      <c r="V51">
        <f>ROUND((160/100)*ROUND(Source!CS50*Source!I50, 2), 2)</f>
        <v>0.22</v>
      </c>
    </row>
    <row r="52" spans="1:22" ht="14.25" x14ac:dyDescent="0.2">
      <c r="A52" s="20"/>
      <c r="B52" s="20"/>
      <c r="C52" s="20" t="s">
        <v>394</v>
      </c>
      <c r="D52" s="21"/>
      <c r="E52" s="9"/>
      <c r="F52" s="23">
        <f>Source!AO50</f>
        <v>361.39</v>
      </c>
      <c r="G52" s="22" t="str">
        <f>Source!DG50</f>
        <v/>
      </c>
      <c r="H52" s="9">
        <f>Source!AV50</f>
        <v>1</v>
      </c>
      <c r="I52" s="9">
        <f>IF(Source!BA50&lt;&gt; 0, Source!BA50, 1)</f>
        <v>1</v>
      </c>
      <c r="J52" s="23">
        <f>Source!S50</f>
        <v>722.78</v>
      </c>
      <c r="K52" s="23"/>
    </row>
    <row r="53" spans="1:22" ht="14.25" x14ac:dyDescent="0.2">
      <c r="A53" s="20"/>
      <c r="B53" s="20"/>
      <c r="C53" s="20" t="s">
        <v>395</v>
      </c>
      <c r="D53" s="21"/>
      <c r="E53" s="9"/>
      <c r="F53" s="23">
        <f>Source!AM50</f>
        <v>10.28</v>
      </c>
      <c r="G53" s="22" t="str">
        <f>Source!DE50</f>
        <v/>
      </c>
      <c r="H53" s="9">
        <f>Source!AV50</f>
        <v>1</v>
      </c>
      <c r="I53" s="9">
        <f>IF(Source!BB50&lt;&gt; 0, Source!BB50, 1)</f>
        <v>1</v>
      </c>
      <c r="J53" s="23">
        <f>Source!Q50</f>
        <v>20.56</v>
      </c>
      <c r="K53" s="23"/>
    </row>
    <row r="54" spans="1:22" ht="14.25" x14ac:dyDescent="0.2">
      <c r="A54" s="20"/>
      <c r="B54" s="20"/>
      <c r="C54" s="20" t="s">
        <v>396</v>
      </c>
      <c r="D54" s="21"/>
      <c r="E54" s="9"/>
      <c r="F54" s="23">
        <f>Source!AN50</f>
        <v>7.0000000000000007E-2</v>
      </c>
      <c r="G54" s="22" t="str">
        <f>Source!DF50</f>
        <v/>
      </c>
      <c r="H54" s="9">
        <f>Source!AV50</f>
        <v>1</v>
      </c>
      <c r="I54" s="9">
        <f>IF(Source!BS50&lt;&gt; 0, Source!BS50, 1)</f>
        <v>1</v>
      </c>
      <c r="J54" s="24">
        <f>Source!R50</f>
        <v>0.14000000000000001</v>
      </c>
      <c r="K54" s="23"/>
    </row>
    <row r="55" spans="1:22" ht="14.25" x14ac:dyDescent="0.2">
      <c r="A55" s="20"/>
      <c r="B55" s="20"/>
      <c r="C55" s="20" t="s">
        <v>403</v>
      </c>
      <c r="D55" s="21"/>
      <c r="E55" s="9"/>
      <c r="F55" s="23">
        <f>Source!AL50</f>
        <v>7.48</v>
      </c>
      <c r="G55" s="22" t="str">
        <f>Source!DD50</f>
        <v/>
      </c>
      <c r="H55" s="9">
        <f>Source!AW50</f>
        <v>1</v>
      </c>
      <c r="I55" s="9">
        <f>IF(Source!BC50&lt;&gt; 0, Source!BC50, 1)</f>
        <v>1</v>
      </c>
      <c r="J55" s="23">
        <f>Source!P50</f>
        <v>14.96</v>
      </c>
      <c r="K55" s="23"/>
    </row>
    <row r="56" spans="1:22" ht="85.5" x14ac:dyDescent="0.2">
      <c r="A56" s="20" t="s">
        <v>88</v>
      </c>
      <c r="B56" s="20" t="str">
        <f>Source!F52</f>
        <v>21.18-7-10</v>
      </c>
      <c r="C56" s="20" t="str">
        <f>Source!G52</f>
        <v>Фильтры для очистки воды сетчатые, с внутренней резьбой, максимальная температура воды 130°С, условное давление 1,6 МПа, диаметр условного прохода 20 мм, пропускная способность 4,5 м3/ч</v>
      </c>
      <c r="D56" s="21" t="str">
        <f>Source!H52</f>
        <v>шт.</v>
      </c>
      <c r="E56" s="9">
        <f>Source!I52</f>
        <v>2</v>
      </c>
      <c r="F56" s="23">
        <f>Source!AK52</f>
        <v>4266.3599999999997</v>
      </c>
      <c r="G56" s="30" t="s">
        <v>3</v>
      </c>
      <c r="H56" s="9">
        <f>Source!AW52</f>
        <v>1</v>
      </c>
      <c r="I56" s="9">
        <f>IF(Source!BC52&lt;&gt; 0, Source!BC52, 1)</f>
        <v>1</v>
      </c>
      <c r="J56" s="23">
        <f>Source!O52</f>
        <v>8532.7199999999993</v>
      </c>
      <c r="K56" s="23"/>
      <c r="Q56">
        <f>ROUND((Source!BZ52/100)*ROUND((Source!AF52*Source!AV52)*Source!I52, 2), 2)</f>
        <v>0</v>
      </c>
      <c r="R56">
        <f>Source!X52</f>
        <v>0</v>
      </c>
      <c r="S56">
        <f>ROUND((Source!CA52/100)*ROUND((Source!AF52*Source!AV52)*Source!I52, 2), 2)</f>
        <v>0</v>
      </c>
      <c r="T56">
        <f>Source!Y52</f>
        <v>0</v>
      </c>
      <c r="U56">
        <f>ROUND((175/100)*ROUND((Source!AE52*Source!AV52)*Source!I52, 2), 2)</f>
        <v>0</v>
      </c>
      <c r="V56">
        <f>ROUND((160/100)*ROUND(Source!CS52*Source!I52, 2), 2)</f>
        <v>0</v>
      </c>
    </row>
    <row r="57" spans="1:22" ht="14.25" x14ac:dyDescent="0.2">
      <c r="A57" s="20"/>
      <c r="B57" s="20"/>
      <c r="C57" s="20" t="s">
        <v>397</v>
      </c>
      <c r="D57" s="21" t="s">
        <v>398</v>
      </c>
      <c r="E57" s="9">
        <f>Source!AT50</f>
        <v>70</v>
      </c>
      <c r="F57" s="23"/>
      <c r="G57" s="22"/>
      <c r="H57" s="9"/>
      <c r="I57" s="9"/>
      <c r="J57" s="23">
        <f>SUM(R51:R56)</f>
        <v>505.95</v>
      </c>
      <c r="K57" s="23"/>
    </row>
    <row r="58" spans="1:22" ht="14.25" x14ac:dyDescent="0.2">
      <c r="A58" s="20"/>
      <c r="B58" s="20"/>
      <c r="C58" s="20" t="s">
        <v>399</v>
      </c>
      <c r="D58" s="21" t="s">
        <v>398</v>
      </c>
      <c r="E58" s="9">
        <f>Source!AU50</f>
        <v>10</v>
      </c>
      <c r="F58" s="23"/>
      <c r="G58" s="22"/>
      <c r="H58" s="9"/>
      <c r="I58" s="9"/>
      <c r="J58" s="23">
        <f>SUM(T51:T57)</f>
        <v>72.28</v>
      </c>
      <c r="K58" s="23"/>
    </row>
    <row r="59" spans="1:22" ht="14.25" x14ac:dyDescent="0.2">
      <c r="A59" s="20"/>
      <c r="B59" s="20"/>
      <c r="C59" s="20" t="s">
        <v>400</v>
      </c>
      <c r="D59" s="21" t="s">
        <v>398</v>
      </c>
      <c r="E59" s="9">
        <f>160</f>
        <v>160</v>
      </c>
      <c r="F59" s="23"/>
      <c r="G59" s="22"/>
      <c r="H59" s="9"/>
      <c r="I59" s="9"/>
      <c r="J59" s="23">
        <f>SUM(V51:V58)</f>
        <v>0.22</v>
      </c>
      <c r="K59" s="23"/>
    </row>
    <row r="60" spans="1:22" ht="14.25" x14ac:dyDescent="0.2">
      <c r="A60" s="20"/>
      <c r="B60" s="20"/>
      <c r="C60" s="20" t="s">
        <v>401</v>
      </c>
      <c r="D60" s="21" t="s">
        <v>402</v>
      </c>
      <c r="E60" s="9">
        <f>Source!AQ50</f>
        <v>0.86</v>
      </c>
      <c r="F60" s="23"/>
      <c r="G60" s="22" t="str">
        <f>Source!DI50</f>
        <v/>
      </c>
      <c r="H60" s="9">
        <f>Source!AV50</f>
        <v>1</v>
      </c>
      <c r="I60" s="9"/>
      <c r="J60" s="23"/>
      <c r="K60" s="23">
        <f>Source!U50</f>
        <v>1.72</v>
      </c>
    </row>
    <row r="61" spans="1:22" ht="15" x14ac:dyDescent="0.25">
      <c r="A61" s="27"/>
      <c r="B61" s="27"/>
      <c r="C61" s="27"/>
      <c r="D61" s="27"/>
      <c r="E61" s="27"/>
      <c r="F61" s="27"/>
      <c r="G61" s="27"/>
      <c r="H61" s="27"/>
      <c r="I61" s="76">
        <f>J52+J53+J55+J57+J58+J59+SUM(J56:J56)</f>
        <v>9869.4699999999993</v>
      </c>
      <c r="J61" s="76"/>
      <c r="K61" s="28">
        <f>IF(Source!I50&lt;&gt;0, ROUND(I61/Source!I50, 2), 0)</f>
        <v>4934.74</v>
      </c>
      <c r="P61" s="25">
        <f>I61</f>
        <v>9869.4699999999993</v>
      </c>
    </row>
    <row r="62" spans="1:22" ht="28.5" x14ac:dyDescent="0.2">
      <c r="A62" s="20">
        <v>7</v>
      </c>
      <c r="B62" s="20" t="str">
        <f>Source!F53</f>
        <v>1.15-3203-5-2/1</v>
      </c>
      <c r="C62" s="20" t="str">
        <f>Source!G53</f>
        <v>Установка муфтовой арматуры диаметром 20 мм</v>
      </c>
      <c r="D62" s="21" t="str">
        <f>Source!H53</f>
        <v>10 шт.</v>
      </c>
      <c r="E62" s="9">
        <f>Source!I53</f>
        <v>0.2</v>
      </c>
      <c r="F62" s="23"/>
      <c r="G62" s="22"/>
      <c r="H62" s="9"/>
      <c r="I62" s="9"/>
      <c r="J62" s="23"/>
      <c r="K62" s="23"/>
      <c r="Q62">
        <f>ROUND((Source!BZ53/100)*ROUND((Source!AF53*Source!AV53)*Source!I53, 2), 2)</f>
        <v>104.95</v>
      </c>
      <c r="R62">
        <f>Source!X53</f>
        <v>104.95</v>
      </c>
      <c r="S62">
        <f>ROUND((Source!CA53/100)*ROUND((Source!AF53*Source!AV53)*Source!I53, 2), 2)</f>
        <v>14.99</v>
      </c>
      <c r="T62">
        <f>Source!Y53</f>
        <v>14.99</v>
      </c>
      <c r="U62">
        <f>ROUND((175/100)*ROUND((Source!AE53*Source!AV53)*Source!I53, 2), 2)</f>
        <v>0</v>
      </c>
      <c r="V62">
        <f>ROUND((160/100)*ROUND(Source!CS53*Source!I53, 2), 2)</f>
        <v>0</v>
      </c>
    </row>
    <row r="63" spans="1:22" x14ac:dyDescent="0.2">
      <c r="C63" s="29" t="str">
        <f>"Объем: "&amp;Source!I53&amp;"=2/"&amp;"10"</f>
        <v>Объем: 0,2=2/10</v>
      </c>
    </row>
    <row r="64" spans="1:22" ht="14.25" x14ac:dyDescent="0.2">
      <c r="A64" s="20"/>
      <c r="B64" s="20"/>
      <c r="C64" s="20" t="s">
        <v>394</v>
      </c>
      <c r="D64" s="21"/>
      <c r="E64" s="9"/>
      <c r="F64" s="23">
        <f>Source!AO53</f>
        <v>749.64</v>
      </c>
      <c r="G64" s="22" t="str">
        <f>Source!DG53</f>
        <v/>
      </c>
      <c r="H64" s="9">
        <f>Source!AV53</f>
        <v>1</v>
      </c>
      <c r="I64" s="9">
        <f>IF(Source!BA53&lt;&gt; 0, Source!BA53, 1)</f>
        <v>1</v>
      </c>
      <c r="J64" s="23">
        <f>Source!S53</f>
        <v>149.93</v>
      </c>
      <c r="K64" s="23"/>
    </row>
    <row r="65" spans="1:22" ht="14.25" x14ac:dyDescent="0.2">
      <c r="A65" s="20"/>
      <c r="B65" s="20"/>
      <c r="C65" s="20" t="s">
        <v>403</v>
      </c>
      <c r="D65" s="21"/>
      <c r="E65" s="9"/>
      <c r="F65" s="23">
        <f>Source!AL53</f>
        <v>67.86</v>
      </c>
      <c r="G65" s="22" t="str">
        <f>Source!DD53</f>
        <v/>
      </c>
      <c r="H65" s="9">
        <f>Source!AW53</f>
        <v>1</v>
      </c>
      <c r="I65" s="9">
        <f>IF(Source!BC53&lt;&gt; 0, Source!BC53, 1)</f>
        <v>1</v>
      </c>
      <c r="J65" s="23">
        <f>Source!P53</f>
        <v>13.57</v>
      </c>
      <c r="K65" s="23"/>
    </row>
    <row r="66" spans="1:22" ht="71.25" x14ac:dyDescent="0.2">
      <c r="A66" s="20" t="s">
        <v>93</v>
      </c>
      <c r="B66" s="20" t="str">
        <f>Source!F54</f>
        <v>21.13-3-40</v>
      </c>
      <c r="C66" s="20" t="str">
        <f>Source!G54</f>
        <v>Клапаны обратные латунные пружинные, с наружной резьбой и металлическим затвором, тип 223, P=1,6 МПа, Tmax=80°C, диаметр условного прохода 20 мм</v>
      </c>
      <c r="D66" s="21" t="str">
        <f>Source!H54</f>
        <v>шт.</v>
      </c>
      <c r="E66" s="9">
        <f>Source!I54</f>
        <v>2</v>
      </c>
      <c r="F66" s="23">
        <f>Source!AK54</f>
        <v>6110.12</v>
      </c>
      <c r="G66" s="30" t="s">
        <v>3</v>
      </c>
      <c r="H66" s="9">
        <f>Source!AW54</f>
        <v>1</v>
      </c>
      <c r="I66" s="9">
        <f>IF(Source!BC54&lt;&gt; 0, Source!BC54, 1)</f>
        <v>1</v>
      </c>
      <c r="J66" s="23">
        <f>Source!O54</f>
        <v>12220.24</v>
      </c>
      <c r="K66" s="23"/>
      <c r="Q66">
        <f>ROUND((Source!BZ54/100)*ROUND((Source!AF54*Source!AV54)*Source!I54, 2), 2)</f>
        <v>0</v>
      </c>
      <c r="R66">
        <f>Source!X54</f>
        <v>0</v>
      </c>
      <c r="S66">
        <f>ROUND((Source!CA54/100)*ROUND((Source!AF54*Source!AV54)*Source!I54, 2), 2)</f>
        <v>0</v>
      </c>
      <c r="T66">
        <f>Source!Y54</f>
        <v>0</v>
      </c>
      <c r="U66">
        <f>ROUND((175/100)*ROUND((Source!AE54*Source!AV54)*Source!I54, 2), 2)</f>
        <v>0</v>
      </c>
      <c r="V66">
        <f>ROUND((160/100)*ROUND(Source!CS54*Source!I54, 2), 2)</f>
        <v>0</v>
      </c>
    </row>
    <row r="67" spans="1:22" ht="14.25" x14ac:dyDescent="0.2">
      <c r="A67" s="20"/>
      <c r="B67" s="20"/>
      <c r="C67" s="20" t="s">
        <v>397</v>
      </c>
      <c r="D67" s="21" t="s">
        <v>398</v>
      </c>
      <c r="E67" s="9">
        <f>Source!AT53</f>
        <v>70</v>
      </c>
      <c r="F67" s="23"/>
      <c r="G67" s="22"/>
      <c r="H67" s="9"/>
      <c r="I67" s="9"/>
      <c r="J67" s="23">
        <f>SUM(R62:R66)</f>
        <v>104.95</v>
      </c>
      <c r="K67" s="23"/>
    </row>
    <row r="68" spans="1:22" ht="14.25" x14ac:dyDescent="0.2">
      <c r="A68" s="20"/>
      <c r="B68" s="20"/>
      <c r="C68" s="20" t="s">
        <v>399</v>
      </c>
      <c r="D68" s="21" t="s">
        <v>398</v>
      </c>
      <c r="E68" s="9">
        <f>Source!AU53</f>
        <v>10</v>
      </c>
      <c r="F68" s="23"/>
      <c r="G68" s="22"/>
      <c r="H68" s="9"/>
      <c r="I68" s="9"/>
      <c r="J68" s="23">
        <f>SUM(T62:T67)</f>
        <v>14.99</v>
      </c>
      <c r="K68" s="23"/>
    </row>
    <row r="69" spans="1:22" ht="14.25" x14ac:dyDescent="0.2">
      <c r="A69" s="20"/>
      <c r="B69" s="20"/>
      <c r="C69" s="20" t="s">
        <v>401</v>
      </c>
      <c r="D69" s="21" t="s">
        <v>402</v>
      </c>
      <c r="E69" s="9">
        <f>Source!AQ53</f>
        <v>1.72</v>
      </c>
      <c r="F69" s="23"/>
      <c r="G69" s="22" t="str">
        <f>Source!DI53</f>
        <v/>
      </c>
      <c r="H69" s="9">
        <f>Source!AV53</f>
        <v>1</v>
      </c>
      <c r="I69" s="9"/>
      <c r="J69" s="23"/>
      <c r="K69" s="23">
        <f>Source!U53</f>
        <v>0.34400000000000003</v>
      </c>
    </row>
    <row r="70" spans="1:22" ht="15" x14ac:dyDescent="0.25">
      <c r="A70" s="27"/>
      <c r="B70" s="27"/>
      <c r="C70" s="27"/>
      <c r="D70" s="27"/>
      <c r="E70" s="27"/>
      <c r="F70" s="27"/>
      <c r="G70" s="27"/>
      <c r="H70" s="27"/>
      <c r="I70" s="76">
        <f>J64+J65+J67+J68+SUM(J66:J66)</f>
        <v>12503.68</v>
      </c>
      <c r="J70" s="76"/>
      <c r="K70" s="28">
        <f>IF(Source!I53&lt;&gt;0, ROUND(I70/Source!I53, 2), 0)</f>
        <v>62518.400000000001</v>
      </c>
      <c r="P70" s="25">
        <f>I70</f>
        <v>12503.68</v>
      </c>
    </row>
    <row r="72" spans="1:22" ht="15" x14ac:dyDescent="0.25">
      <c r="A72" s="75" t="str">
        <f>CONCATENATE("Итого по подразделу: ",IF(Source!G56&lt;&gt;"Новый подраздел", Source!G56, ""))</f>
        <v>Итого по подразделу: ГВС/ХВС</v>
      </c>
      <c r="B72" s="75"/>
      <c r="C72" s="75"/>
      <c r="D72" s="75"/>
      <c r="E72" s="75"/>
      <c r="F72" s="75"/>
      <c r="G72" s="75"/>
      <c r="H72" s="75"/>
      <c r="I72" s="73">
        <f>SUM(P34:P71)</f>
        <v>22691.5</v>
      </c>
      <c r="J72" s="74"/>
      <c r="K72" s="31"/>
    </row>
    <row r="75" spans="1:22" ht="15" x14ac:dyDescent="0.25">
      <c r="A75" s="75" t="str">
        <f>CONCATENATE("Итого по разделу: ",IF(Source!G86&lt;&gt;"Новый раздел", Source!G86, ""))</f>
        <v>Итого по разделу: 2 эт. Санузел</v>
      </c>
      <c r="B75" s="75"/>
      <c r="C75" s="75"/>
      <c r="D75" s="75"/>
      <c r="E75" s="75"/>
      <c r="F75" s="75"/>
      <c r="G75" s="75"/>
      <c r="H75" s="75"/>
      <c r="I75" s="73">
        <f>SUM(P32:P74)</f>
        <v>22691.5</v>
      </c>
      <c r="J75" s="74"/>
      <c r="K75" s="31"/>
    </row>
    <row r="78" spans="1:22" ht="16.5" x14ac:dyDescent="0.25">
      <c r="A78" s="77" t="str">
        <f>CONCATENATE("Раздел: ",IF(Source!G116&lt;&gt;"Новый раздел", Source!G116, ""))</f>
        <v>Раздел: Подвал</v>
      </c>
      <c r="B78" s="77"/>
      <c r="C78" s="77"/>
      <c r="D78" s="77"/>
      <c r="E78" s="77"/>
      <c r="F78" s="77"/>
      <c r="G78" s="77"/>
      <c r="H78" s="77"/>
      <c r="I78" s="77"/>
      <c r="J78" s="77"/>
      <c r="K78" s="77"/>
    </row>
    <row r="80" spans="1:22" ht="16.5" x14ac:dyDescent="0.25">
      <c r="A80" s="77" t="str">
        <f>CONCATENATE("Подраздел: ",IF(Source!G120&lt;&gt;"Новый подраздел", Source!G120, ""))</f>
        <v>Подраздел: ХВС</v>
      </c>
      <c r="B80" s="77"/>
      <c r="C80" s="77"/>
      <c r="D80" s="77"/>
      <c r="E80" s="77"/>
      <c r="F80" s="77"/>
      <c r="G80" s="77"/>
      <c r="H80" s="77"/>
      <c r="I80" s="77"/>
      <c r="J80" s="77"/>
      <c r="K80" s="77"/>
    </row>
    <row r="81" spans="1:22" ht="42.75" x14ac:dyDescent="0.2">
      <c r="A81" s="20">
        <v>8</v>
      </c>
      <c r="B81" s="20" t="str">
        <f>Source!F124</f>
        <v>1.15-3104-1-3/1</v>
      </c>
      <c r="C81" s="20" t="str">
        <f>Source!G124</f>
        <v>Разборка трубопроводов из водогазопроводных труб диаметром до 50 мм</v>
      </c>
      <c r="D81" s="21" t="str">
        <f>Source!H124</f>
        <v>100 м</v>
      </c>
      <c r="E81" s="9">
        <f>Source!I124</f>
        <v>0.63</v>
      </c>
      <c r="F81" s="23"/>
      <c r="G81" s="22"/>
      <c r="H81" s="9"/>
      <c r="I81" s="9"/>
      <c r="J81" s="23"/>
      <c r="K81" s="23"/>
      <c r="Q81">
        <f>ROUND((Source!BZ124/100)*ROUND((Source!AF124*Source!AV124)*Source!I124, 2), 2)</f>
        <v>9213.83</v>
      </c>
      <c r="R81">
        <f>Source!X124</f>
        <v>9213.83</v>
      </c>
      <c r="S81">
        <f>ROUND((Source!CA124/100)*ROUND((Source!AF124*Source!AV124)*Source!I124, 2), 2)</f>
        <v>1316.26</v>
      </c>
      <c r="T81">
        <f>Source!Y124</f>
        <v>1316.26</v>
      </c>
      <c r="U81">
        <f>ROUND((175/100)*ROUND((Source!AE124*Source!AV124)*Source!I124, 2), 2)</f>
        <v>9.49</v>
      </c>
      <c r="V81">
        <f>ROUND((160/100)*ROUND(Source!CS124*Source!I124, 2), 2)</f>
        <v>8.67</v>
      </c>
    </row>
    <row r="82" spans="1:22" x14ac:dyDescent="0.2">
      <c r="C82" s="29" t="str">
        <f>"Объем: "&amp;Source!I124&amp;"=63/"&amp;"100"</f>
        <v>Объем: 0,63=63/100</v>
      </c>
    </row>
    <row r="83" spans="1:22" ht="14.25" x14ac:dyDescent="0.2">
      <c r="A83" s="20"/>
      <c r="B83" s="20"/>
      <c r="C83" s="20" t="s">
        <v>394</v>
      </c>
      <c r="D83" s="21"/>
      <c r="E83" s="9"/>
      <c r="F83" s="23">
        <f>Source!AO124</f>
        <v>20893.04</v>
      </c>
      <c r="G83" s="22" t="str">
        <f>Source!DG124</f>
        <v/>
      </c>
      <c r="H83" s="9">
        <f>Source!AV124</f>
        <v>1</v>
      </c>
      <c r="I83" s="9">
        <f>IF(Source!BA124&lt;&gt; 0, Source!BA124, 1)</f>
        <v>1</v>
      </c>
      <c r="J83" s="23">
        <f>Source!S124</f>
        <v>13162.62</v>
      </c>
      <c r="K83" s="23"/>
    </row>
    <row r="84" spans="1:22" ht="14.25" x14ac:dyDescent="0.2">
      <c r="A84" s="20"/>
      <c r="B84" s="20"/>
      <c r="C84" s="20" t="s">
        <v>395</v>
      </c>
      <c r="D84" s="21"/>
      <c r="E84" s="9"/>
      <c r="F84" s="23">
        <f>Source!AM124</f>
        <v>117.61</v>
      </c>
      <c r="G84" s="22" t="str">
        <f>Source!DE124</f>
        <v/>
      </c>
      <c r="H84" s="9">
        <f>Source!AV124</f>
        <v>1</v>
      </c>
      <c r="I84" s="9">
        <f>IF(Source!BB124&lt;&gt; 0, Source!BB124, 1)</f>
        <v>1</v>
      </c>
      <c r="J84" s="23">
        <f>Source!Q124</f>
        <v>74.09</v>
      </c>
      <c r="K84" s="23"/>
    </row>
    <row r="85" spans="1:22" ht="14.25" x14ac:dyDescent="0.2">
      <c r="A85" s="20"/>
      <c r="B85" s="20"/>
      <c r="C85" s="20" t="s">
        <v>396</v>
      </c>
      <c r="D85" s="21"/>
      <c r="E85" s="9"/>
      <c r="F85" s="23">
        <f>Source!AN124</f>
        <v>8.6</v>
      </c>
      <c r="G85" s="22" t="str">
        <f>Source!DF124</f>
        <v/>
      </c>
      <c r="H85" s="9">
        <f>Source!AV124</f>
        <v>1</v>
      </c>
      <c r="I85" s="9">
        <f>IF(Source!BS124&lt;&gt; 0, Source!BS124, 1)</f>
        <v>1</v>
      </c>
      <c r="J85" s="24">
        <f>Source!R124</f>
        <v>5.42</v>
      </c>
      <c r="K85" s="23"/>
    </row>
    <row r="86" spans="1:22" ht="14.25" x14ac:dyDescent="0.2">
      <c r="A86" s="20"/>
      <c r="B86" s="20"/>
      <c r="C86" s="20" t="s">
        <v>397</v>
      </c>
      <c r="D86" s="21" t="s">
        <v>398</v>
      </c>
      <c r="E86" s="9">
        <f>Source!AT124</f>
        <v>70</v>
      </c>
      <c r="F86" s="23"/>
      <c r="G86" s="22"/>
      <c r="H86" s="9"/>
      <c r="I86" s="9"/>
      <c r="J86" s="23">
        <f>SUM(R81:R85)</f>
        <v>9213.83</v>
      </c>
      <c r="K86" s="23"/>
    </row>
    <row r="87" spans="1:22" ht="14.25" x14ac:dyDescent="0.2">
      <c r="A87" s="20"/>
      <c r="B87" s="20"/>
      <c r="C87" s="20" t="s">
        <v>399</v>
      </c>
      <c r="D87" s="21" t="s">
        <v>398</v>
      </c>
      <c r="E87" s="9">
        <f>Source!AU124</f>
        <v>10</v>
      </c>
      <c r="F87" s="23"/>
      <c r="G87" s="22"/>
      <c r="H87" s="9"/>
      <c r="I87" s="9"/>
      <c r="J87" s="23">
        <f>SUM(T81:T86)</f>
        <v>1316.26</v>
      </c>
      <c r="K87" s="23"/>
    </row>
    <row r="88" spans="1:22" ht="14.25" x14ac:dyDescent="0.2">
      <c r="A88" s="20"/>
      <c r="B88" s="20"/>
      <c r="C88" s="20" t="s">
        <v>400</v>
      </c>
      <c r="D88" s="21" t="s">
        <v>398</v>
      </c>
      <c r="E88" s="9">
        <f>160</f>
        <v>160</v>
      </c>
      <c r="F88" s="23"/>
      <c r="G88" s="22"/>
      <c r="H88" s="9"/>
      <c r="I88" s="9"/>
      <c r="J88" s="23">
        <f>SUM(V81:V87)</f>
        <v>8.67</v>
      </c>
      <c r="K88" s="23"/>
    </row>
    <row r="89" spans="1:22" ht="14.25" x14ac:dyDescent="0.2">
      <c r="A89" s="20"/>
      <c r="B89" s="20"/>
      <c r="C89" s="20" t="s">
        <v>401</v>
      </c>
      <c r="D89" s="21" t="s">
        <v>402</v>
      </c>
      <c r="E89" s="9">
        <f>Source!AQ124</f>
        <v>60.32</v>
      </c>
      <c r="F89" s="23"/>
      <c r="G89" s="22" t="str">
        <f>Source!DI124</f>
        <v/>
      </c>
      <c r="H89" s="9">
        <f>Source!AV124</f>
        <v>1</v>
      </c>
      <c r="I89" s="9"/>
      <c r="J89" s="23"/>
      <c r="K89" s="23">
        <f>Source!U124</f>
        <v>38.001600000000003</v>
      </c>
    </row>
    <row r="90" spans="1:22" ht="15" x14ac:dyDescent="0.25">
      <c r="A90" s="27"/>
      <c r="B90" s="27"/>
      <c r="C90" s="27"/>
      <c r="D90" s="27"/>
      <c r="E90" s="27"/>
      <c r="F90" s="27"/>
      <c r="G90" s="27"/>
      <c r="H90" s="27"/>
      <c r="I90" s="76">
        <f>J83+J84+J86+J87+J88</f>
        <v>23775.469999999998</v>
      </c>
      <c r="J90" s="76"/>
      <c r="K90" s="28">
        <f>IF(Source!I124&lt;&gt;0, ROUND(I90/Source!I124, 2), 0)</f>
        <v>37738.839999999997</v>
      </c>
      <c r="P90" s="25">
        <f>I90</f>
        <v>23775.469999999998</v>
      </c>
    </row>
    <row r="91" spans="1:22" ht="42.75" x14ac:dyDescent="0.2">
      <c r="A91" s="20">
        <v>9</v>
      </c>
      <c r="B91" s="20" t="str">
        <f>Source!F125</f>
        <v>1.15-3104-1-5/1</v>
      </c>
      <c r="C91" s="20" t="str">
        <f>Source!G125</f>
        <v>Разборка трубопроводов из водогазопроводных труб диаметром до 80 мм</v>
      </c>
      <c r="D91" s="21" t="str">
        <f>Source!H125</f>
        <v>100 м</v>
      </c>
      <c r="E91" s="9">
        <f>Source!I125</f>
        <v>0.69</v>
      </c>
      <c r="F91" s="23"/>
      <c r="G91" s="22"/>
      <c r="H91" s="9"/>
      <c r="I91" s="9"/>
      <c r="J91" s="23"/>
      <c r="K91" s="23"/>
      <c r="Q91">
        <f>ROUND((Source!BZ125/100)*ROUND((Source!AF125*Source!AV125)*Source!I125, 2), 2)</f>
        <v>10805.75</v>
      </c>
      <c r="R91">
        <f>Source!X125</f>
        <v>10805.75</v>
      </c>
      <c r="S91">
        <f>ROUND((Source!CA125/100)*ROUND((Source!AF125*Source!AV125)*Source!I125, 2), 2)</f>
        <v>1543.68</v>
      </c>
      <c r="T91">
        <f>Source!Y125</f>
        <v>1543.68</v>
      </c>
      <c r="U91">
        <f>ROUND((175/100)*ROUND((Source!AE125*Source!AV125)*Source!I125, 2), 2)</f>
        <v>2.31</v>
      </c>
      <c r="V91">
        <f>ROUND((160/100)*ROUND(Source!CS125*Source!I125, 2), 2)</f>
        <v>2.11</v>
      </c>
    </row>
    <row r="92" spans="1:22" x14ac:dyDescent="0.2">
      <c r="C92" s="29" t="str">
        <f>"Объем: "&amp;Source!I125&amp;"=69/"&amp;"100"</f>
        <v>Объем: 0,69=69/100</v>
      </c>
    </row>
    <row r="93" spans="1:22" ht="14.25" x14ac:dyDescent="0.2">
      <c r="A93" s="20"/>
      <c r="B93" s="20"/>
      <c r="C93" s="20" t="s">
        <v>394</v>
      </c>
      <c r="D93" s="21"/>
      <c r="E93" s="9"/>
      <c r="F93" s="23">
        <f>Source!AO125</f>
        <v>22372.16</v>
      </c>
      <c r="G93" s="22" t="str">
        <f>Source!DG125</f>
        <v/>
      </c>
      <c r="H93" s="9">
        <f>Source!AV125</f>
        <v>1</v>
      </c>
      <c r="I93" s="9">
        <f>IF(Source!BA125&lt;&gt; 0, Source!BA125, 1)</f>
        <v>1</v>
      </c>
      <c r="J93" s="23">
        <f>Source!S125</f>
        <v>15436.79</v>
      </c>
      <c r="K93" s="23"/>
    </row>
    <row r="94" spans="1:22" ht="14.25" x14ac:dyDescent="0.2">
      <c r="A94" s="20"/>
      <c r="B94" s="20"/>
      <c r="C94" s="20" t="s">
        <v>395</v>
      </c>
      <c r="D94" s="21"/>
      <c r="E94" s="9"/>
      <c r="F94" s="23">
        <f>Source!AM125</f>
        <v>58.17</v>
      </c>
      <c r="G94" s="22" t="str">
        <f>Source!DE125</f>
        <v/>
      </c>
      <c r="H94" s="9">
        <f>Source!AV125</f>
        <v>1</v>
      </c>
      <c r="I94" s="9">
        <f>IF(Source!BB125&lt;&gt; 0, Source!BB125, 1)</f>
        <v>1</v>
      </c>
      <c r="J94" s="23">
        <f>Source!Q125</f>
        <v>40.14</v>
      </c>
      <c r="K94" s="23"/>
    </row>
    <row r="95" spans="1:22" ht="14.25" x14ac:dyDescent="0.2">
      <c r="A95" s="20"/>
      <c r="B95" s="20"/>
      <c r="C95" s="20" t="s">
        <v>396</v>
      </c>
      <c r="D95" s="21"/>
      <c r="E95" s="9"/>
      <c r="F95" s="23">
        <f>Source!AN125</f>
        <v>1.92</v>
      </c>
      <c r="G95" s="22" t="str">
        <f>Source!DF125</f>
        <v/>
      </c>
      <c r="H95" s="9">
        <f>Source!AV125</f>
        <v>1</v>
      </c>
      <c r="I95" s="9">
        <f>IF(Source!BS125&lt;&gt; 0, Source!BS125, 1)</f>
        <v>1</v>
      </c>
      <c r="J95" s="24">
        <f>Source!R125</f>
        <v>1.32</v>
      </c>
      <c r="K95" s="23"/>
    </row>
    <row r="96" spans="1:22" ht="14.25" x14ac:dyDescent="0.2">
      <c r="A96" s="20"/>
      <c r="B96" s="20"/>
      <c r="C96" s="20" t="s">
        <v>403</v>
      </c>
      <c r="D96" s="21"/>
      <c r="E96" s="9"/>
      <c r="F96" s="23">
        <f>Source!AL125</f>
        <v>366.13</v>
      </c>
      <c r="G96" s="22" t="str">
        <f>Source!DD125</f>
        <v/>
      </c>
      <c r="H96" s="9">
        <f>Source!AW125</f>
        <v>1</v>
      </c>
      <c r="I96" s="9">
        <f>IF(Source!BC125&lt;&gt; 0, Source!BC125, 1)</f>
        <v>1</v>
      </c>
      <c r="J96" s="23">
        <f>Source!P125</f>
        <v>252.63</v>
      </c>
      <c r="K96" s="23"/>
    </row>
    <row r="97" spans="1:22" ht="14.25" x14ac:dyDescent="0.2">
      <c r="A97" s="20"/>
      <c r="B97" s="20"/>
      <c r="C97" s="20" t="s">
        <v>397</v>
      </c>
      <c r="D97" s="21" t="s">
        <v>398</v>
      </c>
      <c r="E97" s="9">
        <f>Source!AT125</f>
        <v>70</v>
      </c>
      <c r="F97" s="23"/>
      <c r="G97" s="22"/>
      <c r="H97" s="9"/>
      <c r="I97" s="9"/>
      <c r="J97" s="23">
        <f>SUM(R91:R96)</f>
        <v>10805.75</v>
      </c>
      <c r="K97" s="23"/>
    </row>
    <row r="98" spans="1:22" ht="14.25" x14ac:dyDescent="0.2">
      <c r="A98" s="20"/>
      <c r="B98" s="20"/>
      <c r="C98" s="20" t="s">
        <v>399</v>
      </c>
      <c r="D98" s="21" t="s">
        <v>398</v>
      </c>
      <c r="E98" s="9">
        <f>Source!AU125</f>
        <v>10</v>
      </c>
      <c r="F98" s="23"/>
      <c r="G98" s="22"/>
      <c r="H98" s="9"/>
      <c r="I98" s="9"/>
      <c r="J98" s="23">
        <f>SUM(T91:T97)</f>
        <v>1543.68</v>
      </c>
      <c r="K98" s="23"/>
    </row>
    <row r="99" spans="1:22" ht="14.25" x14ac:dyDescent="0.2">
      <c r="A99" s="20"/>
      <c r="B99" s="20"/>
      <c r="C99" s="20" t="s">
        <v>400</v>
      </c>
      <c r="D99" s="21" t="s">
        <v>398</v>
      </c>
      <c r="E99" s="9">
        <f>160</f>
        <v>160</v>
      </c>
      <c r="F99" s="23"/>
      <c r="G99" s="22"/>
      <c r="H99" s="9"/>
      <c r="I99" s="9"/>
      <c r="J99" s="23">
        <f>SUM(V91:V98)</f>
        <v>2.11</v>
      </c>
      <c r="K99" s="23"/>
    </row>
    <row r="100" spans="1:22" ht="14.25" x14ac:dyDescent="0.2">
      <c r="A100" s="20"/>
      <c r="B100" s="20"/>
      <c r="C100" s="20" t="s">
        <v>401</v>
      </c>
      <c r="D100" s="21" t="s">
        <v>402</v>
      </c>
      <c r="E100" s="9">
        <f>Source!AQ125</f>
        <v>59.13</v>
      </c>
      <c r="F100" s="23"/>
      <c r="G100" s="22" t="str">
        <f>Source!DI125</f>
        <v/>
      </c>
      <c r="H100" s="9">
        <f>Source!AV125</f>
        <v>1</v>
      </c>
      <c r="I100" s="9"/>
      <c r="J100" s="23"/>
      <c r="K100" s="23">
        <f>Source!U125</f>
        <v>40.799700000000001</v>
      </c>
    </row>
    <row r="101" spans="1:22" ht="15" x14ac:dyDescent="0.25">
      <c r="A101" s="27"/>
      <c r="B101" s="27"/>
      <c r="C101" s="27"/>
      <c r="D101" s="27"/>
      <c r="E101" s="27"/>
      <c r="F101" s="27"/>
      <c r="G101" s="27"/>
      <c r="H101" s="27"/>
      <c r="I101" s="76">
        <f>J93+J94+J96+J97+J98+J99</f>
        <v>28081.1</v>
      </c>
      <c r="J101" s="76"/>
      <c r="K101" s="28">
        <f>IF(Source!I125&lt;&gt;0, ROUND(I101/Source!I125, 2), 0)</f>
        <v>40697.25</v>
      </c>
      <c r="P101" s="25">
        <f>I101</f>
        <v>28081.1</v>
      </c>
    </row>
    <row r="102" spans="1:22" ht="42.75" x14ac:dyDescent="0.2">
      <c r="A102" s="20">
        <v>10</v>
      </c>
      <c r="B102" s="20" t="str">
        <f>Source!F126</f>
        <v>1.15-3103-7-2/1</v>
      </c>
      <c r="C102" s="20" t="str">
        <f>Source!G126</f>
        <v>Прокладка трубопроводов водоснабжения из стальных электросварных труб диаметром 50 мм</v>
      </c>
      <c r="D102" s="21" t="str">
        <f>Source!H126</f>
        <v>100 м</v>
      </c>
      <c r="E102" s="9">
        <f>Source!I126</f>
        <v>0.63</v>
      </c>
      <c r="F102" s="23"/>
      <c r="G102" s="22"/>
      <c r="H102" s="9"/>
      <c r="I102" s="9"/>
      <c r="J102" s="23"/>
      <c r="K102" s="23"/>
      <c r="Q102">
        <f>ROUND((Source!BZ126/100)*ROUND((Source!AF126*Source!AV126)*Source!I126, 2), 2)</f>
        <v>12406.86</v>
      </c>
      <c r="R102">
        <f>Source!X126</f>
        <v>12406.86</v>
      </c>
      <c r="S102">
        <f>ROUND((Source!CA126/100)*ROUND((Source!AF126*Source!AV126)*Source!I126, 2), 2)</f>
        <v>1772.41</v>
      </c>
      <c r="T102">
        <f>Source!Y126</f>
        <v>1772.41</v>
      </c>
      <c r="U102">
        <f>ROUND((175/100)*ROUND((Source!AE126*Source!AV126)*Source!I126, 2), 2)</f>
        <v>5.5</v>
      </c>
      <c r="V102">
        <f>ROUND((160/100)*ROUND(Source!CS126*Source!I126, 2), 2)</f>
        <v>5.0199999999999996</v>
      </c>
    </row>
    <row r="103" spans="1:22" ht="14.25" x14ac:dyDescent="0.2">
      <c r="A103" s="20"/>
      <c r="B103" s="20"/>
      <c r="C103" s="20" t="s">
        <v>394</v>
      </c>
      <c r="D103" s="21"/>
      <c r="E103" s="9"/>
      <c r="F103" s="23">
        <f>Source!AO126</f>
        <v>28133.46</v>
      </c>
      <c r="G103" s="22" t="str">
        <f>Source!DG126</f>
        <v/>
      </c>
      <c r="H103" s="9">
        <f>Source!AV126</f>
        <v>1</v>
      </c>
      <c r="I103" s="9">
        <f>IF(Source!BA126&lt;&gt; 0, Source!BA126, 1)</f>
        <v>1</v>
      </c>
      <c r="J103" s="23">
        <f>Source!S126</f>
        <v>17724.080000000002</v>
      </c>
      <c r="K103" s="23"/>
    </row>
    <row r="104" spans="1:22" ht="14.25" x14ac:dyDescent="0.2">
      <c r="A104" s="20"/>
      <c r="B104" s="20"/>
      <c r="C104" s="20" t="s">
        <v>395</v>
      </c>
      <c r="D104" s="21"/>
      <c r="E104" s="9"/>
      <c r="F104" s="23">
        <f>Source!AM126</f>
        <v>151.27000000000001</v>
      </c>
      <c r="G104" s="22" t="str">
        <f>Source!DE126</f>
        <v/>
      </c>
      <c r="H104" s="9">
        <f>Source!AV126</f>
        <v>1</v>
      </c>
      <c r="I104" s="9">
        <f>IF(Source!BB126&lt;&gt; 0, Source!BB126, 1)</f>
        <v>1</v>
      </c>
      <c r="J104" s="23">
        <f>Source!Q126</f>
        <v>95.3</v>
      </c>
      <c r="K104" s="23"/>
    </row>
    <row r="105" spans="1:22" ht="14.25" x14ac:dyDescent="0.2">
      <c r="A105" s="20"/>
      <c r="B105" s="20"/>
      <c r="C105" s="20" t="s">
        <v>396</v>
      </c>
      <c r="D105" s="21"/>
      <c r="E105" s="9"/>
      <c r="F105" s="23">
        <f>Source!AN126</f>
        <v>4.9800000000000004</v>
      </c>
      <c r="G105" s="22" t="str">
        <f>Source!DF126</f>
        <v/>
      </c>
      <c r="H105" s="9">
        <f>Source!AV126</f>
        <v>1</v>
      </c>
      <c r="I105" s="9">
        <f>IF(Source!BS126&lt;&gt; 0, Source!BS126, 1)</f>
        <v>1</v>
      </c>
      <c r="J105" s="24">
        <f>Source!R126</f>
        <v>3.14</v>
      </c>
      <c r="K105" s="23"/>
    </row>
    <row r="106" spans="1:22" ht="14.25" x14ac:dyDescent="0.2">
      <c r="A106" s="20"/>
      <c r="B106" s="20"/>
      <c r="C106" s="20" t="s">
        <v>403</v>
      </c>
      <c r="D106" s="21"/>
      <c r="E106" s="9"/>
      <c r="F106" s="23">
        <f>Source!AL126</f>
        <v>48217.59</v>
      </c>
      <c r="G106" s="22" t="str">
        <f>Source!DD126</f>
        <v/>
      </c>
      <c r="H106" s="9">
        <f>Source!AW126</f>
        <v>1</v>
      </c>
      <c r="I106" s="9">
        <f>IF(Source!BC126&lt;&gt; 0, Source!BC126, 1)</f>
        <v>1</v>
      </c>
      <c r="J106" s="23">
        <f>Source!P126</f>
        <v>30377.08</v>
      </c>
      <c r="K106" s="23"/>
    </row>
    <row r="107" spans="1:22" ht="57" x14ac:dyDescent="0.2">
      <c r="A107" s="20" t="s">
        <v>165</v>
      </c>
      <c r="B107" s="20" t="str">
        <f>Source!F127</f>
        <v>21.12-1-12</v>
      </c>
      <c r="C107" s="20" t="str">
        <f>Source!G127</f>
        <v>Узлы трубопроводов из стальных водогазопроводных оцинкованных труб с гильзами для водоснабжения, диаметр условного прохода 50мм</v>
      </c>
      <c r="D107" s="21" t="str">
        <f>Source!H127</f>
        <v>м</v>
      </c>
      <c r="E107" s="9">
        <f>Source!I127</f>
        <v>63</v>
      </c>
      <c r="F107" s="23">
        <f>Source!AK127</f>
        <v>765.86</v>
      </c>
      <c r="G107" s="30" t="s">
        <v>3</v>
      </c>
      <c r="H107" s="9">
        <f>Source!AW127</f>
        <v>1</v>
      </c>
      <c r="I107" s="9">
        <f>IF(Source!BC127&lt;&gt; 0, Source!BC127, 1)</f>
        <v>1</v>
      </c>
      <c r="J107" s="23">
        <f>Source!O127</f>
        <v>48249.18</v>
      </c>
      <c r="K107" s="23"/>
      <c r="Q107">
        <f>ROUND((Source!BZ127/100)*ROUND((Source!AF127*Source!AV127)*Source!I127, 2), 2)</f>
        <v>0</v>
      </c>
      <c r="R107">
        <f>Source!X127</f>
        <v>0</v>
      </c>
      <c r="S107">
        <f>ROUND((Source!CA127/100)*ROUND((Source!AF127*Source!AV127)*Source!I127, 2), 2)</f>
        <v>0</v>
      </c>
      <c r="T107">
        <f>Source!Y127</f>
        <v>0</v>
      </c>
      <c r="U107">
        <f>ROUND((175/100)*ROUND((Source!AE127*Source!AV127)*Source!I127, 2), 2)</f>
        <v>0</v>
      </c>
      <c r="V107">
        <f>ROUND((160/100)*ROUND(Source!CS127*Source!I127, 2), 2)</f>
        <v>0</v>
      </c>
    </row>
    <row r="108" spans="1:22" ht="71.25" x14ac:dyDescent="0.2">
      <c r="A108" s="20" t="s">
        <v>169</v>
      </c>
      <c r="B108" s="20" t="str">
        <f>Source!F128</f>
        <v>21.12-1-30</v>
      </c>
      <c r="C108" s="20" t="str">
        <f>Source!G128</f>
        <v>Узлы трубопроводов отопления, водоснабжения из стальных электросварных труб с гильзами, наружный диаметр (толщина стенки) 57х3,5мм</v>
      </c>
      <c r="D108" s="21" t="str">
        <f>Source!H128</f>
        <v>м</v>
      </c>
      <c r="E108" s="9">
        <f>Source!I128</f>
        <v>-63</v>
      </c>
      <c r="F108" s="23">
        <f>Source!AK128</f>
        <v>476.24</v>
      </c>
      <c r="G108" s="30" t="s">
        <v>3</v>
      </c>
      <c r="H108" s="9">
        <f>Source!AW128</f>
        <v>1</v>
      </c>
      <c r="I108" s="9">
        <f>IF(Source!BC128&lt;&gt; 0, Source!BC128, 1)</f>
        <v>1</v>
      </c>
      <c r="J108" s="23">
        <f>Source!O128</f>
        <v>-30003.119999999999</v>
      </c>
      <c r="K108" s="23"/>
      <c r="Q108">
        <f>ROUND((Source!BZ128/100)*ROUND((Source!AF128*Source!AV128)*Source!I128, 2), 2)</f>
        <v>0</v>
      </c>
      <c r="R108">
        <f>Source!X128</f>
        <v>0</v>
      </c>
      <c r="S108">
        <f>ROUND((Source!CA128/100)*ROUND((Source!AF128*Source!AV128)*Source!I128, 2), 2)</f>
        <v>0</v>
      </c>
      <c r="T108">
        <f>Source!Y128</f>
        <v>0</v>
      </c>
      <c r="U108">
        <f>ROUND((175/100)*ROUND((Source!AE128*Source!AV128)*Source!I128, 2), 2)</f>
        <v>0</v>
      </c>
      <c r="V108">
        <f>ROUND((160/100)*ROUND(Source!CS128*Source!I128, 2), 2)</f>
        <v>0</v>
      </c>
    </row>
    <row r="109" spans="1:22" ht="14.25" x14ac:dyDescent="0.2">
      <c r="A109" s="20"/>
      <c r="B109" s="20"/>
      <c r="C109" s="20" t="s">
        <v>397</v>
      </c>
      <c r="D109" s="21" t="s">
        <v>398</v>
      </c>
      <c r="E109" s="9">
        <f>Source!AT126</f>
        <v>70</v>
      </c>
      <c r="F109" s="23"/>
      <c r="G109" s="22"/>
      <c r="H109" s="9"/>
      <c r="I109" s="9"/>
      <c r="J109" s="23">
        <f>SUM(R102:R108)</f>
        <v>12406.86</v>
      </c>
      <c r="K109" s="23"/>
    </row>
    <row r="110" spans="1:22" ht="14.25" x14ac:dyDescent="0.2">
      <c r="A110" s="20"/>
      <c r="B110" s="20"/>
      <c r="C110" s="20" t="s">
        <v>399</v>
      </c>
      <c r="D110" s="21" t="s">
        <v>398</v>
      </c>
      <c r="E110" s="9">
        <f>Source!AU126</f>
        <v>10</v>
      </c>
      <c r="F110" s="23"/>
      <c r="G110" s="22"/>
      <c r="H110" s="9"/>
      <c r="I110" s="9"/>
      <c r="J110" s="23">
        <f>SUM(T102:T109)</f>
        <v>1772.41</v>
      </c>
      <c r="K110" s="23"/>
    </row>
    <row r="111" spans="1:22" ht="14.25" x14ac:dyDescent="0.2">
      <c r="A111" s="20"/>
      <c r="B111" s="20"/>
      <c r="C111" s="20" t="s">
        <v>400</v>
      </c>
      <c r="D111" s="21" t="s">
        <v>398</v>
      </c>
      <c r="E111" s="9">
        <f>160</f>
        <v>160</v>
      </c>
      <c r="F111" s="23"/>
      <c r="G111" s="22"/>
      <c r="H111" s="9"/>
      <c r="I111" s="9"/>
      <c r="J111" s="23">
        <f>SUM(V102:V110)</f>
        <v>5.0199999999999996</v>
      </c>
      <c r="K111" s="23"/>
    </row>
    <row r="112" spans="1:22" ht="14.25" x14ac:dyDescent="0.2">
      <c r="A112" s="20"/>
      <c r="B112" s="20"/>
      <c r="C112" s="20" t="s">
        <v>401</v>
      </c>
      <c r="D112" s="21" t="s">
        <v>402</v>
      </c>
      <c r="E112" s="9">
        <f>Source!AQ126</f>
        <v>63.6</v>
      </c>
      <c r="F112" s="23"/>
      <c r="G112" s="22" t="str">
        <f>Source!DI126</f>
        <v/>
      </c>
      <c r="H112" s="9">
        <f>Source!AV126</f>
        <v>1</v>
      </c>
      <c r="I112" s="9"/>
      <c r="J112" s="23"/>
      <c r="K112" s="23">
        <f>Source!U126</f>
        <v>40.067999999999998</v>
      </c>
    </row>
    <row r="113" spans="1:22" ht="15" x14ac:dyDescent="0.25">
      <c r="A113" s="27"/>
      <c r="B113" s="27"/>
      <c r="C113" s="27"/>
      <c r="D113" s="27"/>
      <c r="E113" s="27"/>
      <c r="F113" s="27"/>
      <c r="G113" s="27"/>
      <c r="H113" s="27"/>
      <c r="I113" s="76">
        <f>J103+J104+J106+J109+J110+J111+SUM(J107:J108)</f>
        <v>80626.810000000012</v>
      </c>
      <c r="J113" s="76"/>
      <c r="K113" s="28">
        <f>IF(Source!I126&lt;&gt;0, ROUND(I113/Source!I126, 2), 0)</f>
        <v>127979.06</v>
      </c>
      <c r="P113" s="25">
        <f>I113</f>
        <v>80626.810000000012</v>
      </c>
    </row>
    <row r="114" spans="1:22" ht="42.75" x14ac:dyDescent="0.2">
      <c r="A114" s="20">
        <v>11</v>
      </c>
      <c r="B114" s="20" t="str">
        <f>Source!F129</f>
        <v>1.15-3103-7-4/1</v>
      </c>
      <c r="C114" s="20" t="str">
        <f>Source!G129</f>
        <v>Прокладка трубопроводов водоснабжения из стальных электросварных труб диаметром 80 мм</v>
      </c>
      <c r="D114" s="21" t="str">
        <f>Source!H129</f>
        <v>100 м</v>
      </c>
      <c r="E114" s="9">
        <f>Source!I129</f>
        <v>0.69</v>
      </c>
      <c r="F114" s="23"/>
      <c r="G114" s="22"/>
      <c r="H114" s="9"/>
      <c r="I114" s="9"/>
      <c r="J114" s="23"/>
      <c r="K114" s="23"/>
      <c r="Q114">
        <f>ROUND((Source!BZ129/100)*ROUND((Source!AF129*Source!AV129)*Source!I129, 2), 2)</f>
        <v>17237.86</v>
      </c>
      <c r="R114">
        <f>Source!X129</f>
        <v>17237.86</v>
      </c>
      <c r="S114">
        <f>ROUND((Source!CA129/100)*ROUND((Source!AF129*Source!AV129)*Source!I129, 2), 2)</f>
        <v>2462.5500000000002</v>
      </c>
      <c r="T114">
        <f>Source!Y129</f>
        <v>2462.5500000000002</v>
      </c>
      <c r="U114">
        <f>ROUND((175/100)*ROUND((Source!AE129*Source!AV129)*Source!I129, 2), 2)</f>
        <v>10.9</v>
      </c>
      <c r="V114">
        <f>ROUND((160/100)*ROUND(Source!CS129*Source!I129, 2), 2)</f>
        <v>9.9700000000000006</v>
      </c>
    </row>
    <row r="115" spans="1:22" ht="14.25" x14ac:dyDescent="0.2">
      <c r="A115" s="20"/>
      <c r="B115" s="20"/>
      <c r="C115" s="20" t="s">
        <v>394</v>
      </c>
      <c r="D115" s="21"/>
      <c r="E115" s="9"/>
      <c r="F115" s="23">
        <f>Source!AO129</f>
        <v>35689.14</v>
      </c>
      <c r="G115" s="22" t="str">
        <f>Source!DG129</f>
        <v/>
      </c>
      <c r="H115" s="9">
        <f>Source!AV129</f>
        <v>1</v>
      </c>
      <c r="I115" s="9">
        <f>IF(Source!BA129&lt;&gt; 0, Source!BA129, 1)</f>
        <v>1</v>
      </c>
      <c r="J115" s="23">
        <f>Source!S129</f>
        <v>24625.51</v>
      </c>
      <c r="K115" s="23"/>
    </row>
    <row r="116" spans="1:22" ht="14.25" x14ac:dyDescent="0.2">
      <c r="A116" s="20"/>
      <c r="B116" s="20"/>
      <c r="C116" s="20" t="s">
        <v>395</v>
      </c>
      <c r="D116" s="21"/>
      <c r="E116" s="9"/>
      <c r="F116" s="23">
        <f>Source!AM129</f>
        <v>274.25</v>
      </c>
      <c r="G116" s="22" t="str">
        <f>Source!DE129</f>
        <v/>
      </c>
      <c r="H116" s="9">
        <f>Source!AV129</f>
        <v>1</v>
      </c>
      <c r="I116" s="9">
        <f>IF(Source!BB129&lt;&gt; 0, Source!BB129, 1)</f>
        <v>1</v>
      </c>
      <c r="J116" s="23">
        <f>Source!Q129</f>
        <v>189.23</v>
      </c>
      <c r="K116" s="23"/>
    </row>
    <row r="117" spans="1:22" ht="14.25" x14ac:dyDescent="0.2">
      <c r="A117" s="20"/>
      <c r="B117" s="20"/>
      <c r="C117" s="20" t="s">
        <v>396</v>
      </c>
      <c r="D117" s="21"/>
      <c r="E117" s="9"/>
      <c r="F117" s="23">
        <f>Source!AN129</f>
        <v>9.0299999999999994</v>
      </c>
      <c r="G117" s="22" t="str">
        <f>Source!DF129</f>
        <v/>
      </c>
      <c r="H117" s="9">
        <f>Source!AV129</f>
        <v>1</v>
      </c>
      <c r="I117" s="9">
        <f>IF(Source!BS129&lt;&gt; 0, Source!BS129, 1)</f>
        <v>1</v>
      </c>
      <c r="J117" s="24">
        <f>Source!R129</f>
        <v>6.23</v>
      </c>
      <c r="K117" s="23"/>
    </row>
    <row r="118" spans="1:22" ht="14.25" x14ac:dyDescent="0.2">
      <c r="A118" s="20"/>
      <c r="B118" s="20"/>
      <c r="C118" s="20" t="s">
        <v>403</v>
      </c>
      <c r="D118" s="21"/>
      <c r="E118" s="9"/>
      <c r="F118" s="23">
        <f>Source!AL129</f>
        <v>76234.149999999994</v>
      </c>
      <c r="G118" s="22" t="str">
        <f>Source!DD129</f>
        <v/>
      </c>
      <c r="H118" s="9">
        <f>Source!AW129</f>
        <v>1</v>
      </c>
      <c r="I118" s="9">
        <f>IF(Source!BC129&lt;&gt; 0, Source!BC129, 1)</f>
        <v>1</v>
      </c>
      <c r="J118" s="23">
        <f>Source!P129</f>
        <v>52601.56</v>
      </c>
      <c r="K118" s="23"/>
    </row>
    <row r="119" spans="1:22" ht="57" x14ac:dyDescent="0.2">
      <c r="A119" s="20" t="s">
        <v>177</v>
      </c>
      <c r="B119" s="20" t="str">
        <f>Source!F130</f>
        <v>21.12-1-17</v>
      </c>
      <c r="C119" s="20" t="str">
        <f>Source!G130</f>
        <v>Узлы трубопроводов из стальных водогазопроводных оцинкованных труб с гильзами для водоснабжения, диаметр условного прохода 90мм</v>
      </c>
      <c r="D119" s="21" t="str">
        <f>Source!H130</f>
        <v>м</v>
      </c>
      <c r="E119" s="9">
        <f>Source!I130</f>
        <v>69</v>
      </c>
      <c r="F119" s="23">
        <f>Source!AK130</f>
        <v>1896.47</v>
      </c>
      <c r="G119" s="30" t="s">
        <v>3</v>
      </c>
      <c r="H119" s="9">
        <f>Source!AW130</f>
        <v>1</v>
      </c>
      <c r="I119" s="9">
        <f>IF(Source!BC130&lt;&gt; 0, Source!BC130, 1)</f>
        <v>1</v>
      </c>
      <c r="J119" s="23">
        <f>Source!O130</f>
        <v>130856.43</v>
      </c>
      <c r="K119" s="23"/>
      <c r="Q119">
        <f>ROUND((Source!BZ130/100)*ROUND((Source!AF130*Source!AV130)*Source!I130, 2), 2)</f>
        <v>0</v>
      </c>
      <c r="R119">
        <f>Source!X130</f>
        <v>0</v>
      </c>
      <c r="S119">
        <f>ROUND((Source!CA130/100)*ROUND((Source!AF130*Source!AV130)*Source!I130, 2), 2)</f>
        <v>0</v>
      </c>
      <c r="T119">
        <f>Source!Y130</f>
        <v>0</v>
      </c>
      <c r="U119">
        <f>ROUND((175/100)*ROUND((Source!AE130*Source!AV130)*Source!I130, 2), 2)</f>
        <v>0</v>
      </c>
      <c r="V119">
        <f>ROUND((160/100)*ROUND(Source!CS130*Source!I130, 2), 2)</f>
        <v>0</v>
      </c>
    </row>
    <row r="120" spans="1:22" ht="71.25" x14ac:dyDescent="0.2">
      <c r="A120" s="20" t="s">
        <v>181</v>
      </c>
      <c r="B120" s="20" t="str">
        <f>Source!F131</f>
        <v>21.12-1-32</v>
      </c>
      <c r="C120" s="20" t="str">
        <f>Source!G131</f>
        <v>Узлы трубопроводов отопления, водоснабжения из стальных электросварных труб с гильзами, наружный диаметр (толщина стенки) 89х3,5мм</v>
      </c>
      <c r="D120" s="21" t="str">
        <f>Source!H131</f>
        <v>м</v>
      </c>
      <c r="E120" s="9">
        <f>Source!I131</f>
        <v>-69</v>
      </c>
      <c r="F120" s="23">
        <f>Source!AK131</f>
        <v>752.92</v>
      </c>
      <c r="G120" s="30" t="s">
        <v>3</v>
      </c>
      <c r="H120" s="9">
        <f>Source!AW131</f>
        <v>1</v>
      </c>
      <c r="I120" s="9">
        <f>IF(Source!BC131&lt;&gt; 0, Source!BC131, 1)</f>
        <v>1</v>
      </c>
      <c r="J120" s="23">
        <f>Source!O131</f>
        <v>-51951.48</v>
      </c>
      <c r="K120" s="23"/>
      <c r="Q120">
        <f>ROUND((Source!BZ131/100)*ROUND((Source!AF131*Source!AV131)*Source!I131, 2), 2)</f>
        <v>0</v>
      </c>
      <c r="R120">
        <f>Source!X131</f>
        <v>0</v>
      </c>
      <c r="S120">
        <f>ROUND((Source!CA131/100)*ROUND((Source!AF131*Source!AV131)*Source!I131, 2), 2)</f>
        <v>0</v>
      </c>
      <c r="T120">
        <f>Source!Y131</f>
        <v>0</v>
      </c>
      <c r="U120">
        <f>ROUND((175/100)*ROUND((Source!AE131*Source!AV131)*Source!I131, 2), 2)</f>
        <v>0</v>
      </c>
      <c r="V120">
        <f>ROUND((160/100)*ROUND(Source!CS131*Source!I131, 2), 2)</f>
        <v>0</v>
      </c>
    </row>
    <row r="121" spans="1:22" ht="14.25" x14ac:dyDescent="0.2">
      <c r="A121" s="20"/>
      <c r="B121" s="20"/>
      <c r="C121" s="20" t="s">
        <v>397</v>
      </c>
      <c r="D121" s="21" t="s">
        <v>398</v>
      </c>
      <c r="E121" s="9">
        <f>Source!AT129</f>
        <v>70</v>
      </c>
      <c r="F121" s="23"/>
      <c r="G121" s="22"/>
      <c r="H121" s="9"/>
      <c r="I121" s="9"/>
      <c r="J121" s="23">
        <f>SUM(R114:R120)</f>
        <v>17237.86</v>
      </c>
      <c r="K121" s="23"/>
    </row>
    <row r="122" spans="1:22" ht="14.25" x14ac:dyDescent="0.2">
      <c r="A122" s="20"/>
      <c r="B122" s="20"/>
      <c r="C122" s="20" t="s">
        <v>399</v>
      </c>
      <c r="D122" s="21" t="s">
        <v>398</v>
      </c>
      <c r="E122" s="9">
        <f>Source!AU129</f>
        <v>10</v>
      </c>
      <c r="F122" s="23"/>
      <c r="G122" s="22"/>
      <c r="H122" s="9"/>
      <c r="I122" s="9"/>
      <c r="J122" s="23">
        <f>SUM(T114:T121)</f>
        <v>2462.5500000000002</v>
      </c>
      <c r="K122" s="23"/>
    </row>
    <row r="123" spans="1:22" ht="14.25" x14ac:dyDescent="0.2">
      <c r="A123" s="20"/>
      <c r="B123" s="20"/>
      <c r="C123" s="20" t="s">
        <v>400</v>
      </c>
      <c r="D123" s="21" t="s">
        <v>398</v>
      </c>
      <c r="E123" s="9">
        <f>160</f>
        <v>160</v>
      </c>
      <c r="F123" s="23"/>
      <c r="G123" s="22"/>
      <c r="H123" s="9"/>
      <c r="I123" s="9"/>
      <c r="J123" s="23">
        <f>SUM(V114:V122)</f>
        <v>9.9700000000000006</v>
      </c>
      <c r="K123" s="23"/>
    </row>
    <row r="124" spans="1:22" ht="14.25" x14ac:dyDescent="0.2">
      <c r="A124" s="20"/>
      <c r="B124" s="20"/>
      <c r="C124" s="20" t="s">
        <v>401</v>
      </c>
      <c r="D124" s="21" t="s">
        <v>402</v>
      </c>
      <c r="E124" s="9">
        <f>Source!AQ129</f>
        <v>83.38</v>
      </c>
      <c r="F124" s="23"/>
      <c r="G124" s="22" t="str">
        <f>Source!DI129</f>
        <v/>
      </c>
      <c r="H124" s="9">
        <f>Source!AV129</f>
        <v>1</v>
      </c>
      <c r="I124" s="9"/>
      <c r="J124" s="23"/>
      <c r="K124" s="23">
        <f>Source!U129</f>
        <v>57.532199999999989</v>
      </c>
    </row>
    <row r="125" spans="1:22" ht="15" x14ac:dyDescent="0.25">
      <c r="A125" s="27"/>
      <c r="B125" s="27"/>
      <c r="C125" s="27"/>
      <c r="D125" s="27"/>
      <c r="E125" s="27"/>
      <c r="F125" s="27"/>
      <c r="G125" s="27"/>
      <c r="H125" s="27"/>
      <c r="I125" s="76">
        <f>J115+J116+J118+J121+J122+J123+SUM(J119:J120)</f>
        <v>176031.62999999998</v>
      </c>
      <c r="J125" s="76"/>
      <c r="K125" s="28">
        <f>IF(Source!I129&lt;&gt;0, ROUND(I125/Source!I129, 2), 0)</f>
        <v>255118.3</v>
      </c>
      <c r="P125" s="25">
        <f>I125</f>
        <v>176031.62999999998</v>
      </c>
    </row>
    <row r="126" spans="1:22" ht="42.75" x14ac:dyDescent="0.2">
      <c r="A126" s="20">
        <v>14</v>
      </c>
      <c r="B126" s="20" t="str">
        <f>Source!F134</f>
        <v>1.15-3105-1-1/1</v>
      </c>
      <c r="C126" s="20" t="str">
        <f>Source!G134</f>
        <v>Врезки в действующие внутренние сети трубопроводов водоснабжения диаметром 50 мм</v>
      </c>
      <c r="D126" s="21" t="str">
        <f>Source!H134</f>
        <v>шт.</v>
      </c>
      <c r="E126" s="9">
        <f>Source!I134</f>
        <v>12</v>
      </c>
      <c r="F126" s="23"/>
      <c r="G126" s="22"/>
      <c r="H126" s="9"/>
      <c r="I126" s="9"/>
      <c r="J126" s="23"/>
      <c r="K126" s="23"/>
      <c r="Q126">
        <f>ROUND((Source!BZ134/100)*ROUND((Source!AF134*Source!AV134)*Source!I134, 2), 2)</f>
        <v>23760.240000000002</v>
      </c>
      <c r="R126">
        <f>Source!X134</f>
        <v>23760.240000000002</v>
      </c>
      <c r="S126">
        <f>ROUND((Source!CA134/100)*ROUND((Source!AF134*Source!AV134)*Source!I134, 2), 2)</f>
        <v>3394.32</v>
      </c>
      <c r="T126">
        <f>Source!Y134</f>
        <v>3394.32</v>
      </c>
      <c r="U126">
        <f>ROUND((175/100)*ROUND((Source!AE134*Source!AV134)*Source!I134, 2), 2)</f>
        <v>5.88</v>
      </c>
      <c r="V126">
        <f>ROUND((160/100)*ROUND(Source!CS134*Source!I134, 2), 2)</f>
        <v>5.38</v>
      </c>
    </row>
    <row r="127" spans="1:22" ht="14.25" x14ac:dyDescent="0.2">
      <c r="A127" s="20"/>
      <c r="B127" s="20"/>
      <c r="C127" s="20" t="s">
        <v>394</v>
      </c>
      <c r="D127" s="21"/>
      <c r="E127" s="9"/>
      <c r="F127" s="23">
        <f>Source!AO134</f>
        <v>2828.6</v>
      </c>
      <c r="G127" s="22" t="str">
        <f>Source!DG134</f>
        <v/>
      </c>
      <c r="H127" s="9">
        <f>Source!AV134</f>
        <v>1</v>
      </c>
      <c r="I127" s="9">
        <f>IF(Source!BA134&lt;&gt; 0, Source!BA134, 1)</f>
        <v>1</v>
      </c>
      <c r="J127" s="23">
        <f>Source!S134</f>
        <v>33943.199999999997</v>
      </c>
      <c r="K127" s="23"/>
    </row>
    <row r="128" spans="1:22" ht="14.25" x14ac:dyDescent="0.2">
      <c r="A128" s="20"/>
      <c r="B128" s="20"/>
      <c r="C128" s="20" t="s">
        <v>395</v>
      </c>
      <c r="D128" s="21"/>
      <c r="E128" s="9"/>
      <c r="F128" s="23">
        <f>Source!AM134</f>
        <v>23.64</v>
      </c>
      <c r="G128" s="22" t="str">
        <f>Source!DE134</f>
        <v/>
      </c>
      <c r="H128" s="9">
        <f>Source!AV134</f>
        <v>1</v>
      </c>
      <c r="I128" s="9">
        <f>IF(Source!BB134&lt;&gt; 0, Source!BB134, 1)</f>
        <v>1</v>
      </c>
      <c r="J128" s="23">
        <f>Source!Q134</f>
        <v>283.68</v>
      </c>
      <c r="K128" s="23"/>
    </row>
    <row r="129" spans="1:22" ht="14.25" x14ac:dyDescent="0.2">
      <c r="A129" s="20"/>
      <c r="B129" s="20"/>
      <c r="C129" s="20" t="s">
        <v>396</v>
      </c>
      <c r="D129" s="21"/>
      <c r="E129" s="9"/>
      <c r="F129" s="23">
        <f>Source!AN134</f>
        <v>0.28000000000000003</v>
      </c>
      <c r="G129" s="22" t="str">
        <f>Source!DF134</f>
        <v/>
      </c>
      <c r="H129" s="9">
        <f>Source!AV134</f>
        <v>1</v>
      </c>
      <c r="I129" s="9">
        <f>IF(Source!BS134&lt;&gt; 0, Source!BS134, 1)</f>
        <v>1</v>
      </c>
      <c r="J129" s="24">
        <f>Source!R134</f>
        <v>3.36</v>
      </c>
      <c r="K129" s="23"/>
    </row>
    <row r="130" spans="1:22" ht="14.25" x14ac:dyDescent="0.2">
      <c r="A130" s="20"/>
      <c r="B130" s="20"/>
      <c r="C130" s="20" t="s">
        <v>403</v>
      </c>
      <c r="D130" s="21"/>
      <c r="E130" s="9"/>
      <c r="F130" s="23">
        <f>Source!AL134</f>
        <v>3421.79</v>
      </c>
      <c r="G130" s="22" t="str">
        <f>Source!DD134</f>
        <v/>
      </c>
      <c r="H130" s="9">
        <f>Source!AW134</f>
        <v>1</v>
      </c>
      <c r="I130" s="9">
        <f>IF(Source!BC134&lt;&gt; 0, Source!BC134, 1)</f>
        <v>1</v>
      </c>
      <c r="J130" s="23">
        <f>Source!P134</f>
        <v>41061.480000000003</v>
      </c>
      <c r="K130" s="23"/>
    </row>
    <row r="131" spans="1:22" ht="28.5" x14ac:dyDescent="0.2">
      <c r="A131" s="20" t="s">
        <v>197</v>
      </c>
      <c r="B131" s="20" t="str">
        <f>Source!F135</f>
        <v>21.1-11-21</v>
      </c>
      <c r="C131" s="20" t="str">
        <f>Source!G135</f>
        <v>Болты строительные черные с гайками и шайбами (10х100мм)</v>
      </c>
      <c r="D131" s="21" t="str">
        <f>Source!H135</f>
        <v>т</v>
      </c>
      <c r="E131" s="9">
        <f>Source!I135</f>
        <v>-7.1999999999999998E-3</v>
      </c>
      <c r="F131" s="23">
        <f>Source!AK135</f>
        <v>173260.69</v>
      </c>
      <c r="G131" s="30" t="s">
        <v>3</v>
      </c>
      <c r="H131" s="9">
        <f>Source!AW135</f>
        <v>1</v>
      </c>
      <c r="I131" s="9">
        <f>IF(Source!BC135&lt;&gt; 0, Source!BC135, 1)</f>
        <v>1</v>
      </c>
      <c r="J131" s="23">
        <f>Source!O135</f>
        <v>-1247.48</v>
      </c>
      <c r="K131" s="23"/>
      <c r="Q131">
        <f>ROUND((Source!BZ135/100)*ROUND((Source!AF135*Source!AV135)*Source!I135, 2), 2)</f>
        <v>0</v>
      </c>
      <c r="R131">
        <f>Source!X135</f>
        <v>0</v>
      </c>
      <c r="S131">
        <f>ROUND((Source!CA135/100)*ROUND((Source!AF135*Source!AV135)*Source!I135, 2), 2)</f>
        <v>0</v>
      </c>
      <c r="T131">
        <f>Source!Y135</f>
        <v>0</v>
      </c>
      <c r="U131">
        <f>ROUND((175/100)*ROUND((Source!AE135*Source!AV135)*Source!I135, 2), 2)</f>
        <v>0</v>
      </c>
      <c r="V131">
        <f>ROUND((160/100)*ROUND(Source!CS135*Source!I135, 2), 2)</f>
        <v>0</v>
      </c>
    </row>
    <row r="132" spans="1:22" ht="71.25" x14ac:dyDescent="0.2">
      <c r="A132" s="20" t="s">
        <v>202</v>
      </c>
      <c r="B132" s="20" t="str">
        <f>Source!F136</f>
        <v>21.12-6-199</v>
      </c>
      <c r="C132" s="20" t="str">
        <f>Source!G136</f>
        <v>Трубы стальные бесшовные горячедеформированные со снятой фаской из стали марок 15, 20, 25, ГОСТ 8732-78, наружный диаметр 57 мм, толщина стенки 3,5 мм</v>
      </c>
      <c r="D132" s="21" t="str">
        <f>Source!H136</f>
        <v>м</v>
      </c>
      <c r="E132" s="9">
        <f>Source!I136</f>
        <v>-4.8</v>
      </c>
      <c r="F132" s="23">
        <f>Source!AK136</f>
        <v>668.51</v>
      </c>
      <c r="G132" s="30" t="s">
        <v>3</v>
      </c>
      <c r="H132" s="9">
        <f>Source!AW136</f>
        <v>1</v>
      </c>
      <c r="I132" s="9">
        <f>IF(Source!BC136&lt;&gt; 0, Source!BC136, 1)</f>
        <v>1</v>
      </c>
      <c r="J132" s="23">
        <f>Source!O136</f>
        <v>-3208.85</v>
      </c>
      <c r="K132" s="23"/>
      <c r="Q132">
        <f>ROUND((Source!BZ136/100)*ROUND((Source!AF136*Source!AV136)*Source!I136, 2), 2)</f>
        <v>0</v>
      </c>
      <c r="R132">
        <f>Source!X136</f>
        <v>0</v>
      </c>
      <c r="S132">
        <f>ROUND((Source!CA136/100)*ROUND((Source!AF136*Source!AV136)*Source!I136, 2), 2)</f>
        <v>0</v>
      </c>
      <c r="T132">
        <f>Source!Y136</f>
        <v>0</v>
      </c>
      <c r="U132">
        <f>ROUND((175/100)*ROUND((Source!AE136*Source!AV136)*Source!I136, 2), 2)</f>
        <v>0</v>
      </c>
      <c r="V132">
        <f>ROUND((160/100)*ROUND(Source!CS136*Source!I136, 2), 2)</f>
        <v>0</v>
      </c>
    </row>
    <row r="133" spans="1:22" ht="71.25" x14ac:dyDescent="0.2">
      <c r="A133" s="20" t="s">
        <v>206</v>
      </c>
      <c r="B133" s="20" t="str">
        <f>Source!F137</f>
        <v>21.12-9-9</v>
      </c>
      <c r="C133" s="20" t="str">
        <f>Source!G137</f>
        <v>Фланцы стальные плоские приварные с соединительным выступом, из стали ВСт3СП, ГОСТ 12820-80, условное давление 1 (10) МПа (кгс/см2), диаметр условного прохода 50мм</v>
      </c>
      <c r="D133" s="21" t="str">
        <f>Source!H137</f>
        <v>шт.</v>
      </c>
      <c r="E133" s="9">
        <f>Source!I137</f>
        <v>-12</v>
      </c>
      <c r="F133" s="23">
        <f>Source!AK137</f>
        <v>485.89</v>
      </c>
      <c r="G133" s="30" t="s">
        <v>3</v>
      </c>
      <c r="H133" s="9">
        <f>Source!AW137</f>
        <v>1</v>
      </c>
      <c r="I133" s="9">
        <f>IF(Source!BC137&lt;&gt; 0, Source!BC137, 1)</f>
        <v>1</v>
      </c>
      <c r="J133" s="23">
        <f>Source!O137</f>
        <v>-5830.68</v>
      </c>
      <c r="K133" s="23"/>
      <c r="Q133">
        <f>ROUND((Source!BZ137/100)*ROUND((Source!AF137*Source!AV137)*Source!I137, 2), 2)</f>
        <v>0</v>
      </c>
      <c r="R133">
        <f>Source!X137</f>
        <v>0</v>
      </c>
      <c r="S133">
        <f>ROUND((Source!CA137/100)*ROUND((Source!AF137*Source!AV137)*Source!I137, 2), 2)</f>
        <v>0</v>
      </c>
      <c r="T133">
        <f>Source!Y137</f>
        <v>0</v>
      </c>
      <c r="U133">
        <f>ROUND((175/100)*ROUND((Source!AE137*Source!AV137)*Source!I137, 2), 2)</f>
        <v>0</v>
      </c>
      <c r="V133">
        <f>ROUND((160/100)*ROUND(Source!CS137*Source!I137, 2), 2)</f>
        <v>0</v>
      </c>
    </row>
    <row r="134" spans="1:22" ht="71.25" x14ac:dyDescent="0.2">
      <c r="A134" s="20" t="s">
        <v>210</v>
      </c>
      <c r="B134" s="20" t="str">
        <f>Source!F138</f>
        <v>21.13-2-1</v>
      </c>
      <c r="C134" s="20" t="str">
        <f>Source!G138</f>
        <v>Задвижки чугунные, параллельные, фланцевые с выдвижным шпинделем, для воды и пара, марка 30ч6бр, давление 1,0 (10) МПа (кгс/см2), диаметр 50 мм</v>
      </c>
      <c r="D134" s="21" t="str">
        <f>Source!H138</f>
        <v>шт.</v>
      </c>
      <c r="E134" s="9">
        <f>Source!I138</f>
        <v>-12</v>
      </c>
      <c r="F134" s="23">
        <f>Source!AK138</f>
        <v>2529.9499999999998</v>
      </c>
      <c r="G134" s="30" t="s">
        <v>3</v>
      </c>
      <c r="H134" s="9">
        <f>Source!AW138</f>
        <v>1</v>
      </c>
      <c r="I134" s="9">
        <f>IF(Source!BC138&lt;&gt; 0, Source!BC138, 1)</f>
        <v>1</v>
      </c>
      <c r="J134" s="23">
        <f>Source!O138</f>
        <v>-30359.4</v>
      </c>
      <c r="K134" s="23"/>
      <c r="Q134">
        <f>ROUND((Source!BZ138/100)*ROUND((Source!AF138*Source!AV138)*Source!I138, 2), 2)</f>
        <v>0</v>
      </c>
      <c r="R134">
        <f>Source!X138</f>
        <v>0</v>
      </c>
      <c r="S134">
        <f>ROUND((Source!CA138/100)*ROUND((Source!AF138*Source!AV138)*Source!I138, 2), 2)</f>
        <v>0</v>
      </c>
      <c r="T134">
        <f>Source!Y138</f>
        <v>0</v>
      </c>
      <c r="U134">
        <f>ROUND((175/100)*ROUND((Source!AE138*Source!AV138)*Source!I138, 2), 2)</f>
        <v>0</v>
      </c>
      <c r="V134">
        <f>ROUND((160/100)*ROUND(Source!CS138*Source!I138, 2), 2)</f>
        <v>0</v>
      </c>
    </row>
    <row r="135" spans="1:22" ht="14.25" x14ac:dyDescent="0.2">
      <c r="A135" s="20"/>
      <c r="B135" s="20"/>
      <c r="C135" s="20" t="s">
        <v>397</v>
      </c>
      <c r="D135" s="21" t="s">
        <v>398</v>
      </c>
      <c r="E135" s="9">
        <f>Source!AT134</f>
        <v>70</v>
      </c>
      <c r="F135" s="23"/>
      <c r="G135" s="22"/>
      <c r="H135" s="9"/>
      <c r="I135" s="9"/>
      <c r="J135" s="23">
        <f>SUM(R126:R134)</f>
        <v>23760.240000000002</v>
      </c>
      <c r="K135" s="23"/>
    </row>
    <row r="136" spans="1:22" ht="14.25" x14ac:dyDescent="0.2">
      <c r="A136" s="20"/>
      <c r="B136" s="20"/>
      <c r="C136" s="20" t="s">
        <v>399</v>
      </c>
      <c r="D136" s="21" t="s">
        <v>398</v>
      </c>
      <c r="E136" s="9">
        <f>Source!AU134</f>
        <v>10</v>
      </c>
      <c r="F136" s="23"/>
      <c r="G136" s="22"/>
      <c r="H136" s="9"/>
      <c r="I136" s="9"/>
      <c r="J136" s="23">
        <f>SUM(T126:T135)</f>
        <v>3394.32</v>
      </c>
      <c r="K136" s="23"/>
    </row>
    <row r="137" spans="1:22" ht="14.25" x14ac:dyDescent="0.2">
      <c r="A137" s="20"/>
      <c r="B137" s="20"/>
      <c r="C137" s="20" t="s">
        <v>400</v>
      </c>
      <c r="D137" s="21" t="s">
        <v>398</v>
      </c>
      <c r="E137" s="9">
        <f>160</f>
        <v>160</v>
      </c>
      <c r="F137" s="23"/>
      <c r="G137" s="22"/>
      <c r="H137" s="9"/>
      <c r="I137" s="9"/>
      <c r="J137" s="23">
        <f>SUM(V126:V136)</f>
        <v>5.38</v>
      </c>
      <c r="K137" s="23"/>
    </row>
    <row r="138" spans="1:22" ht="14.25" x14ac:dyDescent="0.2">
      <c r="A138" s="20"/>
      <c r="B138" s="20"/>
      <c r="C138" s="20" t="s">
        <v>401</v>
      </c>
      <c r="D138" s="21" t="s">
        <v>402</v>
      </c>
      <c r="E138" s="9">
        <f>Source!AQ134</f>
        <v>6.49</v>
      </c>
      <c r="F138" s="23"/>
      <c r="G138" s="22" t="str">
        <f>Source!DI134</f>
        <v/>
      </c>
      <c r="H138" s="9">
        <f>Source!AV134</f>
        <v>1</v>
      </c>
      <c r="I138" s="9"/>
      <c r="J138" s="23"/>
      <c r="K138" s="23">
        <f>Source!U134</f>
        <v>77.88</v>
      </c>
    </row>
    <row r="139" spans="1:22" ht="15" x14ac:dyDescent="0.25">
      <c r="A139" s="27"/>
      <c r="B139" s="27"/>
      <c r="C139" s="27"/>
      <c r="D139" s="27"/>
      <c r="E139" s="27"/>
      <c r="F139" s="27"/>
      <c r="G139" s="27"/>
      <c r="H139" s="27"/>
      <c r="I139" s="76">
        <f>J127+J128+J130+J135+J136+J137+SUM(J131:J134)</f>
        <v>61801.890000000014</v>
      </c>
      <c r="J139" s="76"/>
      <c r="K139" s="28">
        <f>IF(Source!I134&lt;&gt;0, ROUND(I139/Source!I134, 2), 0)</f>
        <v>5150.16</v>
      </c>
      <c r="P139" s="25">
        <f>I139</f>
        <v>61801.890000000014</v>
      </c>
    </row>
    <row r="140" spans="1:22" ht="42.75" x14ac:dyDescent="0.2">
      <c r="A140" s="20">
        <v>15</v>
      </c>
      <c r="B140" s="20" t="str">
        <f>Source!F139</f>
        <v>1.15-3105-2-1/1</v>
      </c>
      <c r="C140" s="20" t="str">
        <f>Source!G139</f>
        <v>Гидравлическое испытание трубопроводов холодного и горячего водоснабжения диаметром до 50 мм</v>
      </c>
      <c r="D140" s="21" t="str">
        <f>Source!H139</f>
        <v>100 м</v>
      </c>
      <c r="E140" s="9">
        <f>Source!I139</f>
        <v>0.63</v>
      </c>
      <c r="F140" s="23"/>
      <c r="G140" s="22"/>
      <c r="H140" s="9"/>
      <c r="I140" s="9"/>
      <c r="J140" s="23"/>
      <c r="K140" s="23"/>
      <c r="Q140">
        <f>ROUND((Source!BZ139/100)*ROUND((Source!AF139*Source!AV139)*Source!I139, 2), 2)</f>
        <v>2429.64</v>
      </c>
      <c r="R140">
        <f>Source!X139</f>
        <v>2429.64</v>
      </c>
      <c r="S140">
        <f>ROUND((Source!CA139/100)*ROUND((Source!AF139*Source!AV139)*Source!I139, 2), 2)</f>
        <v>347.09</v>
      </c>
      <c r="T140">
        <f>Source!Y139</f>
        <v>347.09</v>
      </c>
      <c r="U140">
        <f>ROUND((175/100)*ROUND((Source!AE139*Source!AV139)*Source!I139, 2), 2)</f>
        <v>0</v>
      </c>
      <c r="V140">
        <f>ROUND((160/100)*ROUND(Source!CS139*Source!I139, 2), 2)</f>
        <v>0</v>
      </c>
    </row>
    <row r="141" spans="1:22" x14ac:dyDescent="0.2">
      <c r="C141" s="29" t="str">
        <f>"Объем: "&amp;Source!I139&amp;"=63/"&amp;"100"</f>
        <v>Объем: 0,63=63/100</v>
      </c>
    </row>
    <row r="142" spans="1:22" ht="14.25" x14ac:dyDescent="0.2">
      <c r="A142" s="20"/>
      <c r="B142" s="20"/>
      <c r="C142" s="20" t="s">
        <v>394</v>
      </c>
      <c r="D142" s="21"/>
      <c r="E142" s="9"/>
      <c r="F142" s="23">
        <f>Source!AO139</f>
        <v>5509.39</v>
      </c>
      <c r="G142" s="22" t="str">
        <f>Source!DG139</f>
        <v/>
      </c>
      <c r="H142" s="9">
        <f>Source!AV139</f>
        <v>1</v>
      </c>
      <c r="I142" s="9">
        <f>IF(Source!BA139&lt;&gt; 0, Source!BA139, 1)</f>
        <v>1</v>
      </c>
      <c r="J142" s="23">
        <f>Source!S139</f>
        <v>3470.92</v>
      </c>
      <c r="K142" s="23"/>
    </row>
    <row r="143" spans="1:22" ht="14.25" x14ac:dyDescent="0.2">
      <c r="A143" s="20"/>
      <c r="B143" s="20"/>
      <c r="C143" s="20" t="s">
        <v>403</v>
      </c>
      <c r="D143" s="21"/>
      <c r="E143" s="9"/>
      <c r="F143" s="23">
        <f>Source!AL139</f>
        <v>49.83</v>
      </c>
      <c r="G143" s="22" t="str">
        <f>Source!DD139</f>
        <v/>
      </c>
      <c r="H143" s="9">
        <f>Source!AW139</f>
        <v>1</v>
      </c>
      <c r="I143" s="9">
        <f>IF(Source!BC139&lt;&gt; 0, Source!BC139, 1)</f>
        <v>1</v>
      </c>
      <c r="J143" s="23">
        <f>Source!P139</f>
        <v>31.39</v>
      </c>
      <c r="K143" s="23"/>
    </row>
    <row r="144" spans="1:22" ht="14.25" x14ac:dyDescent="0.2">
      <c r="A144" s="20"/>
      <c r="B144" s="20"/>
      <c r="C144" s="20" t="s">
        <v>397</v>
      </c>
      <c r="D144" s="21" t="s">
        <v>398</v>
      </c>
      <c r="E144" s="9">
        <f>Source!AT139</f>
        <v>70</v>
      </c>
      <c r="F144" s="23"/>
      <c r="G144" s="22"/>
      <c r="H144" s="9"/>
      <c r="I144" s="9"/>
      <c r="J144" s="23">
        <f>SUM(R140:R143)</f>
        <v>2429.64</v>
      </c>
      <c r="K144" s="23"/>
    </row>
    <row r="145" spans="1:22" ht="14.25" x14ac:dyDescent="0.2">
      <c r="A145" s="20"/>
      <c r="B145" s="20"/>
      <c r="C145" s="20" t="s">
        <v>399</v>
      </c>
      <c r="D145" s="21" t="s">
        <v>398</v>
      </c>
      <c r="E145" s="9">
        <f>Source!AU139</f>
        <v>10</v>
      </c>
      <c r="F145" s="23"/>
      <c r="G145" s="22"/>
      <c r="H145" s="9"/>
      <c r="I145" s="9"/>
      <c r="J145" s="23">
        <f>SUM(T140:T144)</f>
        <v>347.09</v>
      </c>
      <c r="K145" s="23"/>
    </row>
    <row r="146" spans="1:22" ht="14.25" x14ac:dyDescent="0.2">
      <c r="A146" s="20"/>
      <c r="B146" s="20"/>
      <c r="C146" s="20" t="s">
        <v>401</v>
      </c>
      <c r="D146" s="21" t="s">
        <v>402</v>
      </c>
      <c r="E146" s="9">
        <f>Source!AQ139</f>
        <v>10.64</v>
      </c>
      <c r="F146" s="23"/>
      <c r="G146" s="22" t="str">
        <f>Source!DI139</f>
        <v/>
      </c>
      <c r="H146" s="9">
        <f>Source!AV139</f>
        <v>1</v>
      </c>
      <c r="I146" s="9"/>
      <c r="J146" s="23"/>
      <c r="K146" s="23">
        <f>Source!U139</f>
        <v>6.7032000000000007</v>
      </c>
    </row>
    <row r="147" spans="1:22" ht="15" x14ac:dyDescent="0.25">
      <c r="A147" s="27"/>
      <c r="B147" s="27"/>
      <c r="C147" s="27"/>
      <c r="D147" s="27"/>
      <c r="E147" s="27"/>
      <c r="F147" s="27"/>
      <c r="G147" s="27"/>
      <c r="H147" s="27"/>
      <c r="I147" s="76">
        <f>J142+J143+J144+J145</f>
        <v>6279.04</v>
      </c>
      <c r="J147" s="76"/>
      <c r="K147" s="28">
        <f>IF(Source!I139&lt;&gt;0, ROUND(I147/Source!I139, 2), 0)</f>
        <v>9966.73</v>
      </c>
      <c r="P147" s="25">
        <f>I147</f>
        <v>6279.04</v>
      </c>
    </row>
    <row r="148" spans="1:22" ht="42.75" x14ac:dyDescent="0.2">
      <c r="A148" s="20">
        <v>16</v>
      </c>
      <c r="B148" s="20" t="str">
        <f>Source!F140</f>
        <v>1.15-3105-2-2/1</v>
      </c>
      <c r="C148" s="20" t="str">
        <f>Source!G140</f>
        <v>Гидравлическое испытание трубопроводов холодного и горячего водоснабжения диаметром до 100 мм</v>
      </c>
      <c r="D148" s="21" t="str">
        <f>Source!H140</f>
        <v>100 м</v>
      </c>
      <c r="E148" s="9">
        <f>Source!I140</f>
        <v>0.69</v>
      </c>
      <c r="F148" s="23"/>
      <c r="G148" s="22"/>
      <c r="H148" s="9"/>
      <c r="I148" s="9"/>
      <c r="J148" s="23"/>
      <c r="K148" s="23"/>
      <c r="Q148">
        <f>ROUND((Source!BZ140/100)*ROUND((Source!AF140*Source!AV140)*Source!I140, 2), 2)</f>
        <v>2661.04</v>
      </c>
      <c r="R148">
        <f>Source!X140</f>
        <v>2661.04</v>
      </c>
      <c r="S148">
        <f>ROUND((Source!CA140/100)*ROUND((Source!AF140*Source!AV140)*Source!I140, 2), 2)</f>
        <v>380.15</v>
      </c>
      <c r="T148">
        <f>Source!Y140</f>
        <v>380.15</v>
      </c>
      <c r="U148">
        <f>ROUND((175/100)*ROUND((Source!AE140*Source!AV140)*Source!I140, 2), 2)</f>
        <v>0</v>
      </c>
      <c r="V148">
        <f>ROUND((160/100)*ROUND(Source!CS140*Source!I140, 2), 2)</f>
        <v>0</v>
      </c>
    </row>
    <row r="149" spans="1:22" x14ac:dyDescent="0.2">
      <c r="C149" s="29" t="str">
        <f>"Объем: "&amp;Source!I140&amp;"=69/"&amp;"100"</f>
        <v>Объем: 0,69=69/100</v>
      </c>
    </row>
    <row r="150" spans="1:22" ht="14.25" x14ac:dyDescent="0.2">
      <c r="A150" s="20"/>
      <c r="B150" s="20"/>
      <c r="C150" s="20" t="s">
        <v>394</v>
      </c>
      <c r="D150" s="21"/>
      <c r="E150" s="9"/>
      <c r="F150" s="23">
        <f>Source!AO140</f>
        <v>5509.39</v>
      </c>
      <c r="G150" s="22" t="str">
        <f>Source!DG140</f>
        <v/>
      </c>
      <c r="H150" s="9">
        <f>Source!AV140</f>
        <v>1</v>
      </c>
      <c r="I150" s="9">
        <f>IF(Source!BA140&lt;&gt; 0, Source!BA140, 1)</f>
        <v>1</v>
      </c>
      <c r="J150" s="23">
        <f>Source!S140</f>
        <v>3801.48</v>
      </c>
      <c r="K150" s="23"/>
    </row>
    <row r="151" spans="1:22" ht="14.25" x14ac:dyDescent="0.2">
      <c r="A151" s="20"/>
      <c r="B151" s="20"/>
      <c r="C151" s="20" t="s">
        <v>403</v>
      </c>
      <c r="D151" s="21"/>
      <c r="E151" s="9"/>
      <c r="F151" s="23">
        <f>Source!AL140</f>
        <v>189.35</v>
      </c>
      <c r="G151" s="22" t="str">
        <f>Source!DD140</f>
        <v/>
      </c>
      <c r="H151" s="9">
        <f>Source!AW140</f>
        <v>1</v>
      </c>
      <c r="I151" s="9">
        <f>IF(Source!BC140&lt;&gt; 0, Source!BC140, 1)</f>
        <v>1</v>
      </c>
      <c r="J151" s="23">
        <f>Source!P140</f>
        <v>130.65</v>
      </c>
      <c r="K151" s="23"/>
    </row>
    <row r="152" spans="1:22" ht="14.25" x14ac:dyDescent="0.2">
      <c r="A152" s="20"/>
      <c r="B152" s="20"/>
      <c r="C152" s="20" t="s">
        <v>397</v>
      </c>
      <c r="D152" s="21" t="s">
        <v>398</v>
      </c>
      <c r="E152" s="9">
        <f>Source!AT140</f>
        <v>70</v>
      </c>
      <c r="F152" s="23"/>
      <c r="G152" s="22"/>
      <c r="H152" s="9"/>
      <c r="I152" s="9"/>
      <c r="J152" s="23">
        <f>SUM(R148:R151)</f>
        <v>2661.04</v>
      </c>
      <c r="K152" s="23"/>
    </row>
    <row r="153" spans="1:22" ht="14.25" x14ac:dyDescent="0.2">
      <c r="A153" s="20"/>
      <c r="B153" s="20"/>
      <c r="C153" s="20" t="s">
        <v>399</v>
      </c>
      <c r="D153" s="21" t="s">
        <v>398</v>
      </c>
      <c r="E153" s="9">
        <f>Source!AU140</f>
        <v>10</v>
      </c>
      <c r="F153" s="23"/>
      <c r="G153" s="22"/>
      <c r="H153" s="9"/>
      <c r="I153" s="9"/>
      <c r="J153" s="23">
        <f>SUM(T148:T152)</f>
        <v>380.15</v>
      </c>
      <c r="K153" s="23"/>
    </row>
    <row r="154" spans="1:22" ht="14.25" x14ac:dyDescent="0.2">
      <c r="A154" s="20"/>
      <c r="B154" s="20"/>
      <c r="C154" s="20" t="s">
        <v>401</v>
      </c>
      <c r="D154" s="21" t="s">
        <v>402</v>
      </c>
      <c r="E154" s="9">
        <f>Source!AQ140</f>
        <v>10.64</v>
      </c>
      <c r="F154" s="23"/>
      <c r="G154" s="22" t="str">
        <f>Source!DI140</f>
        <v/>
      </c>
      <c r="H154" s="9">
        <f>Source!AV140</f>
        <v>1</v>
      </c>
      <c r="I154" s="9"/>
      <c r="J154" s="23"/>
      <c r="K154" s="23">
        <f>Source!U140</f>
        <v>7.3415999999999997</v>
      </c>
    </row>
    <row r="155" spans="1:22" ht="15" x14ac:dyDescent="0.25">
      <c r="A155" s="27"/>
      <c r="B155" s="27"/>
      <c r="C155" s="27"/>
      <c r="D155" s="27"/>
      <c r="E155" s="27"/>
      <c r="F155" s="27"/>
      <c r="G155" s="27"/>
      <c r="H155" s="27"/>
      <c r="I155" s="76">
        <f>J150+J151+J152+J153</f>
        <v>6973.32</v>
      </c>
      <c r="J155" s="76"/>
      <c r="K155" s="28">
        <f>IF(Source!I140&lt;&gt;0, ROUND(I155/Source!I140, 2), 0)</f>
        <v>10106.26</v>
      </c>
      <c r="P155" s="25">
        <f>I155</f>
        <v>6973.32</v>
      </c>
    </row>
    <row r="156" spans="1:22" ht="85.5" x14ac:dyDescent="0.2">
      <c r="A156" s="20">
        <v>17</v>
      </c>
      <c r="B156" s="20" t="str">
        <f>Source!F141</f>
        <v>1.17-3703-23-1/1</v>
      </c>
      <c r="C156" s="20" t="str">
        <f>Source!G141</f>
        <v>Изоляция трубопроводов изделиями из вспененного каучука, вспененного полиэтилена, трубками без нанесения на поверхность изоляции защитной окраски (без стоимости трубок, клея, листов, лент изоляционных)</v>
      </c>
      <c r="D156" s="21" t="str">
        <f>Source!H141</f>
        <v>10 м</v>
      </c>
      <c r="E156" s="9">
        <f>Source!I141</f>
        <v>13.2</v>
      </c>
      <c r="F156" s="23"/>
      <c r="G156" s="22"/>
      <c r="H156" s="9"/>
      <c r="I156" s="9"/>
      <c r="J156" s="23"/>
      <c r="K156" s="23"/>
      <c r="Q156">
        <f>ROUND((Source!BZ141/100)*ROUND((Source!AF141*Source!AV141)*Source!I141, 2), 2)</f>
        <v>8916.8799999999992</v>
      </c>
      <c r="R156">
        <f>Source!X141</f>
        <v>8916.8799999999992</v>
      </c>
      <c r="S156">
        <f>ROUND((Source!CA141/100)*ROUND((Source!AF141*Source!AV141)*Source!I141, 2), 2)</f>
        <v>1273.8399999999999</v>
      </c>
      <c r="T156">
        <f>Source!Y141</f>
        <v>1273.8399999999999</v>
      </c>
      <c r="U156">
        <f>ROUND((175/100)*ROUND((Source!AE141*Source!AV141)*Source!I141, 2), 2)</f>
        <v>0</v>
      </c>
      <c r="V156">
        <f>ROUND((160/100)*ROUND(Source!CS141*Source!I141, 2), 2)</f>
        <v>0</v>
      </c>
    </row>
    <row r="157" spans="1:22" x14ac:dyDescent="0.2">
      <c r="C157" s="29" t="str">
        <f>"Объем: "&amp;Source!I141&amp;"=132/"&amp;"10"</f>
        <v>Объем: 13,2=132/10</v>
      </c>
    </row>
    <row r="158" spans="1:22" ht="14.25" x14ac:dyDescent="0.2">
      <c r="A158" s="20"/>
      <c r="B158" s="20"/>
      <c r="C158" s="20" t="s">
        <v>394</v>
      </c>
      <c r="D158" s="21"/>
      <c r="E158" s="9"/>
      <c r="F158" s="23">
        <f>Source!AO141</f>
        <v>965.03</v>
      </c>
      <c r="G158" s="22" t="str">
        <f>Source!DG141</f>
        <v/>
      </c>
      <c r="H158" s="9">
        <f>Source!AV141</f>
        <v>1</v>
      </c>
      <c r="I158" s="9">
        <f>IF(Source!BA141&lt;&gt; 0, Source!BA141, 1)</f>
        <v>1</v>
      </c>
      <c r="J158" s="23">
        <f>Source!S141</f>
        <v>12738.4</v>
      </c>
      <c r="K158" s="23"/>
    </row>
    <row r="159" spans="1:22" ht="14.25" x14ac:dyDescent="0.2">
      <c r="A159" s="20"/>
      <c r="B159" s="20"/>
      <c r="C159" s="20" t="s">
        <v>403</v>
      </c>
      <c r="D159" s="21"/>
      <c r="E159" s="9"/>
      <c r="F159" s="23">
        <f>Source!AL141</f>
        <v>8.01</v>
      </c>
      <c r="G159" s="22" t="str">
        <f>Source!DD141</f>
        <v/>
      </c>
      <c r="H159" s="9">
        <f>Source!AW141</f>
        <v>1</v>
      </c>
      <c r="I159" s="9">
        <f>IF(Source!BC141&lt;&gt; 0, Source!BC141, 1)</f>
        <v>1</v>
      </c>
      <c r="J159" s="23">
        <f>Source!P141</f>
        <v>105.73</v>
      </c>
      <c r="K159" s="23"/>
    </row>
    <row r="160" spans="1:22" ht="28.5" x14ac:dyDescent="0.2">
      <c r="A160" s="20" t="s">
        <v>227</v>
      </c>
      <c r="B160" s="20" t="str">
        <f>Source!F142</f>
        <v>21.1-25-623</v>
      </c>
      <c r="C160" s="20" t="str">
        <f>Source!G142</f>
        <v>Лента самоклеящаяся, ширина 50 мм, толщина 3 мм, тип "K-Flex ST"</v>
      </c>
      <c r="D160" s="21" t="str">
        <f>Source!H142</f>
        <v>м</v>
      </c>
      <c r="E160" s="9">
        <f>Source!I142</f>
        <v>138.6</v>
      </c>
      <c r="F160" s="23">
        <f>Source!AK142</f>
        <v>77.56</v>
      </c>
      <c r="G160" s="30" t="s">
        <v>3</v>
      </c>
      <c r="H160" s="9">
        <f>Source!AW142</f>
        <v>1</v>
      </c>
      <c r="I160" s="9">
        <f>IF(Source!BC142&lt;&gt; 0, Source!BC142, 1)</f>
        <v>1</v>
      </c>
      <c r="J160" s="23">
        <f>Source!O142</f>
        <v>10749.82</v>
      </c>
      <c r="K160" s="23"/>
      <c r="Q160">
        <f>ROUND((Source!BZ142/100)*ROUND((Source!AF142*Source!AV142)*Source!I142, 2), 2)</f>
        <v>0</v>
      </c>
      <c r="R160">
        <f>Source!X142</f>
        <v>0</v>
      </c>
      <c r="S160">
        <f>ROUND((Source!CA142/100)*ROUND((Source!AF142*Source!AV142)*Source!I142, 2), 2)</f>
        <v>0</v>
      </c>
      <c r="T160">
        <f>Source!Y142</f>
        <v>0</v>
      </c>
      <c r="U160">
        <f>ROUND((175/100)*ROUND((Source!AE142*Source!AV142)*Source!I142, 2), 2)</f>
        <v>0</v>
      </c>
      <c r="V160">
        <f>ROUND((160/100)*ROUND(Source!CS142*Source!I142, 2), 2)</f>
        <v>0</v>
      </c>
    </row>
    <row r="161" spans="1:22" ht="28.5" x14ac:dyDescent="0.2">
      <c r="A161" s="20" t="s">
        <v>231</v>
      </c>
      <c r="B161" s="20" t="str">
        <f>Source!F143</f>
        <v>2246130000</v>
      </c>
      <c r="C161" s="20" t="str">
        <f>Source!G143</f>
        <v>Листы (рулоны) из вспененного каучука и полиэтилена</v>
      </c>
      <c r="D161" s="21" t="str">
        <f>Source!H143</f>
        <v>м2</v>
      </c>
      <c r="E161" s="9">
        <f>Source!I143</f>
        <v>3.3</v>
      </c>
      <c r="F161" s="23">
        <f>Source!AK143</f>
        <v>0</v>
      </c>
      <c r="G161" s="30" t="s">
        <v>3</v>
      </c>
      <c r="H161" s="9">
        <f>Source!AW143</f>
        <v>1</v>
      </c>
      <c r="I161" s="9">
        <f>IF(Source!BC143&lt;&gt; 0, Source!BC143, 1)</f>
        <v>1</v>
      </c>
      <c r="J161" s="23">
        <f>Source!O143</f>
        <v>0</v>
      </c>
      <c r="K161" s="23"/>
      <c r="Q161">
        <f>ROUND((Source!BZ143/100)*ROUND((Source!AF143*Source!AV143)*Source!I143, 2), 2)</f>
        <v>0</v>
      </c>
      <c r="R161">
        <f>Source!X143</f>
        <v>0</v>
      </c>
      <c r="S161">
        <f>ROUND((Source!CA143/100)*ROUND((Source!AF143*Source!AV143)*Source!I143, 2), 2)</f>
        <v>0</v>
      </c>
      <c r="T161">
        <f>Source!Y143</f>
        <v>0</v>
      </c>
      <c r="U161">
        <f>ROUND((175/100)*ROUND((Source!AE143*Source!AV143)*Source!I143, 2), 2)</f>
        <v>0</v>
      </c>
      <c r="V161">
        <f>ROUND((160/100)*ROUND(Source!CS143*Source!I143, 2), 2)</f>
        <v>0</v>
      </c>
    </row>
    <row r="162" spans="1:22" ht="71.25" x14ac:dyDescent="0.2">
      <c r="A162" s="20" t="s">
        <v>235</v>
      </c>
      <c r="B162" s="20" t="str">
        <f>Source!F144</f>
        <v>21.1-14-113</v>
      </c>
      <c r="C162" s="20" t="str">
        <f>Source!G144</f>
        <v>Трубки теплоизоляционные из вспененного полиэтилена для поверхностей с температурой от -40°C до +95°С, внутренний диаметр (толщина) 89 (13) мм</v>
      </c>
      <c r="D162" s="21" t="str">
        <f>Source!H144</f>
        <v>м</v>
      </c>
      <c r="E162" s="9">
        <f>Source!I144</f>
        <v>72.45</v>
      </c>
      <c r="F162" s="23">
        <f>Source!AK144</f>
        <v>220.82</v>
      </c>
      <c r="G162" s="30" t="s">
        <v>3</v>
      </c>
      <c r="H162" s="9">
        <f>Source!AW144</f>
        <v>1</v>
      </c>
      <c r="I162" s="9">
        <f>IF(Source!BC144&lt;&gt; 0, Source!BC144, 1)</f>
        <v>1</v>
      </c>
      <c r="J162" s="23">
        <f>Source!O144</f>
        <v>15998.41</v>
      </c>
      <c r="K162" s="23"/>
      <c r="Q162">
        <f>ROUND((Source!BZ144/100)*ROUND((Source!AF144*Source!AV144)*Source!I144, 2), 2)</f>
        <v>0</v>
      </c>
      <c r="R162">
        <f>Source!X144</f>
        <v>0</v>
      </c>
      <c r="S162">
        <f>ROUND((Source!CA144/100)*ROUND((Source!AF144*Source!AV144)*Source!I144, 2), 2)</f>
        <v>0</v>
      </c>
      <c r="T162">
        <f>Source!Y144</f>
        <v>0</v>
      </c>
      <c r="U162">
        <f>ROUND((175/100)*ROUND((Source!AE144*Source!AV144)*Source!I144, 2), 2)</f>
        <v>0</v>
      </c>
      <c r="V162">
        <f>ROUND((160/100)*ROUND(Source!CS144*Source!I144, 2), 2)</f>
        <v>0</v>
      </c>
    </row>
    <row r="163" spans="1:22" ht="71.25" x14ac:dyDescent="0.2">
      <c r="A163" s="20" t="s">
        <v>239</v>
      </c>
      <c r="B163" s="20" t="str">
        <f>Source!F145</f>
        <v>21.1-14-121</v>
      </c>
      <c r="C163" s="20" t="str">
        <f>Source!G145</f>
        <v>Трубки теплоизоляционные из вспененного полиэтилена для поверхностей с температурой от -40°C до +95°С, внутренний диаметр (толщина) 60 (13) мм</v>
      </c>
      <c r="D163" s="21" t="str">
        <f>Source!H145</f>
        <v>м</v>
      </c>
      <c r="E163" s="9">
        <f>Source!I145</f>
        <v>66.150000000000006</v>
      </c>
      <c r="F163" s="23">
        <f>Source!AK145</f>
        <v>112.71</v>
      </c>
      <c r="G163" s="30" t="s">
        <v>3</v>
      </c>
      <c r="H163" s="9">
        <f>Source!AW145</f>
        <v>1</v>
      </c>
      <c r="I163" s="9">
        <f>IF(Source!BC145&lt;&gt; 0, Source!BC145, 1)</f>
        <v>1</v>
      </c>
      <c r="J163" s="23">
        <f>Source!O145</f>
        <v>7455.77</v>
      </c>
      <c r="K163" s="23"/>
      <c r="Q163">
        <f>ROUND((Source!BZ145/100)*ROUND((Source!AF145*Source!AV145)*Source!I145, 2), 2)</f>
        <v>0</v>
      </c>
      <c r="R163">
        <f>Source!X145</f>
        <v>0</v>
      </c>
      <c r="S163">
        <f>ROUND((Source!CA145/100)*ROUND((Source!AF145*Source!AV145)*Source!I145, 2), 2)</f>
        <v>0</v>
      </c>
      <c r="T163">
        <f>Source!Y145</f>
        <v>0</v>
      </c>
      <c r="U163">
        <f>ROUND((175/100)*ROUND((Source!AE145*Source!AV145)*Source!I145, 2), 2)</f>
        <v>0</v>
      </c>
      <c r="V163">
        <f>ROUND((160/100)*ROUND(Source!CS145*Source!I145, 2), 2)</f>
        <v>0</v>
      </c>
    </row>
    <row r="164" spans="1:22" ht="14.25" x14ac:dyDescent="0.2">
      <c r="A164" s="20"/>
      <c r="B164" s="20"/>
      <c r="C164" s="20" t="s">
        <v>397</v>
      </c>
      <c r="D164" s="21" t="s">
        <v>398</v>
      </c>
      <c r="E164" s="9">
        <f>Source!AT141</f>
        <v>70</v>
      </c>
      <c r="F164" s="23"/>
      <c r="G164" s="22"/>
      <c r="H164" s="9"/>
      <c r="I164" s="9"/>
      <c r="J164" s="23">
        <f>SUM(R156:R163)</f>
        <v>8916.8799999999992</v>
      </c>
      <c r="K164" s="23"/>
    </row>
    <row r="165" spans="1:22" ht="14.25" x14ac:dyDescent="0.2">
      <c r="A165" s="20"/>
      <c r="B165" s="20"/>
      <c r="C165" s="20" t="s">
        <v>399</v>
      </c>
      <c r="D165" s="21" t="s">
        <v>398</v>
      </c>
      <c r="E165" s="9">
        <f>Source!AU141</f>
        <v>10</v>
      </c>
      <c r="F165" s="23"/>
      <c r="G165" s="22"/>
      <c r="H165" s="9"/>
      <c r="I165" s="9"/>
      <c r="J165" s="23">
        <f>SUM(T156:T164)</f>
        <v>1273.8399999999999</v>
      </c>
      <c r="K165" s="23"/>
    </row>
    <row r="166" spans="1:22" ht="14.25" x14ac:dyDescent="0.2">
      <c r="A166" s="20"/>
      <c r="B166" s="20"/>
      <c r="C166" s="20" t="s">
        <v>401</v>
      </c>
      <c r="D166" s="21" t="s">
        <v>402</v>
      </c>
      <c r="E166" s="9">
        <f>Source!AQ141</f>
        <v>2.15</v>
      </c>
      <c r="F166" s="23"/>
      <c r="G166" s="22" t="str">
        <f>Source!DI141</f>
        <v/>
      </c>
      <c r="H166" s="9">
        <f>Source!AV141</f>
        <v>1</v>
      </c>
      <c r="I166" s="9"/>
      <c r="J166" s="23"/>
      <c r="K166" s="23">
        <f>Source!U141</f>
        <v>28.38</v>
      </c>
    </row>
    <row r="167" spans="1:22" ht="15" x14ac:dyDescent="0.25">
      <c r="A167" s="27"/>
      <c r="B167" s="27"/>
      <c r="C167" s="27"/>
      <c r="D167" s="27"/>
      <c r="E167" s="27"/>
      <c r="F167" s="27"/>
      <c r="G167" s="27"/>
      <c r="H167" s="27"/>
      <c r="I167" s="76">
        <f>J158+J159+J164+J165+SUM(J160:J163)</f>
        <v>57238.85</v>
      </c>
      <c r="J167" s="76"/>
      <c r="K167" s="28">
        <f>IF(Source!I141&lt;&gt;0, ROUND(I167/Source!I141, 2), 0)</f>
        <v>4336.28</v>
      </c>
      <c r="P167" s="25">
        <f>I167</f>
        <v>57238.85</v>
      </c>
    </row>
    <row r="169" spans="1:22" ht="15" x14ac:dyDescent="0.25">
      <c r="A169" s="75" t="str">
        <f>CONCATENATE("Итого по подразделу: ",IF(Source!G148&lt;&gt;"Новый подраздел", Source!G148, ""))</f>
        <v>Итого по подразделу: ХВС</v>
      </c>
      <c r="B169" s="75"/>
      <c r="C169" s="75"/>
      <c r="D169" s="75"/>
      <c r="E169" s="75"/>
      <c r="F169" s="75"/>
      <c r="G169" s="75"/>
      <c r="H169" s="75"/>
      <c r="I169" s="73">
        <f>SUM(P80:P168)</f>
        <v>440808.11</v>
      </c>
      <c r="J169" s="74"/>
      <c r="K169" s="31"/>
    </row>
    <row r="172" spans="1:22" ht="15" x14ac:dyDescent="0.25">
      <c r="A172" s="75" t="str">
        <f>CONCATENATE("Итого по разделу: ",IF(Source!G178&lt;&gt;"Новый раздел", Source!G178, ""))</f>
        <v>Итого по разделу: Подвал</v>
      </c>
      <c r="B172" s="75"/>
      <c r="C172" s="75"/>
      <c r="D172" s="75"/>
      <c r="E172" s="75"/>
      <c r="F172" s="75"/>
      <c r="G172" s="75"/>
      <c r="H172" s="75"/>
      <c r="I172" s="73">
        <f>SUM(P78:P171)</f>
        <v>440808.11</v>
      </c>
      <c r="J172" s="74"/>
      <c r="K172" s="31"/>
    </row>
    <row r="175" spans="1:22" ht="15" x14ac:dyDescent="0.25">
      <c r="A175" s="75" t="str">
        <f>CONCATENATE("Итого по локальной смете: ",IF(Source!G208&lt;&gt;"Новая локальная смета", Source!G208, ""))</f>
        <v xml:space="preserve">Итого по локальной смете: </v>
      </c>
      <c r="B175" s="75"/>
      <c r="C175" s="75"/>
      <c r="D175" s="75"/>
      <c r="E175" s="75"/>
      <c r="F175" s="75"/>
      <c r="G175" s="75"/>
      <c r="H175" s="75"/>
      <c r="I175" s="73">
        <f>SUM(P31:P174)</f>
        <v>463499.61</v>
      </c>
      <c r="J175" s="74"/>
      <c r="K175" s="31"/>
    </row>
    <row r="178" spans="1:34" ht="15" x14ac:dyDescent="0.25">
      <c r="A178" s="75" t="str">
        <f>CONCATENATE("Итого по смете: ",IF(Source!G238&lt;&gt;"Новый объект", Source!G238, ""))</f>
        <v>Итого по смете: 920_Перовская 24. ТР-2024_(ГВС/ХВС) (СН-2012 Выпуск №2 (в ценах на 01.01.2025 г))</v>
      </c>
      <c r="B178" s="75"/>
      <c r="C178" s="75"/>
      <c r="D178" s="75"/>
      <c r="E178" s="75"/>
      <c r="F178" s="75"/>
      <c r="G178" s="75"/>
      <c r="H178" s="75"/>
      <c r="I178" s="73">
        <f>SUM(P1:P177)</f>
        <v>463499.61</v>
      </c>
      <c r="J178" s="74"/>
      <c r="K178" s="31"/>
      <c r="AF178" s="32" t="str">
        <f>CONCATENATE("Итого по смете: ",IF(Source!G238&lt;&gt;"Новый объект", Source!G238, ""))</f>
        <v>Итого по смете: 920_Перовская 24. ТР-2024_(ГВС/ХВС) (СН-2012 Выпуск №2 (в ценах на 01.01.2025 г))</v>
      </c>
    </row>
    <row r="179" spans="1:34" ht="14.25" x14ac:dyDescent="0.2">
      <c r="C179" s="71" t="str">
        <f>Source!H267</f>
        <v>НДС 20%</v>
      </c>
      <c r="D179" s="71"/>
      <c r="E179" s="71"/>
      <c r="F179" s="71"/>
      <c r="G179" s="71"/>
      <c r="H179" s="71"/>
      <c r="I179" s="72">
        <f>IF(Source!F267=0, "", Source!F267)</f>
        <v>92699.92</v>
      </c>
      <c r="J179" s="72"/>
    </row>
    <row r="180" spans="1:34" ht="14.25" x14ac:dyDescent="0.2">
      <c r="C180" s="71" t="str">
        <f>Source!H268</f>
        <v>Итого с НДС 20%</v>
      </c>
      <c r="D180" s="71"/>
      <c r="E180" s="71"/>
      <c r="F180" s="71"/>
      <c r="G180" s="71"/>
      <c r="H180" s="71"/>
      <c r="I180" s="72">
        <f>IF(Source!F268=0, "", Source!F268)</f>
        <v>556199.53</v>
      </c>
      <c r="J180" s="72"/>
    </row>
    <row r="181" spans="1:34" ht="14.25" x14ac:dyDescent="0.2">
      <c r="C181" s="71" t="s">
        <v>472</v>
      </c>
      <c r="D181" s="71"/>
      <c r="E181" s="71"/>
      <c r="F181" s="71"/>
      <c r="G181" s="71"/>
      <c r="H181" s="71"/>
      <c r="I181" s="72">
        <f>I180-J186</f>
        <v>538061.29</v>
      </c>
      <c r="J181" s="72"/>
    </row>
    <row r="182" spans="1:34" s="52" customFormat="1" ht="18.600000000000001" customHeight="1" x14ac:dyDescent="0.25">
      <c r="B182" s="53" t="s">
        <v>473</v>
      </c>
      <c r="C182" s="54"/>
      <c r="D182" s="53"/>
      <c r="E182" s="53"/>
      <c r="F182" s="53"/>
      <c r="G182" s="53"/>
      <c r="H182" s="53"/>
      <c r="I182" s="53"/>
      <c r="J182" s="55"/>
      <c r="L182" s="56"/>
      <c r="AH182" s="57"/>
    </row>
    <row r="183" spans="1:34" s="58" customFormat="1" ht="25.15" customHeight="1" x14ac:dyDescent="0.2">
      <c r="C183" s="59" t="s">
        <v>474</v>
      </c>
      <c r="D183" s="59" t="s">
        <v>475</v>
      </c>
      <c r="E183" s="60" t="s">
        <v>476</v>
      </c>
      <c r="F183" s="59" t="s">
        <v>477</v>
      </c>
      <c r="G183" s="59" t="s">
        <v>478</v>
      </c>
      <c r="H183" s="59" t="s">
        <v>479</v>
      </c>
      <c r="I183" s="59" t="s">
        <v>480</v>
      </c>
      <c r="J183" s="59" t="s">
        <v>481</v>
      </c>
      <c r="AH183" s="61"/>
    </row>
    <row r="184" spans="1:34" s="62" customFormat="1" ht="35.1" customHeight="1" x14ac:dyDescent="0.2">
      <c r="C184" s="63" t="s">
        <v>155</v>
      </c>
      <c r="D184" s="60" t="s">
        <v>19</v>
      </c>
      <c r="E184" s="60">
        <v>0.63</v>
      </c>
      <c r="F184" s="60">
        <v>0.42199999999999999</v>
      </c>
      <c r="G184" s="60">
        <v>0.26585999999999999</v>
      </c>
      <c r="H184" s="60" t="s">
        <v>482</v>
      </c>
      <c r="I184" s="64">
        <v>24000</v>
      </c>
      <c r="J184" s="65">
        <v>6380.6399999999994</v>
      </c>
      <c r="L184" s="58"/>
      <c r="AH184" s="61"/>
    </row>
    <row r="185" spans="1:34" s="62" customFormat="1" ht="35.1" customHeight="1" x14ac:dyDescent="0.2">
      <c r="C185" s="63" t="s">
        <v>159</v>
      </c>
      <c r="D185" s="60" t="s">
        <v>19</v>
      </c>
      <c r="E185" s="60">
        <v>0.69</v>
      </c>
      <c r="F185" s="60">
        <v>0.71</v>
      </c>
      <c r="G185" s="60">
        <v>0.48989999999999995</v>
      </c>
      <c r="H185" s="60" t="s">
        <v>482</v>
      </c>
      <c r="I185" s="64">
        <v>24000</v>
      </c>
      <c r="J185" s="65">
        <v>11757.599999999999</v>
      </c>
      <c r="L185" s="58"/>
      <c r="AH185" s="61"/>
    </row>
    <row r="186" spans="1:34" s="52" customFormat="1" ht="15.4" customHeight="1" x14ac:dyDescent="0.25">
      <c r="C186" s="66" t="s">
        <v>483</v>
      </c>
      <c r="D186" s="67"/>
      <c r="E186" s="67"/>
      <c r="F186" s="67"/>
      <c r="G186" s="67">
        <v>0.75575999999999999</v>
      </c>
      <c r="H186" s="67"/>
      <c r="I186" s="67"/>
      <c r="J186" s="68">
        <v>18138.239999999998</v>
      </c>
      <c r="L186" s="56"/>
      <c r="AH186" s="57"/>
    </row>
    <row r="188" spans="1:34" ht="14.25" x14ac:dyDescent="0.2">
      <c r="A188" s="69" t="s">
        <v>404</v>
      </c>
      <c r="B188" s="69"/>
      <c r="C188" s="33" t="str">
        <f>IF(Source!AC12&lt;&gt;"", Source!AC12," ")</f>
        <v xml:space="preserve"> </v>
      </c>
      <c r="D188" s="33"/>
      <c r="E188" s="33"/>
      <c r="F188" s="33"/>
      <c r="G188" s="33"/>
      <c r="H188" s="10" t="str">
        <f>IF(Source!AB12&lt;&gt;"", Source!AB12," ")</f>
        <v xml:space="preserve"> </v>
      </c>
      <c r="I188" s="10"/>
      <c r="J188" s="10"/>
      <c r="K188" s="10"/>
    </row>
    <row r="189" spans="1:34" ht="14.25" x14ac:dyDescent="0.2">
      <c r="A189" s="10"/>
      <c r="B189" s="10"/>
      <c r="C189" s="70" t="s">
        <v>405</v>
      </c>
      <c r="D189" s="70"/>
      <c r="E189" s="70"/>
      <c r="F189" s="70"/>
      <c r="G189" s="70"/>
      <c r="H189" s="10"/>
      <c r="I189" s="10"/>
      <c r="J189" s="10"/>
      <c r="K189" s="10"/>
    </row>
    <row r="190" spans="1:34" ht="14.25" x14ac:dyDescent="0.2">
      <c r="A190" s="10"/>
      <c r="B190" s="10"/>
      <c r="C190" s="10"/>
      <c r="D190" s="10"/>
      <c r="E190" s="10"/>
      <c r="F190" s="10"/>
      <c r="G190" s="10"/>
      <c r="H190" s="10"/>
      <c r="I190" s="10"/>
      <c r="J190" s="10"/>
      <c r="K190" s="10"/>
    </row>
    <row r="191" spans="1:34" ht="14.25" x14ac:dyDescent="0.2">
      <c r="A191" s="69" t="s">
        <v>406</v>
      </c>
      <c r="B191" s="69"/>
      <c r="C191" s="33" t="str">
        <f>IF(Source!AE12&lt;&gt;"", Source!AE12," ")</f>
        <v xml:space="preserve"> </v>
      </c>
      <c r="D191" s="33"/>
      <c r="E191" s="33"/>
      <c r="F191" s="33"/>
      <c r="G191" s="33"/>
      <c r="H191" s="10" t="str">
        <f>IF(Source!AD12&lt;&gt;"", Source!AD12," ")</f>
        <v xml:space="preserve"> </v>
      </c>
      <c r="I191" s="10"/>
      <c r="J191" s="10"/>
      <c r="K191" s="10"/>
    </row>
    <row r="192" spans="1:34" ht="14.25" x14ac:dyDescent="0.2">
      <c r="A192" s="10"/>
      <c r="B192" s="10"/>
      <c r="C192" s="70" t="s">
        <v>405</v>
      </c>
      <c r="D192" s="70"/>
      <c r="E192" s="70"/>
      <c r="F192" s="70"/>
      <c r="G192" s="70"/>
      <c r="H192" s="10"/>
      <c r="I192" s="10"/>
      <c r="J192" s="10"/>
      <c r="K192" s="10"/>
    </row>
    <row r="194" spans="1:11" ht="12.75" customHeight="1" x14ac:dyDescent="0.2">
      <c r="A194" s="106" t="s">
        <v>486</v>
      </c>
      <c r="B194" s="106"/>
      <c r="C194" s="106"/>
      <c r="D194" s="106"/>
      <c r="E194" s="106"/>
      <c r="F194" s="106"/>
      <c r="G194" s="106"/>
      <c r="H194" s="106"/>
      <c r="I194" s="106"/>
      <c r="J194" s="106"/>
      <c r="K194" s="106"/>
    </row>
    <row r="195" spans="1:11" x14ac:dyDescent="0.2">
      <c r="A195" s="106"/>
      <c r="B195" s="106"/>
      <c r="C195" s="106"/>
      <c r="D195" s="106"/>
      <c r="E195" s="106"/>
      <c r="F195" s="106"/>
      <c r="G195" s="106"/>
      <c r="H195" s="106"/>
      <c r="I195" s="106"/>
      <c r="J195" s="106"/>
      <c r="K195" s="106"/>
    </row>
  </sheetData>
  <mergeCells count="76">
    <mergeCell ref="F21:H21"/>
    <mergeCell ref="I21:J21"/>
    <mergeCell ref="B7:E7"/>
    <mergeCell ref="G7:K7"/>
    <mergeCell ref="J2:K2"/>
    <mergeCell ref="A10:K10"/>
    <mergeCell ref="A11:K11"/>
    <mergeCell ref="A13:K13"/>
    <mergeCell ref="B3:E3"/>
    <mergeCell ref="G3:K3"/>
    <mergeCell ref="B4:E4"/>
    <mergeCell ref="G4:K4"/>
    <mergeCell ref="B6:E6"/>
    <mergeCell ref="G6:K6"/>
    <mergeCell ref="A15:K15"/>
    <mergeCell ref="A16:K16"/>
    <mergeCell ref="A18:K18"/>
    <mergeCell ref="F20:H20"/>
    <mergeCell ref="I20:J20"/>
    <mergeCell ref="A194:K195"/>
    <mergeCell ref="F22:H22"/>
    <mergeCell ref="I22:J22"/>
    <mergeCell ref="F23:H23"/>
    <mergeCell ref="I23:J23"/>
    <mergeCell ref="F24:H24"/>
    <mergeCell ref="I24:J24"/>
    <mergeCell ref="I50:J50"/>
    <mergeCell ref="F25:H25"/>
    <mergeCell ref="I25:J25"/>
    <mergeCell ref="A27:A29"/>
    <mergeCell ref="B27:B29"/>
    <mergeCell ref="C27:C29"/>
    <mergeCell ref="D27:D29"/>
    <mergeCell ref="E27:E29"/>
    <mergeCell ref="F27:F29"/>
    <mergeCell ref="G27:G29"/>
    <mergeCell ref="H27:H29"/>
    <mergeCell ref="I27:I29"/>
    <mergeCell ref="J27:J29"/>
    <mergeCell ref="A32:K32"/>
    <mergeCell ref="A34:K34"/>
    <mergeCell ref="I43:J43"/>
    <mergeCell ref="I61:J61"/>
    <mergeCell ref="I70:J70"/>
    <mergeCell ref="I72:J72"/>
    <mergeCell ref="A72:H72"/>
    <mergeCell ref="I75:J75"/>
    <mergeCell ref="A75:H75"/>
    <mergeCell ref="A169:H169"/>
    <mergeCell ref="A78:K78"/>
    <mergeCell ref="A80:K80"/>
    <mergeCell ref="I90:J90"/>
    <mergeCell ref="I101:J101"/>
    <mergeCell ref="I113:J113"/>
    <mergeCell ref="I125:J125"/>
    <mergeCell ref="I139:J139"/>
    <mergeCell ref="I147:J147"/>
    <mergeCell ref="I155:J155"/>
    <mergeCell ref="I167:J167"/>
    <mergeCell ref="I169:J169"/>
    <mergeCell ref="I172:J172"/>
    <mergeCell ref="A172:H172"/>
    <mergeCell ref="I175:J175"/>
    <mergeCell ref="A175:H175"/>
    <mergeCell ref="I178:J178"/>
    <mergeCell ref="A178:H178"/>
    <mergeCell ref="A191:B191"/>
    <mergeCell ref="C192:G192"/>
    <mergeCell ref="C181:H181"/>
    <mergeCell ref="I181:J181"/>
    <mergeCell ref="C179:H179"/>
    <mergeCell ref="I179:J179"/>
    <mergeCell ref="C180:H180"/>
    <mergeCell ref="I180:J180"/>
    <mergeCell ref="A188:B188"/>
    <mergeCell ref="C189:G189"/>
  </mergeCells>
  <pageMargins left="0.4" right="0.2" top="0.2" bottom="0.4" header="0.2" footer="0.2"/>
  <pageSetup paperSize="9" scale="65" fitToHeight="0" orientation="portrait" r:id="rId1"/>
  <headerFooter>
    <oddHeader>&amp;L&amp;8</oddHeader>
    <oddFooter>&amp;R&amp;P</oddFooter>
  </headerFooter>
  <rowBreaks count="1" manualBreakCount="1">
    <brk id="133" max="10" man="1"/>
  </row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Y12"/>
  <sheetViews>
    <sheetView workbookViewId="0"/>
  </sheetViews>
  <sheetFormatPr defaultColWidth="9.140625" defaultRowHeight="12.75" x14ac:dyDescent="0.2"/>
  <cols>
    <col min="1" max="256" width="9.140625" customWidth="1"/>
  </cols>
  <sheetData>
    <row r="1" spans="1:103" x14ac:dyDescent="0.2">
      <c r="A1">
        <v>0</v>
      </c>
      <c r="B1" t="s">
        <v>0</v>
      </c>
      <c r="D1" t="s">
        <v>1</v>
      </c>
      <c r="F1">
        <v>0</v>
      </c>
      <c r="G1">
        <v>0</v>
      </c>
      <c r="H1">
        <v>0</v>
      </c>
      <c r="I1" t="s">
        <v>2</v>
      </c>
      <c r="J1" t="s">
        <v>3</v>
      </c>
      <c r="K1">
        <v>0</v>
      </c>
      <c r="L1">
        <v>31353</v>
      </c>
      <c r="M1">
        <v>10</v>
      </c>
      <c r="N1">
        <v>11</v>
      </c>
      <c r="O1">
        <v>11</v>
      </c>
      <c r="P1">
        <v>0</v>
      </c>
      <c r="Q1">
        <v>3</v>
      </c>
    </row>
    <row r="12" spans="1:103" x14ac:dyDescent="0.2">
      <c r="F12" t="str">
        <f>Source!F12</f>
        <v/>
      </c>
      <c r="G12" t="str">
        <f>Source!G12</f>
        <v>920_Перовская 24. ТР-2024_(ГВС/ХВС) (СН-2012 Выпуск №2 (в ценах на 01.01.2025 г))</v>
      </c>
      <c r="AB12" t="s">
        <v>3</v>
      </c>
      <c r="AC12" t="s">
        <v>3</v>
      </c>
      <c r="AD12" t="s">
        <v>3</v>
      </c>
      <c r="AE12" t="s">
        <v>3</v>
      </c>
      <c r="AH12" t="s">
        <v>3</v>
      </c>
      <c r="AI12" t="s">
        <v>3</v>
      </c>
      <c r="CY12">
        <f>Source!CY12</f>
        <v>0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53"/>
  <sheetViews>
    <sheetView tabSelected="1" topLeftCell="A37" zoomScaleNormal="100" workbookViewId="0">
      <selection activeCell="C6" sqref="C6"/>
    </sheetView>
  </sheetViews>
  <sheetFormatPr defaultRowHeight="12.75" x14ac:dyDescent="0.2"/>
  <cols>
    <col min="1" max="1" width="6.7109375" customWidth="1"/>
    <col min="2" max="2" width="75.7109375" customWidth="1"/>
    <col min="3" max="5" width="15.7109375" customWidth="1"/>
    <col min="30" max="30" width="114.7109375" hidden="1" customWidth="1"/>
    <col min="31" max="32" width="0" hidden="1" customWidth="1"/>
  </cols>
  <sheetData>
    <row r="1" spans="1:30" x14ac:dyDescent="0.2">
      <c r="A1" s="8" t="str">
        <f>Source!B1</f>
        <v>Smeta.RU  (495) 974-1589</v>
      </c>
    </row>
    <row r="2" spans="1:30" ht="14.25" x14ac:dyDescent="0.2">
      <c r="C2" s="10"/>
      <c r="D2" s="10"/>
    </row>
    <row r="3" spans="1:30" ht="15" x14ac:dyDescent="0.25">
      <c r="C3" s="10"/>
      <c r="D3" s="26" t="s">
        <v>368</v>
      </c>
    </row>
    <row r="4" spans="1:30" ht="15" x14ac:dyDescent="0.25">
      <c r="C4" s="26"/>
      <c r="D4" s="26"/>
    </row>
    <row r="5" spans="1:30" x14ac:dyDescent="0.2">
      <c r="C5" s="105" t="s">
        <v>484</v>
      </c>
      <c r="D5" s="105"/>
    </row>
    <row r="6" spans="1:30" ht="15" x14ac:dyDescent="0.25">
      <c r="C6" s="34"/>
      <c r="D6" s="34"/>
    </row>
    <row r="7" spans="1:30" ht="15" x14ac:dyDescent="0.25">
      <c r="C7" s="91" t="s">
        <v>485</v>
      </c>
      <c r="D7" s="91"/>
    </row>
    <row r="8" spans="1:30" ht="15" x14ac:dyDescent="0.25">
      <c r="C8" s="34"/>
      <c r="D8" s="34"/>
    </row>
    <row r="9" spans="1:30" ht="15" x14ac:dyDescent="0.25">
      <c r="C9" s="34"/>
      <c r="D9" s="34"/>
    </row>
    <row r="10" spans="1:30" ht="15" x14ac:dyDescent="0.25">
      <c r="C10" s="26" t="s">
        <v>407</v>
      </c>
      <c r="D10" s="10"/>
    </row>
    <row r="11" spans="1:30" ht="14.25" x14ac:dyDescent="0.2">
      <c r="A11" s="10"/>
      <c r="B11" s="10"/>
      <c r="C11" s="10"/>
      <c r="D11" s="10"/>
      <c r="E11" s="10"/>
    </row>
    <row r="12" spans="1:30" ht="15.75" x14ac:dyDescent="0.25">
      <c r="A12" s="92" t="str">
        <f>CONCATENATE("Дефектный акт ", IF(Source!AN15&lt;&gt;"", Source!AN15," "))</f>
        <v xml:space="preserve">Дефектный акт  </v>
      </c>
      <c r="B12" s="92"/>
      <c r="C12" s="92"/>
      <c r="D12" s="92"/>
      <c r="E12" s="10"/>
    </row>
    <row r="13" spans="1:30" ht="30" x14ac:dyDescent="0.25">
      <c r="A13" s="93" t="str">
        <f>CONCATENATE("На капитальный ремонт ", Source!F12, " ", Source!G12)</f>
        <v>На капитальный ремонт  920_Перовская 24. ТР-2024_(ГВС/ХВС) (СН-2012 Выпуск №2 (в ценах на 01.01.2025 г))</v>
      </c>
      <c r="B13" s="93"/>
      <c r="C13" s="93"/>
      <c r="D13" s="93"/>
      <c r="E13" s="10"/>
      <c r="AD13" s="37" t="str">
        <f>CONCATENATE("На капитальный ремонт ", Source!F12, " ", Source!G12)</f>
        <v>На капитальный ремонт  920_Перовская 24. ТР-2024_(ГВС/ХВС) (СН-2012 Выпуск №2 (в ценах на 01.01.2025 г))</v>
      </c>
    </row>
    <row r="14" spans="1:30" ht="14.25" x14ac:dyDescent="0.2">
      <c r="A14" s="10"/>
      <c r="B14" s="10"/>
      <c r="C14" s="10"/>
      <c r="D14" s="10"/>
      <c r="E14" s="10"/>
    </row>
    <row r="15" spans="1:30" ht="15" x14ac:dyDescent="0.2">
      <c r="A15" s="10"/>
      <c r="B15" s="35" t="s">
        <v>408</v>
      </c>
      <c r="C15" s="10"/>
      <c r="D15" s="10"/>
      <c r="E15" s="10"/>
    </row>
    <row r="16" spans="1:30" ht="15" x14ac:dyDescent="0.2">
      <c r="A16" s="10"/>
      <c r="B16" s="35" t="s">
        <v>409</v>
      </c>
      <c r="C16" s="10"/>
      <c r="D16" s="10"/>
      <c r="E16" s="10"/>
    </row>
    <row r="17" spans="1:5" ht="15" x14ac:dyDescent="0.2">
      <c r="A17" s="10"/>
      <c r="B17" s="35" t="s">
        <v>410</v>
      </c>
      <c r="C17" s="10"/>
      <c r="D17" s="10"/>
      <c r="E17" s="10"/>
    </row>
    <row r="18" spans="1:5" ht="28.5" x14ac:dyDescent="0.2">
      <c r="A18" s="19" t="s">
        <v>411</v>
      </c>
      <c r="B18" s="19" t="s">
        <v>382</v>
      </c>
      <c r="C18" s="19" t="s">
        <v>383</v>
      </c>
      <c r="D18" s="19" t="s">
        <v>412</v>
      </c>
      <c r="E18" s="36" t="s">
        <v>413</v>
      </c>
    </row>
    <row r="19" spans="1:5" ht="14.25" x14ac:dyDescent="0.2">
      <c r="A19" s="38">
        <v>1</v>
      </c>
      <c r="B19" s="38">
        <v>2</v>
      </c>
      <c r="C19" s="38">
        <v>3</v>
      </c>
      <c r="D19" s="38">
        <v>4</v>
      </c>
      <c r="E19" s="39">
        <v>5</v>
      </c>
    </row>
    <row r="20" spans="1:5" ht="16.5" x14ac:dyDescent="0.25">
      <c r="A20" s="90" t="str">
        <f>CONCATENATE("Локальная смета: ", Source!G20)</f>
        <v>Локальная смета: Новая локальная смета</v>
      </c>
      <c r="B20" s="90"/>
      <c r="C20" s="90"/>
      <c r="D20" s="90"/>
      <c r="E20" s="90"/>
    </row>
    <row r="21" spans="1:5" ht="16.5" x14ac:dyDescent="0.25">
      <c r="A21" s="90" t="str">
        <f>CONCATENATE("Раздел: ", Source!G24)</f>
        <v>Раздел: 2 эт. Санузел</v>
      </c>
      <c r="B21" s="90"/>
      <c r="C21" s="90"/>
      <c r="D21" s="90"/>
      <c r="E21" s="90"/>
    </row>
    <row r="22" spans="1:5" ht="16.5" x14ac:dyDescent="0.25">
      <c r="A22" s="90" t="str">
        <f>CONCATENATE("Подраздел: ", Source!G28)</f>
        <v>Подраздел: ГВС/ХВС</v>
      </c>
      <c r="B22" s="90"/>
      <c r="C22" s="90"/>
      <c r="D22" s="90"/>
      <c r="E22" s="90"/>
    </row>
    <row r="23" spans="1:5" ht="14.25" x14ac:dyDescent="0.2">
      <c r="A23" s="44">
        <v>1</v>
      </c>
      <c r="B23" s="45" t="str">
        <f>Source!G47</f>
        <v>Установка фильтров диаметром до 25 мм (без стоимости фильтра)</v>
      </c>
      <c r="C23" s="46" t="str">
        <f>Source!H47</f>
        <v>шт.</v>
      </c>
      <c r="D23" s="47">
        <f>Source!I47</f>
        <v>2</v>
      </c>
      <c r="E23" s="45"/>
    </row>
    <row r="24" spans="1:5" ht="14.25" x14ac:dyDescent="0.2">
      <c r="A24" s="44">
        <v>2</v>
      </c>
      <c r="B24" s="45" t="str">
        <f>Source!G49</f>
        <v>Установка муфтовой арматуры диаметром 20 мм</v>
      </c>
      <c r="C24" s="46" t="str">
        <f>Source!H49</f>
        <v>10 шт.</v>
      </c>
      <c r="D24" s="47">
        <f>Source!I49</f>
        <v>0.2</v>
      </c>
      <c r="E24" s="45"/>
    </row>
    <row r="25" spans="1:5" ht="14.25" x14ac:dyDescent="0.2">
      <c r="A25" s="44">
        <v>3</v>
      </c>
      <c r="B25" s="45" t="str">
        <f>Source!G50</f>
        <v>Установка фильтров диаметром до 25 мм (без стоимости фильтра)</v>
      </c>
      <c r="C25" s="46" t="str">
        <f>Source!H50</f>
        <v>шт.</v>
      </c>
      <c r="D25" s="47">
        <f>Source!I50</f>
        <v>2</v>
      </c>
      <c r="E25" s="45"/>
    </row>
    <row r="26" spans="1:5" ht="42.75" x14ac:dyDescent="0.2">
      <c r="A26" s="44">
        <v>3.1</v>
      </c>
      <c r="B26" s="45" t="str">
        <f>Source!G52</f>
        <v>Фильтры для очистки воды сетчатые, с внутренней резьбой, максимальная температура воды 130°С, условное давление 1,6 МПа, диаметр условного прохода 20 мм, пропускная способность 4,5 м3/ч</v>
      </c>
      <c r="C26" s="46" t="str">
        <f>Source!H52</f>
        <v>шт.</v>
      </c>
      <c r="D26" s="47">
        <f>Source!I52</f>
        <v>2</v>
      </c>
      <c r="E26" s="45"/>
    </row>
    <row r="27" spans="1:5" ht="14.25" x14ac:dyDescent="0.2">
      <c r="A27" s="44">
        <v>4</v>
      </c>
      <c r="B27" s="45" t="str">
        <f>Source!G53</f>
        <v>Установка муфтовой арматуры диаметром 20 мм</v>
      </c>
      <c r="C27" s="46" t="str">
        <f>Source!H53</f>
        <v>10 шт.</v>
      </c>
      <c r="D27" s="47">
        <f>Source!I53</f>
        <v>0.2</v>
      </c>
      <c r="E27" s="45"/>
    </row>
    <row r="28" spans="1:5" ht="42.75" x14ac:dyDescent="0.2">
      <c r="A28" s="44">
        <v>4.0999999999999996</v>
      </c>
      <c r="B28" s="45" t="str">
        <f>Source!G54</f>
        <v>Клапаны обратные латунные пружинные, с наружной резьбой и металлическим затвором, тип 223, P=1,6 МПа, Tmax=80°C, диаметр условного прохода 20 мм</v>
      </c>
      <c r="C28" s="46" t="str">
        <f>Source!H54</f>
        <v>шт.</v>
      </c>
      <c r="D28" s="47">
        <f>Source!I54</f>
        <v>2</v>
      </c>
      <c r="E28" s="45"/>
    </row>
    <row r="29" spans="1:5" ht="16.5" x14ac:dyDescent="0.25">
      <c r="A29" s="90" t="str">
        <f>CONCATENATE("Раздел: ", Source!G116)</f>
        <v>Раздел: Подвал</v>
      </c>
      <c r="B29" s="90"/>
      <c r="C29" s="90"/>
      <c r="D29" s="90"/>
      <c r="E29" s="90"/>
    </row>
    <row r="30" spans="1:5" ht="16.5" x14ac:dyDescent="0.25">
      <c r="A30" s="90" t="str">
        <f>CONCATENATE("Подраздел: ", Source!G120)</f>
        <v>Подраздел: ХВС</v>
      </c>
      <c r="B30" s="90"/>
      <c r="C30" s="90"/>
      <c r="D30" s="90"/>
      <c r="E30" s="90"/>
    </row>
    <row r="31" spans="1:5" ht="28.5" x14ac:dyDescent="0.2">
      <c r="A31" s="44">
        <v>5</v>
      </c>
      <c r="B31" s="45" t="str">
        <f>Source!G124</f>
        <v>Разборка трубопроводов из водогазопроводных труб диаметром до 50 мм</v>
      </c>
      <c r="C31" s="46" t="str">
        <f>Source!H124</f>
        <v>100 м</v>
      </c>
      <c r="D31" s="47">
        <f>Source!I124</f>
        <v>0.63</v>
      </c>
      <c r="E31" s="45"/>
    </row>
    <row r="32" spans="1:5" ht="28.5" x14ac:dyDescent="0.2">
      <c r="A32" s="44">
        <v>6</v>
      </c>
      <c r="B32" s="45" t="str">
        <f>Source!G125</f>
        <v>Разборка трубопроводов из водогазопроводных труб диаметром до 80 мм</v>
      </c>
      <c r="C32" s="46" t="str">
        <f>Source!H125</f>
        <v>100 м</v>
      </c>
      <c r="D32" s="47">
        <f>Source!I125</f>
        <v>0.69</v>
      </c>
      <c r="E32" s="45"/>
    </row>
    <row r="33" spans="1:5" ht="28.5" x14ac:dyDescent="0.2">
      <c r="A33" s="44">
        <v>7</v>
      </c>
      <c r="B33" s="45" t="str">
        <f>Source!G126</f>
        <v>Прокладка трубопроводов водоснабжения из стальных электросварных труб диаметром 50 мм</v>
      </c>
      <c r="C33" s="46" t="str">
        <f>Source!H126</f>
        <v>100 м</v>
      </c>
      <c r="D33" s="47">
        <f>Source!I126</f>
        <v>0.63</v>
      </c>
      <c r="E33" s="45"/>
    </row>
    <row r="34" spans="1:5" ht="28.5" x14ac:dyDescent="0.2">
      <c r="A34" s="44">
        <v>7.1</v>
      </c>
      <c r="B34" s="45" t="str">
        <f>Source!G127</f>
        <v>Узлы трубопроводов из стальных водогазопроводных оцинкованных труб с гильзами для водоснабжения, диаметр условного прохода 50мм</v>
      </c>
      <c r="C34" s="46" t="str">
        <f>Source!H127</f>
        <v>м</v>
      </c>
      <c r="D34" s="47">
        <f>Source!I127</f>
        <v>63</v>
      </c>
      <c r="E34" s="45"/>
    </row>
    <row r="35" spans="1:5" ht="42.75" x14ac:dyDescent="0.2">
      <c r="A35" s="44">
        <v>7.2</v>
      </c>
      <c r="B35" s="45" t="str">
        <f>Source!G128</f>
        <v>Узлы трубопроводов отопления, водоснабжения из стальных электросварных труб с гильзами, наружный диаметр (толщина стенки) 57х3,5мм</v>
      </c>
      <c r="C35" s="46" t="str">
        <f>Source!H128</f>
        <v>м</v>
      </c>
      <c r="D35" s="47">
        <f>Source!I128</f>
        <v>-63</v>
      </c>
      <c r="E35" s="45"/>
    </row>
    <row r="36" spans="1:5" ht="28.5" x14ac:dyDescent="0.2">
      <c r="A36" s="44">
        <v>8</v>
      </c>
      <c r="B36" s="45" t="str">
        <f>Source!G129</f>
        <v>Прокладка трубопроводов водоснабжения из стальных электросварных труб диаметром 80 мм</v>
      </c>
      <c r="C36" s="46" t="str">
        <f>Source!H129</f>
        <v>100 м</v>
      </c>
      <c r="D36" s="47">
        <f>Source!I129</f>
        <v>0.69</v>
      </c>
      <c r="E36" s="45"/>
    </row>
    <row r="37" spans="1:5" ht="28.5" x14ac:dyDescent="0.2">
      <c r="A37" s="44">
        <v>8.1</v>
      </c>
      <c r="B37" s="45" t="str">
        <f>Source!G130</f>
        <v>Узлы трубопроводов из стальных водогазопроводных оцинкованных труб с гильзами для водоснабжения, диаметр условного прохода 90мм</v>
      </c>
      <c r="C37" s="46" t="str">
        <f>Source!H130</f>
        <v>м</v>
      </c>
      <c r="D37" s="47">
        <f>Source!I130</f>
        <v>69</v>
      </c>
      <c r="E37" s="45"/>
    </row>
    <row r="38" spans="1:5" ht="42.75" x14ac:dyDescent="0.2">
      <c r="A38" s="44">
        <v>8.1999999999999993</v>
      </c>
      <c r="B38" s="45" t="str">
        <f>Source!G131</f>
        <v>Узлы трубопроводов отопления, водоснабжения из стальных электросварных труб с гильзами, наружный диаметр (толщина стенки) 89х3,5мм</v>
      </c>
      <c r="C38" s="46" t="str">
        <f>Source!H131</f>
        <v>м</v>
      </c>
      <c r="D38" s="47">
        <f>Source!I131</f>
        <v>-69</v>
      </c>
      <c r="E38" s="45"/>
    </row>
    <row r="39" spans="1:5" ht="28.5" x14ac:dyDescent="0.2">
      <c r="A39" s="44">
        <v>9</v>
      </c>
      <c r="B39" s="45" t="str">
        <f>Source!G134</f>
        <v>Врезки в действующие внутренние сети трубопроводов водоснабжения диаметром 50 мм</v>
      </c>
      <c r="C39" s="46" t="str">
        <f>Source!H134</f>
        <v>шт.</v>
      </c>
      <c r="D39" s="47">
        <f>Source!I134</f>
        <v>12</v>
      </c>
      <c r="E39" s="45"/>
    </row>
    <row r="40" spans="1:5" ht="14.25" x14ac:dyDescent="0.2">
      <c r="A40" s="44">
        <v>9.1</v>
      </c>
      <c r="B40" s="45" t="str">
        <f>Source!G135</f>
        <v>Болты строительные черные с гайками и шайбами (10х100мм)</v>
      </c>
      <c r="C40" s="46" t="str">
        <f>Source!H135</f>
        <v>т</v>
      </c>
      <c r="D40" s="47">
        <f>Source!I135</f>
        <v>-7.1999999999999998E-3</v>
      </c>
      <c r="E40" s="45"/>
    </row>
    <row r="41" spans="1:5" ht="42.75" x14ac:dyDescent="0.2">
      <c r="A41" s="44">
        <v>9.1999999999999993</v>
      </c>
      <c r="B41" s="45" t="str">
        <f>Source!G136</f>
        <v>Трубы стальные бесшовные горячедеформированные со снятой фаской из стали марок 15, 20, 25, ГОСТ 8732-78, наружный диаметр 57 мм, толщина стенки 3,5 мм</v>
      </c>
      <c r="C41" s="46" t="str">
        <f>Source!H136</f>
        <v>м</v>
      </c>
      <c r="D41" s="47">
        <f>Source!I136</f>
        <v>-4.8</v>
      </c>
      <c r="E41" s="45"/>
    </row>
    <row r="42" spans="1:5" ht="42.75" x14ac:dyDescent="0.2">
      <c r="A42" s="44">
        <v>9.3000000000000007</v>
      </c>
      <c r="B42" s="45" t="str">
        <f>Source!G137</f>
        <v>Фланцы стальные плоские приварные с соединительным выступом, из стали ВСт3СП, ГОСТ 12820-80, условное давление 1 (10) МПа (кгс/см2), диаметр условного прохода 50мм</v>
      </c>
      <c r="C42" s="46" t="str">
        <f>Source!H137</f>
        <v>шт.</v>
      </c>
      <c r="D42" s="47">
        <f>Source!I137</f>
        <v>-12</v>
      </c>
      <c r="E42" s="45"/>
    </row>
    <row r="43" spans="1:5" ht="42.75" x14ac:dyDescent="0.2">
      <c r="A43" s="44">
        <v>9.4</v>
      </c>
      <c r="B43" s="45" t="str">
        <f>Source!G138</f>
        <v>Задвижки чугунные, параллельные, фланцевые с выдвижным шпинделем, для воды и пара, марка 30ч6бр, давление 1,0 (10) МПа (кгс/см2), диаметр 50 мм</v>
      </c>
      <c r="C43" s="46" t="str">
        <f>Source!H138</f>
        <v>шт.</v>
      </c>
      <c r="D43" s="47">
        <f>Source!I138</f>
        <v>-12</v>
      </c>
      <c r="E43" s="45"/>
    </row>
    <row r="44" spans="1:5" ht="28.5" x14ac:dyDescent="0.2">
      <c r="A44" s="44">
        <v>10</v>
      </c>
      <c r="B44" s="45" t="str">
        <f>Source!G139</f>
        <v>Гидравлическое испытание трубопроводов холодного и горячего водоснабжения диаметром до 50 мм</v>
      </c>
      <c r="C44" s="46" t="str">
        <f>Source!H139</f>
        <v>100 м</v>
      </c>
      <c r="D44" s="47">
        <f>Source!I139</f>
        <v>0.63</v>
      </c>
      <c r="E44" s="45"/>
    </row>
    <row r="45" spans="1:5" ht="28.5" x14ac:dyDescent="0.2">
      <c r="A45" s="44">
        <v>11</v>
      </c>
      <c r="B45" s="45" t="str">
        <f>Source!G140</f>
        <v>Гидравлическое испытание трубопроводов холодного и горячего водоснабжения диаметром до 100 мм</v>
      </c>
      <c r="C45" s="46" t="str">
        <f>Source!H140</f>
        <v>100 м</v>
      </c>
      <c r="D45" s="47">
        <f>Source!I140</f>
        <v>0.69</v>
      </c>
      <c r="E45" s="45"/>
    </row>
    <row r="46" spans="1:5" ht="57" x14ac:dyDescent="0.2">
      <c r="A46" s="44">
        <v>12</v>
      </c>
      <c r="B46" s="45" t="str">
        <f>Source!G141</f>
        <v>Изоляция трубопроводов изделиями из вспененного каучука, вспененного полиэтилена, трубками без нанесения на поверхность изоляции защитной окраски (без стоимости трубок, клея, листов, лент изоляционных)</v>
      </c>
      <c r="C46" s="46" t="str">
        <f>Source!H141</f>
        <v>10 м</v>
      </c>
      <c r="D46" s="47">
        <f>Source!I141</f>
        <v>13.2</v>
      </c>
      <c r="E46" s="45"/>
    </row>
    <row r="47" spans="1:5" ht="14.25" x14ac:dyDescent="0.2">
      <c r="A47" s="44">
        <v>12.1</v>
      </c>
      <c r="B47" s="45" t="str">
        <f>Source!G142</f>
        <v>Лента самоклеящаяся, ширина 50 мм, толщина 3 мм, тип "K-Flex ST"</v>
      </c>
      <c r="C47" s="46" t="str">
        <f>Source!H142</f>
        <v>м</v>
      </c>
      <c r="D47" s="47">
        <f>Source!I142</f>
        <v>138.6</v>
      </c>
      <c r="E47" s="45"/>
    </row>
    <row r="48" spans="1:5" ht="14.25" x14ac:dyDescent="0.2">
      <c r="A48" s="44">
        <v>12.2</v>
      </c>
      <c r="B48" s="45" t="str">
        <f>Source!G143</f>
        <v>Листы (рулоны) из вспененного каучука и полиэтилена</v>
      </c>
      <c r="C48" s="46" t="str">
        <f>Source!H143</f>
        <v>м2</v>
      </c>
      <c r="D48" s="47">
        <f>Source!I143</f>
        <v>3.3</v>
      </c>
      <c r="E48" s="45"/>
    </row>
    <row r="49" spans="1:5" ht="42.75" x14ac:dyDescent="0.2">
      <c r="A49" s="44">
        <v>12.3</v>
      </c>
      <c r="B49" s="45" t="str">
        <f>Source!G144</f>
        <v>Трубки теплоизоляционные из вспененного полиэтилена для поверхностей с температурой от -40°C до +95°С, внутренний диаметр (толщина) 89 (13) мм</v>
      </c>
      <c r="C49" s="46" t="str">
        <f>Source!H144</f>
        <v>м</v>
      </c>
      <c r="D49" s="47">
        <f>Source!I144</f>
        <v>72.45</v>
      </c>
      <c r="E49" s="45"/>
    </row>
    <row r="50" spans="1:5" ht="42.75" x14ac:dyDescent="0.2">
      <c r="A50" s="40">
        <v>12.4</v>
      </c>
      <c r="B50" s="41" t="str">
        <f>Source!G145</f>
        <v>Трубки теплоизоляционные из вспененного полиэтилена для поверхностей с температурой от -40°C до +95°С, внутренний диаметр (толщина) 60 (13) мм</v>
      </c>
      <c r="C50" s="42" t="str">
        <f>Source!H145</f>
        <v>м</v>
      </c>
      <c r="D50" s="43">
        <f>Source!I145</f>
        <v>66.150000000000006</v>
      </c>
      <c r="E50" s="41"/>
    </row>
    <row r="53" spans="1:5" ht="15" x14ac:dyDescent="0.25">
      <c r="A53" s="31" t="s">
        <v>414</v>
      </c>
      <c r="B53" s="31"/>
      <c r="C53" s="31" t="s">
        <v>415</v>
      </c>
      <c r="D53" s="31"/>
      <c r="E53" s="31"/>
    </row>
  </sheetData>
  <mergeCells count="9">
    <mergeCell ref="A22:E22"/>
    <mergeCell ref="A29:E29"/>
    <mergeCell ref="A30:E30"/>
    <mergeCell ref="C5:D5"/>
    <mergeCell ref="C7:D7"/>
    <mergeCell ref="A12:D12"/>
    <mergeCell ref="A13:D13"/>
    <mergeCell ref="A20:E20"/>
    <mergeCell ref="A21:E21"/>
  </mergeCells>
  <pageMargins left="0.4" right="0.2" top="0.2" bottom="0.4" header="0.2" footer="0.2"/>
  <pageSetup paperSize="9" scale="77" fitToHeight="0" orientation="portrait" r:id="rId1"/>
  <headerFooter>
    <oddHeader>&amp;L&amp;8</oddHeader>
    <oddFooter>&amp;R&amp;P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14"/>
  <sheetViews>
    <sheetView workbookViewId="0"/>
  </sheetViews>
  <sheetFormatPr defaultRowHeight="12.75" x14ac:dyDescent="0.2"/>
  <sheetData>
    <row r="1" spans="1:28" x14ac:dyDescent="0.2">
      <c r="A1" t="s">
        <v>444</v>
      </c>
      <c r="B1" t="s">
        <v>446</v>
      </c>
      <c r="C1" t="s">
        <v>447</v>
      </c>
      <c r="D1" t="s">
        <v>448</v>
      </c>
      <c r="E1" t="s">
        <v>449</v>
      </c>
      <c r="F1" t="s">
        <v>450</v>
      </c>
      <c r="G1" t="s">
        <v>451</v>
      </c>
      <c r="H1" t="s">
        <v>452</v>
      </c>
      <c r="I1" t="s">
        <v>453</v>
      </c>
      <c r="J1" t="s">
        <v>454</v>
      </c>
      <c r="K1" t="s">
        <v>455</v>
      </c>
      <c r="L1" t="s">
        <v>456</v>
      </c>
      <c r="M1" t="s">
        <v>457</v>
      </c>
      <c r="N1" t="s">
        <v>458</v>
      </c>
      <c r="O1" t="s">
        <v>445</v>
      </c>
    </row>
    <row r="2" spans="1:28" x14ac:dyDescent="0.2">
      <c r="A2">
        <v>1</v>
      </c>
      <c r="B2">
        <v>0</v>
      </c>
      <c r="C2">
        <v>1</v>
      </c>
      <c r="D2">
        <v>1</v>
      </c>
      <c r="E2">
        <v>1</v>
      </c>
      <c r="F2">
        <v>0</v>
      </c>
      <c r="G2">
        <v>0</v>
      </c>
      <c r="H2">
        <v>1</v>
      </c>
      <c r="I2">
        <v>1</v>
      </c>
      <c r="J2">
        <v>1</v>
      </c>
      <c r="K2">
        <v>1</v>
      </c>
      <c r="L2">
        <v>78131199</v>
      </c>
      <c r="M2">
        <v>0</v>
      </c>
      <c r="N2">
        <v>0</v>
      </c>
      <c r="O2">
        <v>0</v>
      </c>
    </row>
    <row r="4" spans="1:28" x14ac:dyDescent="0.2">
      <c r="A4" t="s">
        <v>416</v>
      </c>
      <c r="B4" t="s">
        <v>417</v>
      </c>
      <c r="C4" t="s">
        <v>418</v>
      </c>
      <c r="D4" t="s">
        <v>419</v>
      </c>
      <c r="E4" t="s">
        <v>420</v>
      </c>
      <c r="F4" t="s">
        <v>421</v>
      </c>
      <c r="G4" t="s">
        <v>422</v>
      </c>
      <c r="H4" t="s">
        <v>423</v>
      </c>
      <c r="I4" t="s">
        <v>424</v>
      </c>
      <c r="J4" t="s">
        <v>425</v>
      </c>
      <c r="K4" t="s">
        <v>426</v>
      </c>
      <c r="L4" t="s">
        <v>427</v>
      </c>
      <c r="M4" t="s">
        <v>428</v>
      </c>
      <c r="N4" t="s">
        <v>429</v>
      </c>
      <c r="O4" t="s">
        <v>430</v>
      </c>
      <c r="P4" t="s">
        <v>431</v>
      </c>
      <c r="Q4" t="s">
        <v>432</v>
      </c>
      <c r="R4" t="s">
        <v>433</v>
      </c>
      <c r="S4" t="s">
        <v>434</v>
      </c>
      <c r="T4" t="s">
        <v>435</v>
      </c>
      <c r="U4" t="s">
        <v>439</v>
      </c>
      <c r="V4" t="s">
        <v>440</v>
      </c>
      <c r="W4" t="s">
        <v>441</v>
      </c>
      <c r="X4" t="s">
        <v>442</v>
      </c>
      <c r="Y4" t="s">
        <v>443</v>
      </c>
      <c r="Z4" t="s">
        <v>436</v>
      </c>
      <c r="AA4" t="s">
        <v>437</v>
      </c>
      <c r="AB4" t="s">
        <v>438</v>
      </c>
    </row>
    <row r="6" spans="1:28" x14ac:dyDescent="0.2">
      <c r="A6">
        <f>Source!A20</f>
        <v>3</v>
      </c>
      <c r="B6">
        <v>20</v>
      </c>
      <c r="G6" t="str">
        <f>Source!G20</f>
        <v>Новая локальная смета</v>
      </c>
    </row>
    <row r="7" spans="1:28" x14ac:dyDescent="0.2">
      <c r="A7">
        <f>Source!A24</f>
        <v>4</v>
      </c>
      <c r="B7">
        <v>24</v>
      </c>
      <c r="G7" t="str">
        <f>Source!G24</f>
        <v>2 эт. Санузел</v>
      </c>
    </row>
    <row r="8" spans="1:28" x14ac:dyDescent="0.2">
      <c r="A8">
        <f>Source!A28</f>
        <v>5</v>
      </c>
      <c r="B8">
        <v>28</v>
      </c>
      <c r="G8" t="str">
        <f>Source!G28</f>
        <v>ГВС/ХВС</v>
      </c>
    </row>
    <row r="9" spans="1:28" x14ac:dyDescent="0.2">
      <c r="A9">
        <v>20</v>
      </c>
      <c r="B9">
        <v>10</v>
      </c>
      <c r="C9">
        <v>3</v>
      </c>
      <c r="D9">
        <v>0</v>
      </c>
      <c r="E9">
        <f>SmtRes!AV10</f>
        <v>0</v>
      </c>
      <c r="F9" t="str">
        <f>SmtRes!I10</f>
        <v>21.1-25-83</v>
      </c>
      <c r="G9" t="str">
        <f>SmtRes!K10</f>
        <v>Клей 88НП, 88-Н</v>
      </c>
      <c r="H9" t="str">
        <f>SmtRes!O10</f>
        <v>кг</v>
      </c>
      <c r="I9">
        <f>SmtRes!Y10*Source!I32</f>
        <v>0</v>
      </c>
      <c r="J9">
        <f>SmtRes!AO10</f>
        <v>1</v>
      </c>
      <c r="K9">
        <f>SmtRes!AE10</f>
        <v>495.12</v>
      </c>
      <c r="L9">
        <f>SmtRes!DB10</f>
        <v>0</v>
      </c>
      <c r="M9">
        <f>ROUND(ROUND(L9*Source!I32, 6)*1, 2)</f>
        <v>0</v>
      </c>
      <c r="N9">
        <f>SmtRes!AA10</f>
        <v>495.12</v>
      </c>
      <c r="O9">
        <f>ROUND(ROUND(L9*Source!I32, 6)*SmtRes!DA10, 2)</f>
        <v>0</v>
      </c>
      <c r="P9">
        <f>SmtRes!AG10</f>
        <v>0</v>
      </c>
      <c r="Q9">
        <f>SmtRes!DC10</f>
        <v>0</v>
      </c>
      <c r="R9">
        <f>ROUND(ROUND(Q9*Source!I32, 6)*1, 2)</f>
        <v>0</v>
      </c>
      <c r="S9">
        <f>SmtRes!AC10</f>
        <v>0</v>
      </c>
      <c r="T9">
        <f>ROUND(ROUND(Q9*Source!I32, 6)*SmtRes!AK10, 2)</f>
        <v>0</v>
      </c>
      <c r="U9">
        <v>3</v>
      </c>
      <c r="Z9">
        <f>SmtRes!X10</f>
        <v>-900515407</v>
      </c>
      <c r="AA9">
        <v>1447275782</v>
      </c>
      <c r="AB9">
        <v>-641998656</v>
      </c>
    </row>
    <row r="10" spans="1:28" x14ac:dyDescent="0.2">
      <c r="A10">
        <v>20</v>
      </c>
      <c r="B10">
        <v>9</v>
      </c>
      <c r="C10">
        <v>3</v>
      </c>
      <c r="D10">
        <v>0</v>
      </c>
      <c r="E10">
        <f>SmtRes!AV9</f>
        <v>0</v>
      </c>
      <c r="F10" t="str">
        <f>SmtRes!I9</f>
        <v>21.1-25-13</v>
      </c>
      <c r="G10" t="str">
        <f>SmtRes!K9</f>
        <v>Вода</v>
      </c>
      <c r="H10" t="str">
        <f>SmtRes!O9</f>
        <v>м3</v>
      </c>
      <c r="I10">
        <f>SmtRes!Y9*Source!I32</f>
        <v>0</v>
      </c>
      <c r="J10">
        <f>SmtRes!AO9</f>
        <v>1</v>
      </c>
      <c r="K10">
        <f>SmtRes!AE9</f>
        <v>49.83</v>
      </c>
      <c r="L10">
        <f>SmtRes!DB9</f>
        <v>0</v>
      </c>
      <c r="M10">
        <f>ROUND(ROUND(L10*Source!I32, 6)*1, 2)</f>
        <v>0</v>
      </c>
      <c r="N10">
        <f>SmtRes!AA9</f>
        <v>49.83</v>
      </c>
      <c r="O10">
        <f>ROUND(ROUND(L10*Source!I32, 6)*SmtRes!DA9, 2)</f>
        <v>0</v>
      </c>
      <c r="P10">
        <f>SmtRes!AG9</f>
        <v>0</v>
      </c>
      <c r="Q10">
        <f>SmtRes!DC9</f>
        <v>0</v>
      </c>
      <c r="R10">
        <f>ROUND(ROUND(Q10*Source!I32, 6)*1, 2)</f>
        <v>0</v>
      </c>
      <c r="S10">
        <f>SmtRes!AC9</f>
        <v>0</v>
      </c>
      <c r="T10">
        <f>ROUND(ROUND(Q10*Source!I32, 6)*SmtRes!AK9, 2)</f>
        <v>0</v>
      </c>
      <c r="U10">
        <v>3</v>
      </c>
      <c r="Z10">
        <f>SmtRes!X9</f>
        <v>-1393929784</v>
      </c>
      <c r="AA10">
        <v>1184894576</v>
      </c>
      <c r="AB10">
        <v>-1079220036</v>
      </c>
    </row>
    <row r="11" spans="1:28" x14ac:dyDescent="0.2">
      <c r="A11">
        <v>20</v>
      </c>
      <c r="B11">
        <v>8</v>
      </c>
      <c r="C11">
        <v>3</v>
      </c>
      <c r="D11">
        <v>0</v>
      </c>
      <c r="E11">
        <f>SmtRes!AV8</f>
        <v>0</v>
      </c>
      <c r="F11" t="str">
        <f>SmtRes!I8</f>
        <v>21.1-16-29</v>
      </c>
      <c r="G11" t="str">
        <f>SmtRes!K8</f>
        <v>Известь хлорная</v>
      </c>
      <c r="H11" t="str">
        <f>SmtRes!O8</f>
        <v>т</v>
      </c>
      <c r="I11">
        <f>SmtRes!Y8*Source!I32</f>
        <v>0</v>
      </c>
      <c r="J11">
        <f>SmtRes!AO8</f>
        <v>1</v>
      </c>
      <c r="K11">
        <f>SmtRes!AE8</f>
        <v>67221.42</v>
      </c>
      <c r="L11">
        <f>SmtRes!DB8</f>
        <v>0</v>
      </c>
      <c r="M11">
        <f>ROUND(ROUND(L11*Source!I32, 6)*1, 2)</f>
        <v>0</v>
      </c>
      <c r="N11">
        <f>SmtRes!AA8</f>
        <v>67221.42</v>
      </c>
      <c r="O11">
        <f>ROUND(ROUND(L11*Source!I32, 6)*SmtRes!DA8, 2)</f>
        <v>0</v>
      </c>
      <c r="P11">
        <f>SmtRes!AG8</f>
        <v>0</v>
      </c>
      <c r="Q11">
        <f>SmtRes!DC8</f>
        <v>0</v>
      </c>
      <c r="R11">
        <f>ROUND(ROUND(Q11*Source!I32, 6)*1, 2)</f>
        <v>0</v>
      </c>
      <c r="S11">
        <f>SmtRes!AC8</f>
        <v>0</v>
      </c>
      <c r="T11">
        <f>ROUND(ROUND(Q11*Source!I32, 6)*SmtRes!AK8, 2)</f>
        <v>0</v>
      </c>
      <c r="U11">
        <v>3</v>
      </c>
      <c r="Z11">
        <f>SmtRes!X8</f>
        <v>1022491451</v>
      </c>
      <c r="AA11">
        <v>1708034526</v>
      </c>
      <c r="AB11">
        <v>1539201696</v>
      </c>
    </row>
    <row r="12" spans="1:28" x14ac:dyDescent="0.2">
      <c r="A12">
        <v>20</v>
      </c>
      <c r="B12">
        <v>7</v>
      </c>
      <c r="C12">
        <v>3</v>
      </c>
      <c r="D12">
        <v>0</v>
      </c>
      <c r="E12">
        <f>SmtRes!AV7</f>
        <v>0</v>
      </c>
      <c r="F12" t="str">
        <f>SmtRes!I7</f>
        <v>21.1-16-121</v>
      </c>
      <c r="G12" t="str">
        <f>SmtRes!K7</f>
        <v>Метилен хлористый технический</v>
      </c>
      <c r="H12" t="str">
        <f>SmtRes!O7</f>
        <v>кг</v>
      </c>
      <c r="I12">
        <f>SmtRes!Y7*Source!I32</f>
        <v>0</v>
      </c>
      <c r="J12">
        <f>SmtRes!AO7</f>
        <v>1</v>
      </c>
      <c r="K12">
        <f>SmtRes!AE7</f>
        <v>97.56</v>
      </c>
      <c r="L12">
        <f>SmtRes!DB7</f>
        <v>0</v>
      </c>
      <c r="M12">
        <f>ROUND(ROUND(L12*Source!I32, 6)*1, 2)</f>
        <v>0</v>
      </c>
      <c r="N12">
        <f>SmtRes!AA7</f>
        <v>97.56</v>
      </c>
      <c r="O12">
        <f>ROUND(ROUND(L12*Source!I32, 6)*SmtRes!DA7, 2)</f>
        <v>0</v>
      </c>
      <c r="P12">
        <f>SmtRes!AG7</f>
        <v>0</v>
      </c>
      <c r="Q12">
        <f>SmtRes!DC7</f>
        <v>0</v>
      </c>
      <c r="R12">
        <f>ROUND(ROUND(Q12*Source!I32, 6)*1, 2)</f>
        <v>0</v>
      </c>
      <c r="S12">
        <f>SmtRes!AC7</f>
        <v>0</v>
      </c>
      <c r="T12">
        <f>ROUND(ROUND(Q12*Source!I32, 6)*SmtRes!AK7, 2)</f>
        <v>0</v>
      </c>
      <c r="U12">
        <v>3</v>
      </c>
      <c r="Z12">
        <f>SmtRes!X7</f>
        <v>812221846</v>
      </c>
      <c r="AA12">
        <v>1914912849</v>
      </c>
      <c r="AB12">
        <v>1094326589</v>
      </c>
    </row>
    <row r="13" spans="1:28" x14ac:dyDescent="0.2">
      <c r="A13">
        <v>20</v>
      </c>
      <c r="B13">
        <v>6</v>
      </c>
      <c r="C13">
        <v>3</v>
      </c>
      <c r="D13">
        <v>0</v>
      </c>
      <c r="E13">
        <f>SmtRes!AV6</f>
        <v>0</v>
      </c>
      <c r="F13" t="str">
        <f>SmtRes!I6</f>
        <v>21.1-11-80</v>
      </c>
      <c r="G13" t="str">
        <f>SmtRes!K6</f>
        <v>Патроны, калибр 6,8/18М для дюбеля</v>
      </c>
      <c r="H13" t="str">
        <f>SmtRes!O6</f>
        <v>100 шт.</v>
      </c>
      <c r="I13">
        <f>SmtRes!Y6*Source!I32</f>
        <v>0</v>
      </c>
      <c r="J13">
        <f>SmtRes!AO6</f>
        <v>1</v>
      </c>
      <c r="K13">
        <f>SmtRes!AE6</f>
        <v>1151.6600000000001</v>
      </c>
      <c r="L13">
        <f>SmtRes!DB6</f>
        <v>0</v>
      </c>
      <c r="M13">
        <f>ROUND(ROUND(L13*Source!I32, 6)*1, 2)</f>
        <v>0</v>
      </c>
      <c r="N13">
        <f>SmtRes!AA6</f>
        <v>1151.6600000000001</v>
      </c>
      <c r="O13">
        <f>ROUND(ROUND(L13*Source!I32, 6)*SmtRes!DA6, 2)</f>
        <v>0</v>
      </c>
      <c r="P13">
        <f>SmtRes!AG6</f>
        <v>0</v>
      </c>
      <c r="Q13">
        <f>SmtRes!DC6</f>
        <v>0</v>
      </c>
      <c r="R13">
        <f>ROUND(ROUND(Q13*Source!I32, 6)*1, 2)</f>
        <v>0</v>
      </c>
      <c r="S13">
        <f>SmtRes!AC6</f>
        <v>0</v>
      </c>
      <c r="T13">
        <f>ROUND(ROUND(Q13*Source!I32, 6)*SmtRes!AK6, 2)</f>
        <v>0</v>
      </c>
      <c r="U13">
        <v>3</v>
      </c>
      <c r="Z13">
        <f>SmtRes!X6</f>
        <v>421425427</v>
      </c>
      <c r="AA13">
        <v>1162188076</v>
      </c>
      <c r="AB13">
        <v>1314847519</v>
      </c>
    </row>
    <row r="14" spans="1:28" x14ac:dyDescent="0.2">
      <c r="A14">
        <v>20</v>
      </c>
      <c r="B14">
        <v>5</v>
      </c>
      <c r="C14">
        <v>3</v>
      </c>
      <c r="D14">
        <v>0</v>
      </c>
      <c r="E14">
        <f>SmtRes!AV5</f>
        <v>0</v>
      </c>
      <c r="F14" t="str">
        <f>SmtRes!I5</f>
        <v>21.1-11-51</v>
      </c>
      <c r="G14" t="str">
        <f>SmtRes!K5</f>
        <v>Дюбели с насаженными шайбами</v>
      </c>
      <c r="H14" t="str">
        <f>SmtRes!O5</f>
        <v>т</v>
      </c>
      <c r="I14">
        <f>SmtRes!Y5*Source!I32</f>
        <v>0</v>
      </c>
      <c r="J14">
        <f>SmtRes!AO5</f>
        <v>1</v>
      </c>
      <c r="K14">
        <f>SmtRes!AE5</f>
        <v>233970.16</v>
      </c>
      <c r="L14">
        <f>SmtRes!DB5</f>
        <v>0</v>
      </c>
      <c r="M14">
        <f>ROUND(ROUND(L14*Source!I32, 6)*1, 2)</f>
        <v>0</v>
      </c>
      <c r="N14">
        <f>SmtRes!AA5</f>
        <v>233970.16</v>
      </c>
      <c r="O14">
        <f>ROUND(ROUND(L14*Source!I32, 6)*SmtRes!DA5, 2)</f>
        <v>0</v>
      </c>
      <c r="P14">
        <f>SmtRes!AG5</f>
        <v>0</v>
      </c>
      <c r="Q14">
        <f>SmtRes!DC5</f>
        <v>0</v>
      </c>
      <c r="R14">
        <f>ROUND(ROUND(Q14*Source!I32, 6)*1, 2)</f>
        <v>0</v>
      </c>
      <c r="S14">
        <f>SmtRes!AC5</f>
        <v>0</v>
      </c>
      <c r="T14">
        <f>ROUND(ROUND(Q14*Source!I32, 6)*SmtRes!AK5, 2)</f>
        <v>0</v>
      </c>
      <c r="U14">
        <v>3</v>
      </c>
      <c r="Z14">
        <f>SmtRes!X5</f>
        <v>-479093135</v>
      </c>
      <c r="AA14">
        <v>205956242</v>
      </c>
      <c r="AB14">
        <v>-79849415</v>
      </c>
    </row>
    <row r="15" spans="1:28" x14ac:dyDescent="0.2">
      <c r="A15">
        <v>20</v>
      </c>
      <c r="B15">
        <v>4</v>
      </c>
      <c r="C15">
        <v>3</v>
      </c>
      <c r="D15">
        <v>0</v>
      </c>
      <c r="E15">
        <f>SmtRes!AV4</f>
        <v>0</v>
      </c>
      <c r="F15" t="str">
        <f>SmtRes!I4</f>
        <v>21.1-11-128</v>
      </c>
      <c r="G15" t="str">
        <f>SmtRes!K4</f>
        <v>Шурупы-саморезы с полусферической головкой, с прессшайбой, наконечник острый, оцинкованные, размер 4,2х14 мм, для крепления листового металла</v>
      </c>
      <c r="H15" t="str">
        <f>SmtRes!O4</f>
        <v>кг</v>
      </c>
      <c r="I15">
        <f>SmtRes!Y4*Source!I32</f>
        <v>0</v>
      </c>
      <c r="J15">
        <f>SmtRes!AO4</f>
        <v>1</v>
      </c>
      <c r="K15">
        <f>SmtRes!AE4</f>
        <v>261.27999999999997</v>
      </c>
      <c r="L15">
        <f>SmtRes!DB4</f>
        <v>0</v>
      </c>
      <c r="M15">
        <f>ROUND(ROUND(L15*Source!I32, 6)*1, 2)</f>
        <v>0</v>
      </c>
      <c r="N15">
        <f>SmtRes!AA4</f>
        <v>261.27999999999997</v>
      </c>
      <c r="O15">
        <f>ROUND(ROUND(L15*Source!I32, 6)*SmtRes!DA4, 2)</f>
        <v>0</v>
      </c>
      <c r="P15">
        <f>SmtRes!AG4</f>
        <v>0</v>
      </c>
      <c r="Q15">
        <f>SmtRes!DC4</f>
        <v>0</v>
      </c>
      <c r="R15">
        <f>ROUND(ROUND(Q15*Source!I32, 6)*1, 2)</f>
        <v>0</v>
      </c>
      <c r="S15">
        <f>SmtRes!AC4</f>
        <v>0</v>
      </c>
      <c r="T15">
        <f>ROUND(ROUND(Q15*Source!I32, 6)*SmtRes!AK4, 2)</f>
        <v>0</v>
      </c>
      <c r="U15">
        <v>3</v>
      </c>
      <c r="Z15">
        <f>SmtRes!X4</f>
        <v>-806813352</v>
      </c>
      <c r="AA15">
        <v>467030823</v>
      </c>
      <c r="AB15">
        <v>1444829627</v>
      </c>
    </row>
    <row r="16" spans="1:28" x14ac:dyDescent="0.2">
      <c r="A16">
        <v>20</v>
      </c>
      <c r="B16">
        <v>2</v>
      </c>
      <c r="C16">
        <v>2</v>
      </c>
      <c r="D16">
        <v>0</v>
      </c>
      <c r="E16">
        <f>SmtRes!AV2</f>
        <v>0</v>
      </c>
      <c r="F16" t="str">
        <f>SmtRes!I2</f>
        <v>22.1-13-13</v>
      </c>
      <c r="G16" t="str">
        <f>SmtRes!K2</f>
        <v>Агрегаты для сварки полиэтиленовых труб</v>
      </c>
      <c r="H16" t="str">
        <f>SmtRes!O2</f>
        <v>маш.-ч</v>
      </c>
      <c r="I16">
        <f>SmtRes!Y2*Source!I32</f>
        <v>0</v>
      </c>
      <c r="J16">
        <f>SmtRes!AO2</f>
        <v>1</v>
      </c>
      <c r="K16">
        <f>SmtRes!AF2</f>
        <v>1369.82</v>
      </c>
      <c r="L16">
        <f>SmtRes!DB2</f>
        <v>3914.9459999999999</v>
      </c>
      <c r="M16">
        <f>ROUND(ROUND(L16*Source!I32, 6)*1, 2)</f>
        <v>0</v>
      </c>
      <c r="N16">
        <f>SmtRes!AB2</f>
        <v>1369.82</v>
      </c>
      <c r="O16">
        <f>ROUND(ROUND(L16*Source!I32, 6)*SmtRes!DA2, 2)</f>
        <v>0</v>
      </c>
      <c r="P16">
        <f>SmtRes!AG2</f>
        <v>1183.81</v>
      </c>
      <c r="Q16">
        <f>SmtRes!DC2</f>
        <v>3383.328</v>
      </c>
      <c r="R16">
        <f>ROUND(ROUND(Q16*Source!I32, 6)*1, 2)</f>
        <v>0</v>
      </c>
      <c r="S16">
        <f>SmtRes!AC2</f>
        <v>1183.81</v>
      </c>
      <c r="T16">
        <f>ROUND(ROUND(Q16*Source!I32, 6)*SmtRes!AK2, 2)</f>
        <v>0</v>
      </c>
      <c r="U16">
        <v>2</v>
      </c>
      <c r="Z16">
        <f>SmtRes!X2</f>
        <v>1215981924</v>
      </c>
      <c r="AA16">
        <v>660645829</v>
      </c>
      <c r="AB16">
        <v>1365080743</v>
      </c>
    </row>
    <row r="17" spans="1:28" x14ac:dyDescent="0.2">
      <c r="A17">
        <f>Source!A33</f>
        <v>18</v>
      </c>
      <c r="B17">
        <v>33</v>
      </c>
      <c r="C17">
        <v>3</v>
      </c>
      <c r="D17">
        <f>Source!BI33</f>
        <v>4</v>
      </c>
      <c r="E17">
        <f>Source!FS33</f>
        <v>0</v>
      </c>
      <c r="F17" t="str">
        <f>Source!F33</f>
        <v>1468070000</v>
      </c>
      <c r="G17" t="str">
        <f>Source!G33</f>
        <v>Средства для крепления труб</v>
      </c>
      <c r="H17" t="str">
        <f>Source!H33</f>
        <v>шт.</v>
      </c>
      <c r="I17">
        <f>Source!I33</f>
        <v>0</v>
      </c>
      <c r="J17">
        <v>1</v>
      </c>
      <c r="K17">
        <f>Source!AC33</f>
        <v>0</v>
      </c>
      <c r="M17">
        <f>ROUND(K17*I17, 2)</f>
        <v>0</v>
      </c>
      <c r="N17">
        <f>Source!AC33*IF(Source!BC33&lt;&gt; 0, Source!BC33, 1)</f>
        <v>0</v>
      </c>
      <c r="O17">
        <f>ROUND(N17*I17, 2)</f>
        <v>0</v>
      </c>
      <c r="P17">
        <f>Source!AE33</f>
        <v>0</v>
      </c>
      <c r="R17">
        <f>ROUND(P17*I17, 2)</f>
        <v>0</v>
      </c>
      <c r="S17">
        <f>Source!AE33*IF(Source!BS33&lt;&gt; 0, Source!BS33, 1)</f>
        <v>0</v>
      </c>
      <c r="T17">
        <f>ROUND(S17*I17, 2)</f>
        <v>0</v>
      </c>
      <c r="U17">
        <v>3</v>
      </c>
      <c r="Z17">
        <f>Source!GF33</f>
        <v>1960360122</v>
      </c>
      <c r="AA17">
        <v>528168038</v>
      </c>
      <c r="AB17">
        <v>1360976382</v>
      </c>
    </row>
    <row r="18" spans="1:28" x14ac:dyDescent="0.2">
      <c r="A18">
        <f>Source!A34</f>
        <v>18</v>
      </c>
      <c r="B18">
        <v>34</v>
      </c>
      <c r="C18">
        <v>3</v>
      </c>
      <c r="D18">
        <f>Source!BI34</f>
        <v>4</v>
      </c>
      <c r="E18">
        <f>Source!FS34</f>
        <v>0</v>
      </c>
      <c r="F18" t="str">
        <f>Source!F34</f>
        <v>2248100000</v>
      </c>
      <c r="G18" t="str">
        <f>Source!G34</f>
        <v>Трубы из полиэтилена</v>
      </c>
      <c r="H18" t="str">
        <f>Source!H34</f>
        <v>м</v>
      </c>
      <c r="I18">
        <f>Source!I34</f>
        <v>0</v>
      </c>
      <c r="J18">
        <v>1</v>
      </c>
      <c r="K18">
        <f>Source!AC34</f>
        <v>0</v>
      </c>
      <c r="M18">
        <f>ROUND(K18*I18, 2)</f>
        <v>0</v>
      </c>
      <c r="N18">
        <f>Source!AC34*IF(Source!BC34&lt;&gt; 0, Source!BC34, 1)</f>
        <v>0</v>
      </c>
      <c r="O18">
        <f>ROUND(N18*I18, 2)</f>
        <v>0</v>
      </c>
      <c r="P18">
        <f>Source!AE34</f>
        <v>0</v>
      </c>
      <c r="R18">
        <f>ROUND(P18*I18, 2)</f>
        <v>0</v>
      </c>
      <c r="S18">
        <f>Source!AE34*IF(Source!BS34&lt;&gt; 0, Source!BS34, 1)</f>
        <v>0</v>
      </c>
      <c r="T18">
        <f>ROUND(S18*I18, 2)</f>
        <v>0</v>
      </c>
      <c r="U18">
        <v>3</v>
      </c>
      <c r="Z18">
        <f>Source!GF34</f>
        <v>-602450138</v>
      </c>
      <c r="AA18">
        <v>-503193284</v>
      </c>
      <c r="AB18">
        <v>-628598438</v>
      </c>
    </row>
    <row r="19" spans="1:28" x14ac:dyDescent="0.2">
      <c r="A19">
        <f>Source!A35</f>
        <v>18</v>
      </c>
      <c r="B19">
        <v>35</v>
      </c>
      <c r="C19">
        <v>3</v>
      </c>
      <c r="D19">
        <f>Source!BI35</f>
        <v>4</v>
      </c>
      <c r="E19">
        <f>Source!FS35</f>
        <v>0</v>
      </c>
      <c r="F19" t="str">
        <f>Source!F35</f>
        <v>2248130000</v>
      </c>
      <c r="G19" t="str">
        <f>Source!G35</f>
        <v>Фасонные части из полиэтилена (224815) фасонные части из полипропилена</v>
      </c>
      <c r="H19" t="str">
        <f>Source!H35</f>
        <v>шт.</v>
      </c>
      <c r="I19">
        <f>Source!I35</f>
        <v>0</v>
      </c>
      <c r="J19">
        <v>1</v>
      </c>
      <c r="K19">
        <f>Source!AC35</f>
        <v>0</v>
      </c>
      <c r="M19">
        <f>ROUND(K19*I19, 2)</f>
        <v>0</v>
      </c>
      <c r="N19">
        <f>Source!AC35*IF(Source!BC35&lt;&gt; 0, Source!BC35, 1)</f>
        <v>0</v>
      </c>
      <c r="O19">
        <f>ROUND(N19*I19, 2)</f>
        <v>0</v>
      </c>
      <c r="P19">
        <f>Source!AE35</f>
        <v>0</v>
      </c>
      <c r="R19">
        <f>ROUND(P19*I19, 2)</f>
        <v>0</v>
      </c>
      <c r="S19">
        <f>Source!AE35*IF(Source!BS35&lt;&gt; 0, Source!BS35, 1)</f>
        <v>0</v>
      </c>
      <c r="T19">
        <f>ROUND(S19*I19, 2)</f>
        <v>0</v>
      </c>
      <c r="U19">
        <v>3</v>
      </c>
      <c r="Z19">
        <f>Source!GF35</f>
        <v>1569462797</v>
      </c>
      <c r="AA19">
        <v>-1647344455</v>
      </c>
      <c r="AB19">
        <v>2028549029</v>
      </c>
    </row>
    <row r="20" spans="1:28" x14ac:dyDescent="0.2">
      <c r="A20">
        <f>Source!A36</f>
        <v>18</v>
      </c>
      <c r="B20">
        <v>36</v>
      </c>
      <c r="C20">
        <v>3</v>
      </c>
      <c r="D20">
        <f>Source!BI36</f>
        <v>4</v>
      </c>
      <c r="E20">
        <f>Source!FS36</f>
        <v>0</v>
      </c>
      <c r="F20" t="str">
        <f>Source!F36</f>
        <v>3700000000</v>
      </c>
      <c r="G20" t="str">
        <f>Source!G36</f>
        <v>Арматура трубопроводная</v>
      </c>
      <c r="H20" t="str">
        <f>Source!H36</f>
        <v>шт.</v>
      </c>
      <c r="I20">
        <f>Source!I36</f>
        <v>0</v>
      </c>
      <c r="J20">
        <v>1</v>
      </c>
      <c r="K20">
        <f>Source!AC36</f>
        <v>0</v>
      </c>
      <c r="M20">
        <f>ROUND(K20*I20, 2)</f>
        <v>0</v>
      </c>
      <c r="N20">
        <f>Source!AC36*IF(Source!BC36&lt;&gt; 0, Source!BC36, 1)</f>
        <v>0</v>
      </c>
      <c r="O20">
        <f>ROUND(N20*I20, 2)</f>
        <v>0</v>
      </c>
      <c r="P20">
        <f>Source!AE36</f>
        <v>0</v>
      </c>
      <c r="R20">
        <f>ROUND(P20*I20, 2)</f>
        <v>0</v>
      </c>
      <c r="S20">
        <f>Source!AE36*IF(Source!BS36&lt;&gt; 0, Source!BS36, 1)</f>
        <v>0</v>
      </c>
      <c r="T20">
        <f>ROUND(S20*I20, 2)</f>
        <v>0</v>
      </c>
      <c r="U20">
        <v>3</v>
      </c>
      <c r="Z20">
        <f>Source!GF36</f>
        <v>-1590809106</v>
      </c>
      <c r="AA20">
        <v>-1916796779</v>
      </c>
      <c r="AB20">
        <v>1931255850</v>
      </c>
    </row>
    <row r="21" spans="1:28" x14ac:dyDescent="0.2">
      <c r="A21">
        <v>20</v>
      </c>
      <c r="B21">
        <v>26</v>
      </c>
      <c r="C21">
        <v>3</v>
      </c>
      <c r="D21">
        <v>0</v>
      </c>
      <c r="E21">
        <f>SmtRes!AV26</f>
        <v>0</v>
      </c>
      <c r="F21" t="str">
        <f>SmtRes!I26</f>
        <v>21.1-6-90</v>
      </c>
      <c r="G21" t="str">
        <f>SmtRes!K26</f>
        <v>Олифа для окраски комбинированная оксоль</v>
      </c>
      <c r="H21" t="str">
        <f>SmtRes!O26</f>
        <v>кг</v>
      </c>
      <c r="I21">
        <f>SmtRes!Y26*Source!I37</f>
        <v>0</v>
      </c>
      <c r="J21">
        <f>SmtRes!AO26</f>
        <v>1</v>
      </c>
      <c r="K21">
        <f>SmtRes!AE26</f>
        <v>92.85</v>
      </c>
      <c r="L21">
        <f>SmtRes!DB26</f>
        <v>49.21</v>
      </c>
      <c r="M21">
        <f>ROUND(ROUND(L21*Source!I37, 6)*1, 2)</f>
        <v>0</v>
      </c>
      <c r="N21">
        <f>SmtRes!AA26</f>
        <v>92.85</v>
      </c>
      <c r="O21">
        <f>ROUND(ROUND(L21*Source!I37, 6)*SmtRes!DA26, 2)</f>
        <v>0</v>
      </c>
      <c r="P21">
        <f>SmtRes!AG26</f>
        <v>0</v>
      </c>
      <c r="Q21">
        <f>SmtRes!DC26</f>
        <v>0</v>
      </c>
      <c r="R21">
        <f>ROUND(ROUND(Q21*Source!I37, 6)*1, 2)</f>
        <v>0</v>
      </c>
      <c r="S21">
        <f>SmtRes!AC26</f>
        <v>0</v>
      </c>
      <c r="T21">
        <f>ROUND(ROUND(Q21*Source!I37, 6)*SmtRes!AK26, 2)</f>
        <v>0</v>
      </c>
      <c r="U21">
        <v>3</v>
      </c>
      <c r="Z21">
        <f>SmtRes!X26</f>
        <v>-911552969</v>
      </c>
      <c r="AA21">
        <v>-272956015</v>
      </c>
      <c r="AB21">
        <v>-438707420</v>
      </c>
    </row>
    <row r="22" spans="1:28" x14ac:dyDescent="0.2">
      <c r="A22">
        <v>20</v>
      </c>
      <c r="B22">
        <v>25</v>
      </c>
      <c r="C22">
        <v>3</v>
      </c>
      <c r="D22">
        <v>0</v>
      </c>
      <c r="E22">
        <f>SmtRes!AV25</f>
        <v>0</v>
      </c>
      <c r="F22" t="str">
        <f>SmtRes!I25</f>
        <v>21.1-6-46</v>
      </c>
      <c r="G22" t="str">
        <f>SmtRes!K25</f>
        <v>Краски масляные жидкотертые цветные (готовые к употреблению) для наружных и внутренних работ, марка МА-15, сурик железный для окраски по металлу</v>
      </c>
      <c r="H22" t="str">
        <f>SmtRes!O25</f>
        <v>т</v>
      </c>
      <c r="I22">
        <f>SmtRes!Y25*Source!I37</f>
        <v>0</v>
      </c>
      <c r="J22">
        <f>SmtRes!AO25</f>
        <v>1</v>
      </c>
      <c r="K22">
        <f>SmtRes!AE25</f>
        <v>115885.91</v>
      </c>
      <c r="L22">
        <f>SmtRes!DB25</f>
        <v>50.99</v>
      </c>
      <c r="M22">
        <f>ROUND(ROUND(L22*Source!I37, 6)*1, 2)</f>
        <v>0</v>
      </c>
      <c r="N22">
        <f>SmtRes!AA25</f>
        <v>115885.91</v>
      </c>
      <c r="O22">
        <f>ROUND(ROUND(L22*Source!I37, 6)*SmtRes!DA25, 2)</f>
        <v>0</v>
      </c>
      <c r="P22">
        <f>SmtRes!AG25</f>
        <v>0</v>
      </c>
      <c r="Q22">
        <f>SmtRes!DC25</f>
        <v>0</v>
      </c>
      <c r="R22">
        <f>ROUND(ROUND(Q22*Source!I37, 6)*1, 2)</f>
        <v>0</v>
      </c>
      <c r="S22">
        <f>SmtRes!AC25</f>
        <v>0</v>
      </c>
      <c r="T22">
        <f>ROUND(ROUND(Q22*Source!I37, 6)*SmtRes!AK25, 2)</f>
        <v>0</v>
      </c>
      <c r="U22">
        <v>3</v>
      </c>
      <c r="Z22">
        <f>SmtRes!X25</f>
        <v>-377825509</v>
      </c>
      <c r="AA22">
        <v>-670453517</v>
      </c>
      <c r="AB22">
        <v>-1682720140</v>
      </c>
    </row>
    <row r="23" spans="1:28" x14ac:dyDescent="0.2">
      <c r="A23">
        <v>20</v>
      </c>
      <c r="B23">
        <v>24</v>
      </c>
      <c r="C23">
        <v>3</v>
      </c>
      <c r="D23">
        <v>0</v>
      </c>
      <c r="E23">
        <f>SmtRes!AV24</f>
        <v>0</v>
      </c>
      <c r="F23" t="str">
        <f>SmtRes!I24</f>
        <v>21.1-4-2</v>
      </c>
      <c r="G23" t="str">
        <f>SmtRes!K24</f>
        <v>Ацетилен технический</v>
      </c>
      <c r="H23" t="str">
        <f>SmtRes!O24</f>
        <v>м3</v>
      </c>
      <c r="I23">
        <f>SmtRes!Y24*Source!I37</f>
        <v>0</v>
      </c>
      <c r="J23">
        <f>SmtRes!AO24</f>
        <v>1</v>
      </c>
      <c r="K23">
        <f>SmtRes!AE24</f>
        <v>698.15</v>
      </c>
      <c r="L23">
        <f>SmtRes!DB24</f>
        <v>132.65</v>
      </c>
      <c r="M23">
        <f>ROUND(ROUND(L23*Source!I37, 6)*1, 2)</f>
        <v>0</v>
      </c>
      <c r="N23">
        <f>SmtRes!AA24</f>
        <v>698.15</v>
      </c>
      <c r="O23">
        <f>ROUND(ROUND(L23*Source!I37, 6)*SmtRes!DA24, 2)</f>
        <v>0</v>
      </c>
      <c r="P23">
        <f>SmtRes!AG24</f>
        <v>0</v>
      </c>
      <c r="Q23">
        <f>SmtRes!DC24</f>
        <v>0</v>
      </c>
      <c r="R23">
        <f>ROUND(ROUND(Q23*Source!I37, 6)*1, 2)</f>
        <v>0</v>
      </c>
      <c r="S23">
        <f>SmtRes!AC24</f>
        <v>0</v>
      </c>
      <c r="T23">
        <f>ROUND(ROUND(Q23*Source!I37, 6)*SmtRes!AK24, 2)</f>
        <v>0</v>
      </c>
      <c r="U23">
        <v>3</v>
      </c>
      <c r="Z23">
        <f>SmtRes!X24</f>
        <v>1431951903</v>
      </c>
      <c r="AA23">
        <v>1383090734</v>
      </c>
      <c r="AB23">
        <v>-43975899</v>
      </c>
    </row>
    <row r="24" spans="1:28" x14ac:dyDescent="0.2">
      <c r="A24">
        <v>20</v>
      </c>
      <c r="B24">
        <v>23</v>
      </c>
      <c r="C24">
        <v>3</v>
      </c>
      <c r="D24">
        <v>0</v>
      </c>
      <c r="E24">
        <f>SmtRes!AV23</f>
        <v>0</v>
      </c>
      <c r="F24" t="str">
        <f>SmtRes!I23</f>
        <v>21.1-4-10</v>
      </c>
      <c r="G24" t="str">
        <f>SmtRes!K23</f>
        <v>Кислород технический газообразный</v>
      </c>
      <c r="H24" t="str">
        <f>SmtRes!O23</f>
        <v>м3</v>
      </c>
      <c r="I24">
        <f>SmtRes!Y23*Source!I37</f>
        <v>0</v>
      </c>
      <c r="J24">
        <f>SmtRes!AO23</f>
        <v>1</v>
      </c>
      <c r="K24">
        <f>SmtRes!AE23</f>
        <v>89.3</v>
      </c>
      <c r="L24">
        <f>SmtRes!DB23</f>
        <v>30.54</v>
      </c>
      <c r="M24">
        <f>ROUND(ROUND(L24*Source!I37, 6)*1, 2)</f>
        <v>0</v>
      </c>
      <c r="N24">
        <f>SmtRes!AA23</f>
        <v>89.3</v>
      </c>
      <c r="O24">
        <f>ROUND(ROUND(L24*Source!I37, 6)*SmtRes!DA23, 2)</f>
        <v>0</v>
      </c>
      <c r="P24">
        <f>SmtRes!AG23</f>
        <v>0</v>
      </c>
      <c r="Q24">
        <f>SmtRes!DC23</f>
        <v>0</v>
      </c>
      <c r="R24">
        <f>ROUND(ROUND(Q24*Source!I37, 6)*1, 2)</f>
        <v>0</v>
      </c>
      <c r="S24">
        <f>SmtRes!AC23</f>
        <v>0</v>
      </c>
      <c r="T24">
        <f>ROUND(ROUND(Q24*Source!I37, 6)*SmtRes!AK23, 2)</f>
        <v>0</v>
      </c>
      <c r="U24">
        <v>3</v>
      </c>
      <c r="Z24">
        <f>SmtRes!X23</f>
        <v>622145326</v>
      </c>
      <c r="AA24">
        <v>-186753448</v>
      </c>
      <c r="AB24">
        <v>-592995783</v>
      </c>
    </row>
    <row r="25" spans="1:28" x14ac:dyDescent="0.2">
      <c r="A25">
        <v>20</v>
      </c>
      <c r="B25">
        <v>21</v>
      </c>
      <c r="C25">
        <v>3</v>
      </c>
      <c r="D25">
        <v>0</v>
      </c>
      <c r="E25">
        <f>SmtRes!AV21</f>
        <v>0</v>
      </c>
      <c r="F25" t="str">
        <f>SmtRes!I21</f>
        <v>21.1-25-16</v>
      </c>
      <c r="G25" t="str">
        <f>SmtRes!K21</f>
        <v>Волокно льняное №11 для уплотнения резьбовых соединений при монтаже систем водоснабжения и отопления</v>
      </c>
      <c r="H25" t="str">
        <f>SmtRes!O21</f>
        <v>кг</v>
      </c>
      <c r="I25">
        <f>SmtRes!Y21*Source!I37</f>
        <v>0</v>
      </c>
      <c r="J25">
        <f>SmtRes!AO21</f>
        <v>1</v>
      </c>
      <c r="K25">
        <f>SmtRes!AE21</f>
        <v>745.17</v>
      </c>
      <c r="L25">
        <f>SmtRes!DB21</f>
        <v>37.26</v>
      </c>
      <c r="M25">
        <f>ROUND(ROUND(L25*Source!I37, 6)*1, 2)</f>
        <v>0</v>
      </c>
      <c r="N25">
        <f>SmtRes!AA21</f>
        <v>745.17</v>
      </c>
      <c r="O25">
        <f>ROUND(ROUND(L25*Source!I37, 6)*SmtRes!DA21, 2)</f>
        <v>0</v>
      </c>
      <c r="P25">
        <f>SmtRes!AG21</f>
        <v>0</v>
      </c>
      <c r="Q25">
        <f>SmtRes!DC21</f>
        <v>0</v>
      </c>
      <c r="R25">
        <f>ROUND(ROUND(Q25*Source!I37, 6)*1, 2)</f>
        <v>0</v>
      </c>
      <c r="S25">
        <f>SmtRes!AC21</f>
        <v>0</v>
      </c>
      <c r="T25">
        <f>ROUND(ROUND(Q25*Source!I37, 6)*SmtRes!AK21, 2)</f>
        <v>0</v>
      </c>
      <c r="U25">
        <v>3</v>
      </c>
      <c r="Z25">
        <f>SmtRes!X21</f>
        <v>1013639029</v>
      </c>
      <c r="AA25">
        <v>-541998887</v>
      </c>
      <c r="AB25">
        <v>-1295179831</v>
      </c>
    </row>
    <row r="26" spans="1:28" x14ac:dyDescent="0.2">
      <c r="A26">
        <v>20</v>
      </c>
      <c r="B26">
        <v>20</v>
      </c>
      <c r="C26">
        <v>3</v>
      </c>
      <c r="D26">
        <v>0</v>
      </c>
      <c r="E26">
        <f>SmtRes!AV20</f>
        <v>0</v>
      </c>
      <c r="F26" t="str">
        <f>SmtRes!I20</f>
        <v>21.1-25-13</v>
      </c>
      <c r="G26" t="str">
        <f>SmtRes!K20</f>
        <v>Вода</v>
      </c>
      <c r="H26" t="str">
        <f>SmtRes!O20</f>
        <v>м3</v>
      </c>
      <c r="I26">
        <f>SmtRes!Y20*Source!I37</f>
        <v>0</v>
      </c>
      <c r="J26">
        <f>SmtRes!AO20</f>
        <v>1</v>
      </c>
      <c r="K26">
        <f>SmtRes!AE20</f>
        <v>49.83</v>
      </c>
      <c r="L26">
        <f>SmtRes!DB20</f>
        <v>21.93</v>
      </c>
      <c r="M26">
        <f>ROUND(ROUND(L26*Source!I37, 6)*1, 2)</f>
        <v>0</v>
      </c>
      <c r="N26">
        <f>SmtRes!AA20</f>
        <v>49.83</v>
      </c>
      <c r="O26">
        <f>ROUND(ROUND(L26*Source!I37, 6)*SmtRes!DA20, 2)</f>
        <v>0</v>
      </c>
      <c r="P26">
        <f>SmtRes!AG20</f>
        <v>0</v>
      </c>
      <c r="Q26">
        <f>SmtRes!DC20</f>
        <v>0</v>
      </c>
      <c r="R26">
        <f>ROUND(ROUND(Q26*Source!I37, 6)*1, 2)</f>
        <v>0</v>
      </c>
      <c r="S26">
        <f>SmtRes!AC20</f>
        <v>0</v>
      </c>
      <c r="T26">
        <f>ROUND(ROUND(Q26*Source!I37, 6)*SmtRes!AK20, 2)</f>
        <v>0</v>
      </c>
      <c r="U26">
        <v>3</v>
      </c>
      <c r="Z26">
        <f>SmtRes!X20</f>
        <v>-1393929784</v>
      </c>
      <c r="AA26">
        <v>1184894576</v>
      </c>
      <c r="AB26">
        <v>-1079220036</v>
      </c>
    </row>
    <row r="27" spans="1:28" x14ac:dyDescent="0.2">
      <c r="A27">
        <v>20</v>
      </c>
      <c r="B27">
        <v>19</v>
      </c>
      <c r="C27">
        <v>3</v>
      </c>
      <c r="D27">
        <v>0</v>
      </c>
      <c r="E27">
        <f>SmtRes!AV19</f>
        <v>0</v>
      </c>
      <c r="F27" t="str">
        <f>SmtRes!I19</f>
        <v>21.1-23-2</v>
      </c>
      <c r="G27" t="str">
        <f>SmtRes!K19</f>
        <v>Проволока электродная порошковая для дуговой сварки</v>
      </c>
      <c r="H27" t="str">
        <f>SmtRes!O19</f>
        <v>т</v>
      </c>
      <c r="I27">
        <f>SmtRes!Y19*Source!I37</f>
        <v>0</v>
      </c>
      <c r="J27">
        <f>SmtRes!AO19</f>
        <v>1</v>
      </c>
      <c r="K27">
        <f>SmtRes!AE19</f>
        <v>107698.04</v>
      </c>
      <c r="L27">
        <f>SmtRes!DB19</f>
        <v>43.08</v>
      </c>
      <c r="M27">
        <f>ROUND(ROUND(L27*Source!I37, 6)*1, 2)</f>
        <v>0</v>
      </c>
      <c r="N27">
        <f>SmtRes!AA19</f>
        <v>107698.04</v>
      </c>
      <c r="O27">
        <f>ROUND(ROUND(L27*Source!I37, 6)*SmtRes!DA19, 2)</f>
        <v>0</v>
      </c>
      <c r="P27">
        <f>SmtRes!AG19</f>
        <v>0</v>
      </c>
      <c r="Q27">
        <f>SmtRes!DC19</f>
        <v>0</v>
      </c>
      <c r="R27">
        <f>ROUND(ROUND(Q27*Source!I37, 6)*1, 2)</f>
        <v>0</v>
      </c>
      <c r="S27">
        <f>SmtRes!AC19</f>
        <v>0</v>
      </c>
      <c r="T27">
        <f>ROUND(ROUND(Q27*Source!I37, 6)*SmtRes!AK19, 2)</f>
        <v>0</v>
      </c>
      <c r="U27">
        <v>3</v>
      </c>
      <c r="Z27">
        <f>SmtRes!X19</f>
        <v>555747395</v>
      </c>
      <c r="AA27">
        <v>-1231515885</v>
      </c>
      <c r="AB27">
        <v>-1638417647</v>
      </c>
    </row>
    <row r="28" spans="1:28" x14ac:dyDescent="0.2">
      <c r="A28">
        <v>20</v>
      </c>
      <c r="B28">
        <v>18</v>
      </c>
      <c r="C28">
        <v>3</v>
      </c>
      <c r="D28">
        <v>0</v>
      </c>
      <c r="E28">
        <f>SmtRes!AV18</f>
        <v>0</v>
      </c>
      <c r="F28" t="str">
        <f>SmtRes!I18</f>
        <v>21.12-1-8</v>
      </c>
      <c r="G28" t="str">
        <f>SmtRes!K18</f>
        <v>Узлы трубопроводов из стальных водогазопроводных оцинкованных труб с гильзами для водоснабжения, диаметр условного прохода 20мм</v>
      </c>
      <c r="H28" t="str">
        <f>SmtRes!O18</f>
        <v>м</v>
      </c>
      <c r="I28">
        <f>SmtRes!Y18*Source!I37</f>
        <v>0</v>
      </c>
      <c r="J28">
        <f>SmtRes!AO18</f>
        <v>1</v>
      </c>
      <c r="K28">
        <f>SmtRes!AE18</f>
        <v>425.36</v>
      </c>
      <c r="L28">
        <f>SmtRes!DB18</f>
        <v>42536</v>
      </c>
      <c r="M28">
        <f>ROUND(ROUND(L28*Source!I37, 6)*1, 2)</f>
        <v>0</v>
      </c>
      <c r="N28">
        <f>SmtRes!AA18</f>
        <v>425.36</v>
      </c>
      <c r="O28">
        <f>ROUND(ROUND(L28*Source!I37, 6)*SmtRes!DA18, 2)</f>
        <v>0</v>
      </c>
      <c r="P28">
        <f>SmtRes!AG18</f>
        <v>0</v>
      </c>
      <c r="Q28">
        <f>SmtRes!DC18</f>
        <v>0</v>
      </c>
      <c r="R28">
        <f>ROUND(ROUND(Q28*Source!I37, 6)*1, 2)</f>
        <v>0</v>
      </c>
      <c r="S28">
        <f>SmtRes!AC18</f>
        <v>0</v>
      </c>
      <c r="T28">
        <f>ROUND(ROUND(Q28*Source!I37, 6)*SmtRes!AK18, 2)</f>
        <v>0</v>
      </c>
      <c r="U28">
        <v>3</v>
      </c>
      <c r="Z28">
        <f>SmtRes!X18</f>
        <v>-1653856298</v>
      </c>
      <c r="AA28">
        <v>-228771856</v>
      </c>
      <c r="AB28">
        <v>-1257753535</v>
      </c>
    </row>
    <row r="29" spans="1:28" x14ac:dyDescent="0.2">
      <c r="A29">
        <v>20</v>
      </c>
      <c r="B29">
        <v>17</v>
      </c>
      <c r="C29">
        <v>3</v>
      </c>
      <c r="D29">
        <v>0</v>
      </c>
      <c r="E29">
        <f>SmtRes!AV17</f>
        <v>0</v>
      </c>
      <c r="F29" t="str">
        <f>SmtRes!I17</f>
        <v>21.12-10-22</v>
      </c>
      <c r="G29" t="str">
        <f>SmtRes!K17</f>
        <v>Средства для крепления радиаторов на кирпичных и бетонных стенах, крючки для труб, диаметр труб, мм, 50</v>
      </c>
      <c r="H29" t="str">
        <f>SmtRes!O17</f>
        <v>1000 шт.</v>
      </c>
      <c r="I29">
        <f>SmtRes!Y17*Source!I37</f>
        <v>0</v>
      </c>
      <c r="J29">
        <f>SmtRes!AO17</f>
        <v>1</v>
      </c>
      <c r="K29">
        <f>SmtRes!AE17</f>
        <v>43480.06</v>
      </c>
      <c r="L29">
        <f>SmtRes!DB17</f>
        <v>1304.4000000000001</v>
      </c>
      <c r="M29">
        <f>ROUND(ROUND(L29*Source!I37, 6)*1, 2)</f>
        <v>0</v>
      </c>
      <c r="N29">
        <f>SmtRes!AA17</f>
        <v>43480.06</v>
      </c>
      <c r="O29">
        <f>ROUND(ROUND(L29*Source!I37, 6)*SmtRes!DA17, 2)</f>
        <v>0</v>
      </c>
      <c r="P29">
        <f>SmtRes!AG17</f>
        <v>0</v>
      </c>
      <c r="Q29">
        <f>SmtRes!DC17</f>
        <v>0</v>
      </c>
      <c r="R29">
        <f>ROUND(ROUND(Q29*Source!I37, 6)*1, 2)</f>
        <v>0</v>
      </c>
      <c r="S29">
        <f>SmtRes!AC17</f>
        <v>0</v>
      </c>
      <c r="T29">
        <f>ROUND(ROUND(Q29*Source!I37, 6)*SmtRes!AK17, 2)</f>
        <v>0</v>
      </c>
      <c r="U29">
        <v>3</v>
      </c>
      <c r="Z29">
        <f>SmtRes!X17</f>
        <v>570745553</v>
      </c>
      <c r="AA29">
        <v>176576012</v>
      </c>
      <c r="AB29">
        <v>385212888</v>
      </c>
    </row>
    <row r="30" spans="1:28" x14ac:dyDescent="0.2">
      <c r="A30">
        <v>20</v>
      </c>
      <c r="B30">
        <v>16</v>
      </c>
      <c r="C30">
        <v>3</v>
      </c>
      <c r="D30">
        <v>0</v>
      </c>
      <c r="E30">
        <f>SmtRes!AV16</f>
        <v>0</v>
      </c>
      <c r="F30" t="str">
        <f>SmtRes!I16</f>
        <v>21.1-16-29</v>
      </c>
      <c r="G30" t="str">
        <f>SmtRes!K16</f>
        <v>Известь хлорная</v>
      </c>
      <c r="H30" t="str">
        <f>SmtRes!O16</f>
        <v>т</v>
      </c>
      <c r="I30">
        <f>SmtRes!Y16*Source!I37</f>
        <v>0</v>
      </c>
      <c r="J30">
        <f>SmtRes!AO16</f>
        <v>1</v>
      </c>
      <c r="K30">
        <f>SmtRes!AE16</f>
        <v>67221.42</v>
      </c>
      <c r="L30">
        <f>SmtRes!DB16</f>
        <v>0.11</v>
      </c>
      <c r="M30">
        <f>ROUND(ROUND(L30*Source!I37, 6)*1, 2)</f>
        <v>0</v>
      </c>
      <c r="N30">
        <f>SmtRes!AA16</f>
        <v>67221.42</v>
      </c>
      <c r="O30">
        <f>ROUND(ROUND(L30*Source!I37, 6)*SmtRes!DA16, 2)</f>
        <v>0</v>
      </c>
      <c r="P30">
        <f>SmtRes!AG16</f>
        <v>0</v>
      </c>
      <c r="Q30">
        <f>SmtRes!DC16</f>
        <v>0</v>
      </c>
      <c r="R30">
        <f>ROUND(ROUND(Q30*Source!I37, 6)*1, 2)</f>
        <v>0</v>
      </c>
      <c r="S30">
        <f>SmtRes!AC16</f>
        <v>0</v>
      </c>
      <c r="T30">
        <f>ROUND(ROUND(Q30*Source!I37, 6)*SmtRes!AK16, 2)</f>
        <v>0</v>
      </c>
      <c r="U30">
        <v>3</v>
      </c>
      <c r="Z30">
        <f>SmtRes!X16</f>
        <v>1022491451</v>
      </c>
      <c r="AA30">
        <v>1708034526</v>
      </c>
      <c r="AB30">
        <v>1539201696</v>
      </c>
    </row>
    <row r="31" spans="1:28" x14ac:dyDescent="0.2">
      <c r="A31">
        <v>20</v>
      </c>
      <c r="B31">
        <v>15</v>
      </c>
      <c r="C31">
        <v>2</v>
      </c>
      <c r="D31">
        <v>0</v>
      </c>
      <c r="E31">
        <f>SmtRes!AV15</f>
        <v>0</v>
      </c>
      <c r="F31" t="str">
        <f>SmtRes!I15</f>
        <v>22.1-13-10</v>
      </c>
      <c r="G31" t="str">
        <f>SmtRes!K15</f>
        <v>Агрегаты сварочные однопостовые для ручной электродуговой сварки</v>
      </c>
      <c r="H31" t="str">
        <f>SmtRes!O15</f>
        <v>маш.-ч</v>
      </c>
      <c r="I31">
        <f>SmtRes!Y15*Source!I37</f>
        <v>0</v>
      </c>
      <c r="J31">
        <f>SmtRes!AO15</f>
        <v>1</v>
      </c>
      <c r="K31">
        <f>SmtRes!AF15</f>
        <v>68.260000000000005</v>
      </c>
      <c r="L31">
        <f>SmtRes!DB15</f>
        <v>101.71</v>
      </c>
      <c r="M31">
        <f>ROUND(ROUND(L31*Source!I37, 6)*1, 2)</f>
        <v>0</v>
      </c>
      <c r="N31">
        <f>SmtRes!AB15</f>
        <v>68.260000000000005</v>
      </c>
      <c r="O31">
        <f>ROUND(ROUND(L31*Source!I37, 6)*SmtRes!DA15, 2)</f>
        <v>0</v>
      </c>
      <c r="P31">
        <f>SmtRes!AG15</f>
        <v>0.09</v>
      </c>
      <c r="Q31">
        <f>SmtRes!DC15</f>
        <v>0.13</v>
      </c>
      <c r="R31">
        <f>ROUND(ROUND(Q31*Source!I37, 6)*1, 2)</f>
        <v>0</v>
      </c>
      <c r="S31">
        <f>SmtRes!AC15</f>
        <v>0.09</v>
      </c>
      <c r="T31">
        <f>ROUND(ROUND(Q31*Source!I37, 6)*SmtRes!AK15, 2)</f>
        <v>0</v>
      </c>
      <c r="U31">
        <v>2</v>
      </c>
      <c r="Z31">
        <f>SmtRes!X15</f>
        <v>1399152527</v>
      </c>
      <c r="AA31">
        <v>-1449595606</v>
      </c>
      <c r="AB31">
        <v>1995334730</v>
      </c>
    </row>
    <row r="32" spans="1:28" x14ac:dyDescent="0.2">
      <c r="A32">
        <f>Source!A38</f>
        <v>18</v>
      </c>
      <c r="B32">
        <v>38</v>
      </c>
      <c r="C32">
        <v>3</v>
      </c>
      <c r="D32">
        <f>Source!BI38</f>
        <v>4</v>
      </c>
      <c r="E32">
        <f>Source!FS38</f>
        <v>0</v>
      </c>
      <c r="F32" t="str">
        <f>Source!F38</f>
        <v>21.13-4-40</v>
      </c>
      <c r="G32" t="str">
        <f>Source!G38</f>
        <v>Краны латунные шаровые муфтовые проходные, марка 11б27п, диаметр 20 мм</v>
      </c>
      <c r="H32" t="str">
        <f>Source!H38</f>
        <v>шт.</v>
      </c>
      <c r="I32">
        <f>Source!I38</f>
        <v>0</v>
      </c>
      <c r="J32">
        <v>1</v>
      </c>
      <c r="K32">
        <f>Source!AC38</f>
        <v>148.13999999999999</v>
      </c>
      <c r="M32">
        <f>ROUND(K32*I32, 2)</f>
        <v>0</v>
      </c>
      <c r="N32">
        <f>Source!AC38*IF(Source!BC38&lt;&gt; 0, Source!BC38, 1)</f>
        <v>148.13999999999999</v>
      </c>
      <c r="O32">
        <f>ROUND(N32*I32, 2)</f>
        <v>0</v>
      </c>
      <c r="P32">
        <f>Source!AE38</f>
        <v>0</v>
      </c>
      <c r="R32">
        <f>ROUND(P32*I32, 2)</f>
        <v>0</v>
      </c>
      <c r="S32">
        <f>Source!AE38*IF(Source!BS38&lt;&gt; 0, Source!BS38, 1)</f>
        <v>0</v>
      </c>
      <c r="T32">
        <f>ROUND(S32*I32, 2)</f>
        <v>0</v>
      </c>
      <c r="U32">
        <v>3</v>
      </c>
      <c r="Z32">
        <f>Source!GF38</f>
        <v>1965755675</v>
      </c>
      <c r="AA32">
        <v>942222781</v>
      </c>
      <c r="AB32">
        <v>699391955</v>
      </c>
    </row>
    <row r="33" spans="1:28" x14ac:dyDescent="0.2">
      <c r="A33">
        <v>20</v>
      </c>
      <c r="B33">
        <v>41</v>
      </c>
      <c r="C33">
        <v>3</v>
      </c>
      <c r="D33">
        <v>0</v>
      </c>
      <c r="E33">
        <f>SmtRes!AV41</f>
        <v>0</v>
      </c>
      <c r="F33" t="str">
        <f>SmtRes!I41</f>
        <v>21.1-25-83</v>
      </c>
      <c r="G33" t="str">
        <f>SmtRes!K41</f>
        <v>Клей 88НП, 88-Н</v>
      </c>
      <c r="H33" t="str">
        <f>SmtRes!O41</f>
        <v>кг</v>
      </c>
      <c r="I33">
        <f>SmtRes!Y41*Source!I39</f>
        <v>0</v>
      </c>
      <c r="J33">
        <f>SmtRes!AO41</f>
        <v>1</v>
      </c>
      <c r="K33">
        <f>SmtRes!AE41</f>
        <v>495.12</v>
      </c>
      <c r="L33">
        <f>SmtRes!DB41</f>
        <v>123.78</v>
      </c>
      <c r="M33">
        <f>ROUND(ROUND(L33*Source!I39, 6)*1, 2)</f>
        <v>0</v>
      </c>
      <c r="N33">
        <f>SmtRes!AA41</f>
        <v>495.12</v>
      </c>
      <c r="O33">
        <f>ROUND(ROUND(L33*Source!I39, 6)*SmtRes!DA41, 2)</f>
        <v>0</v>
      </c>
      <c r="P33">
        <f>SmtRes!AG41</f>
        <v>0</v>
      </c>
      <c r="Q33">
        <f>SmtRes!DC41</f>
        <v>0</v>
      </c>
      <c r="R33">
        <f>ROUND(ROUND(Q33*Source!I39, 6)*1, 2)</f>
        <v>0</v>
      </c>
      <c r="S33">
        <f>SmtRes!AC41</f>
        <v>0</v>
      </c>
      <c r="T33">
        <f>ROUND(ROUND(Q33*Source!I39, 6)*SmtRes!AK41, 2)</f>
        <v>0</v>
      </c>
      <c r="U33">
        <v>3</v>
      </c>
      <c r="Z33">
        <f>SmtRes!X41</f>
        <v>-900515407</v>
      </c>
      <c r="AA33">
        <v>1447275782</v>
      </c>
      <c r="AB33">
        <v>-641998656</v>
      </c>
    </row>
    <row r="34" spans="1:28" x14ac:dyDescent="0.2">
      <c r="A34">
        <v>20</v>
      </c>
      <c r="B34">
        <v>36</v>
      </c>
      <c r="C34">
        <v>3</v>
      </c>
      <c r="D34">
        <v>0</v>
      </c>
      <c r="E34">
        <f>SmtRes!AV36</f>
        <v>0</v>
      </c>
      <c r="F34" t="str">
        <f>SmtRes!I36</f>
        <v>21.1-25-13</v>
      </c>
      <c r="G34" t="str">
        <f>SmtRes!K36</f>
        <v>Вода</v>
      </c>
      <c r="H34" t="str">
        <f>SmtRes!O36</f>
        <v>м3</v>
      </c>
      <c r="I34">
        <f>SmtRes!Y36*Source!I39</f>
        <v>0</v>
      </c>
      <c r="J34">
        <f>SmtRes!AO36</f>
        <v>1</v>
      </c>
      <c r="K34">
        <f>SmtRes!AE36</f>
        <v>49.83</v>
      </c>
      <c r="L34">
        <f>SmtRes!DB36</f>
        <v>23.42</v>
      </c>
      <c r="M34">
        <f>ROUND(ROUND(L34*Source!I39, 6)*1, 2)</f>
        <v>0</v>
      </c>
      <c r="N34">
        <f>SmtRes!AA36</f>
        <v>49.83</v>
      </c>
      <c r="O34">
        <f>ROUND(ROUND(L34*Source!I39, 6)*SmtRes!DA36, 2)</f>
        <v>0</v>
      </c>
      <c r="P34">
        <f>SmtRes!AG36</f>
        <v>0</v>
      </c>
      <c r="Q34">
        <f>SmtRes!DC36</f>
        <v>0</v>
      </c>
      <c r="R34">
        <f>ROUND(ROUND(Q34*Source!I39, 6)*1, 2)</f>
        <v>0</v>
      </c>
      <c r="S34">
        <f>SmtRes!AC36</f>
        <v>0</v>
      </c>
      <c r="T34">
        <f>ROUND(ROUND(Q34*Source!I39, 6)*SmtRes!AK36, 2)</f>
        <v>0</v>
      </c>
      <c r="U34">
        <v>3</v>
      </c>
      <c r="Z34">
        <f>SmtRes!X36</f>
        <v>-1393929784</v>
      </c>
      <c r="AA34">
        <v>1184894576</v>
      </c>
      <c r="AB34">
        <v>-1079220036</v>
      </c>
    </row>
    <row r="35" spans="1:28" x14ac:dyDescent="0.2">
      <c r="A35">
        <v>20</v>
      </c>
      <c r="B35">
        <v>34</v>
      </c>
      <c r="C35">
        <v>3</v>
      </c>
      <c r="D35">
        <v>0</v>
      </c>
      <c r="E35">
        <f>SmtRes!AV34</f>
        <v>0</v>
      </c>
      <c r="F35" t="str">
        <f>SmtRes!I34</f>
        <v>21.1-16-29</v>
      </c>
      <c r="G35" t="str">
        <f>SmtRes!K34</f>
        <v>Известь хлорная</v>
      </c>
      <c r="H35" t="str">
        <f>SmtRes!O34</f>
        <v>т</v>
      </c>
      <c r="I35">
        <f>SmtRes!Y34*Source!I39</f>
        <v>0</v>
      </c>
      <c r="J35">
        <f>SmtRes!AO34</f>
        <v>1</v>
      </c>
      <c r="K35">
        <f>SmtRes!AE34</f>
        <v>67221.42</v>
      </c>
      <c r="L35">
        <f>SmtRes!DB34</f>
        <v>0.11</v>
      </c>
      <c r="M35">
        <f>ROUND(ROUND(L35*Source!I39, 6)*1, 2)</f>
        <v>0</v>
      </c>
      <c r="N35">
        <f>SmtRes!AA34</f>
        <v>67221.42</v>
      </c>
      <c r="O35">
        <f>ROUND(ROUND(L35*Source!I39, 6)*SmtRes!DA34, 2)</f>
        <v>0</v>
      </c>
      <c r="P35">
        <f>SmtRes!AG34</f>
        <v>0</v>
      </c>
      <c r="Q35">
        <f>SmtRes!DC34</f>
        <v>0</v>
      </c>
      <c r="R35">
        <f>ROUND(ROUND(Q35*Source!I39, 6)*1, 2)</f>
        <v>0</v>
      </c>
      <c r="S35">
        <f>SmtRes!AC34</f>
        <v>0</v>
      </c>
      <c r="T35">
        <f>ROUND(ROUND(Q35*Source!I39, 6)*SmtRes!AK34, 2)</f>
        <v>0</v>
      </c>
      <c r="U35">
        <v>3</v>
      </c>
      <c r="Z35">
        <f>SmtRes!X34</f>
        <v>1022491451</v>
      </c>
      <c r="AA35">
        <v>1708034526</v>
      </c>
      <c r="AB35">
        <v>1539201696</v>
      </c>
    </row>
    <row r="36" spans="1:28" x14ac:dyDescent="0.2">
      <c r="A36">
        <v>20</v>
      </c>
      <c r="B36">
        <v>33</v>
      </c>
      <c r="C36">
        <v>3</v>
      </c>
      <c r="D36">
        <v>0</v>
      </c>
      <c r="E36">
        <f>SmtRes!AV33</f>
        <v>0</v>
      </c>
      <c r="F36" t="str">
        <f>SmtRes!I33</f>
        <v>21.1-16-121</v>
      </c>
      <c r="G36" t="str">
        <f>SmtRes!K33</f>
        <v>Метилен хлористый технический</v>
      </c>
      <c r="H36" t="str">
        <f>SmtRes!O33</f>
        <v>кг</v>
      </c>
      <c r="I36">
        <f>SmtRes!Y33*Source!I39</f>
        <v>0</v>
      </c>
      <c r="J36">
        <f>SmtRes!AO33</f>
        <v>1</v>
      </c>
      <c r="K36">
        <f>SmtRes!AE33</f>
        <v>97.56</v>
      </c>
      <c r="L36">
        <f>SmtRes!DB33</f>
        <v>24.39</v>
      </c>
      <c r="M36">
        <f>ROUND(ROUND(L36*Source!I39, 6)*1, 2)</f>
        <v>0</v>
      </c>
      <c r="N36">
        <f>SmtRes!AA33</f>
        <v>97.56</v>
      </c>
      <c r="O36">
        <f>ROUND(ROUND(L36*Source!I39, 6)*SmtRes!DA33, 2)</f>
        <v>0</v>
      </c>
      <c r="P36">
        <f>SmtRes!AG33</f>
        <v>0</v>
      </c>
      <c r="Q36">
        <f>SmtRes!DC33</f>
        <v>0</v>
      </c>
      <c r="R36">
        <f>ROUND(ROUND(Q36*Source!I39, 6)*1, 2)</f>
        <v>0</v>
      </c>
      <c r="S36">
        <f>SmtRes!AC33</f>
        <v>0</v>
      </c>
      <c r="T36">
        <f>ROUND(ROUND(Q36*Source!I39, 6)*SmtRes!AK33, 2)</f>
        <v>0</v>
      </c>
      <c r="U36">
        <v>3</v>
      </c>
      <c r="Z36">
        <f>SmtRes!X33</f>
        <v>812221846</v>
      </c>
      <c r="AA36">
        <v>1914912849</v>
      </c>
      <c r="AB36">
        <v>1094326589</v>
      </c>
    </row>
    <row r="37" spans="1:28" x14ac:dyDescent="0.2">
      <c r="A37">
        <v>20</v>
      </c>
      <c r="B37">
        <v>32</v>
      </c>
      <c r="C37">
        <v>3</v>
      </c>
      <c r="D37">
        <v>0</v>
      </c>
      <c r="E37">
        <f>SmtRes!AV32</f>
        <v>0</v>
      </c>
      <c r="F37" t="str">
        <f>SmtRes!I32</f>
        <v>21.1-11-80</v>
      </c>
      <c r="G37" t="str">
        <f>SmtRes!K32</f>
        <v>Патроны, калибр 6,8/18М для дюбеля</v>
      </c>
      <c r="H37" t="str">
        <f>SmtRes!O32</f>
        <v>100 шт.</v>
      </c>
      <c r="I37">
        <f>SmtRes!Y32*Source!I39</f>
        <v>0</v>
      </c>
      <c r="J37">
        <f>SmtRes!AO32</f>
        <v>1</v>
      </c>
      <c r="K37">
        <f>SmtRes!AE32</f>
        <v>1151.6600000000001</v>
      </c>
      <c r="L37">
        <f>SmtRes!DB32</f>
        <v>1151.6600000000001</v>
      </c>
      <c r="M37">
        <f>ROUND(ROUND(L37*Source!I39, 6)*1, 2)</f>
        <v>0</v>
      </c>
      <c r="N37">
        <f>SmtRes!AA32</f>
        <v>1151.6600000000001</v>
      </c>
      <c r="O37">
        <f>ROUND(ROUND(L37*Source!I39, 6)*SmtRes!DA32, 2)</f>
        <v>0</v>
      </c>
      <c r="P37">
        <f>SmtRes!AG32</f>
        <v>0</v>
      </c>
      <c r="Q37">
        <f>SmtRes!DC32</f>
        <v>0</v>
      </c>
      <c r="R37">
        <f>ROUND(ROUND(Q37*Source!I39, 6)*1, 2)</f>
        <v>0</v>
      </c>
      <c r="S37">
        <f>SmtRes!AC32</f>
        <v>0</v>
      </c>
      <c r="T37">
        <f>ROUND(ROUND(Q37*Source!I39, 6)*SmtRes!AK32, 2)</f>
        <v>0</v>
      </c>
      <c r="U37">
        <v>3</v>
      </c>
      <c r="Z37">
        <f>SmtRes!X32</f>
        <v>421425427</v>
      </c>
      <c r="AA37">
        <v>1162188076</v>
      </c>
      <c r="AB37">
        <v>1314847519</v>
      </c>
    </row>
    <row r="38" spans="1:28" x14ac:dyDescent="0.2">
      <c r="A38">
        <v>20</v>
      </c>
      <c r="B38">
        <v>31</v>
      </c>
      <c r="C38">
        <v>3</v>
      </c>
      <c r="D38">
        <v>0</v>
      </c>
      <c r="E38">
        <f>SmtRes!AV31</f>
        <v>0</v>
      </c>
      <c r="F38" t="str">
        <f>SmtRes!I31</f>
        <v>21.1-11-51</v>
      </c>
      <c r="G38" t="str">
        <f>SmtRes!K31</f>
        <v>Дюбели с насаженными шайбами</v>
      </c>
      <c r="H38" t="str">
        <f>SmtRes!O31</f>
        <v>т</v>
      </c>
      <c r="I38">
        <f>SmtRes!Y31*Source!I39</f>
        <v>0</v>
      </c>
      <c r="J38">
        <f>SmtRes!AO31</f>
        <v>1</v>
      </c>
      <c r="K38">
        <f>SmtRes!AE31</f>
        <v>233970.16</v>
      </c>
      <c r="L38">
        <f>SmtRes!DB31</f>
        <v>198.87</v>
      </c>
      <c r="M38">
        <f>ROUND(ROUND(L38*Source!I39, 6)*1, 2)</f>
        <v>0</v>
      </c>
      <c r="N38">
        <f>SmtRes!AA31</f>
        <v>233970.16</v>
      </c>
      <c r="O38">
        <f>ROUND(ROUND(L38*Source!I39, 6)*SmtRes!DA31, 2)</f>
        <v>0</v>
      </c>
      <c r="P38">
        <f>SmtRes!AG31</f>
        <v>0</v>
      </c>
      <c r="Q38">
        <f>SmtRes!DC31</f>
        <v>0</v>
      </c>
      <c r="R38">
        <f>ROUND(ROUND(Q38*Source!I39, 6)*1, 2)</f>
        <v>0</v>
      </c>
      <c r="S38">
        <f>SmtRes!AC31</f>
        <v>0</v>
      </c>
      <c r="T38">
        <f>ROUND(ROUND(Q38*Source!I39, 6)*SmtRes!AK31, 2)</f>
        <v>0</v>
      </c>
      <c r="U38">
        <v>3</v>
      </c>
      <c r="Z38">
        <f>SmtRes!X31</f>
        <v>-479093135</v>
      </c>
      <c r="AA38">
        <v>205956242</v>
      </c>
      <c r="AB38">
        <v>-79849415</v>
      </c>
    </row>
    <row r="39" spans="1:28" x14ac:dyDescent="0.2">
      <c r="A39">
        <v>20</v>
      </c>
      <c r="B39">
        <v>30</v>
      </c>
      <c r="C39">
        <v>3</v>
      </c>
      <c r="D39">
        <v>0</v>
      </c>
      <c r="E39">
        <f>SmtRes!AV30</f>
        <v>0</v>
      </c>
      <c r="F39" t="str">
        <f>SmtRes!I30</f>
        <v>21.1-11-128</v>
      </c>
      <c r="G39" t="str">
        <f>SmtRes!K30</f>
        <v>Шурупы-саморезы с полусферической головкой, с прессшайбой, наконечник острый, оцинкованные, размер 4,2х14 мм, для крепления листового металла</v>
      </c>
      <c r="H39" t="str">
        <f>SmtRes!O30</f>
        <v>кг</v>
      </c>
      <c r="I39">
        <f>SmtRes!Y30*Source!I39</f>
        <v>0</v>
      </c>
      <c r="J39">
        <f>SmtRes!AO30</f>
        <v>1</v>
      </c>
      <c r="K39">
        <f>SmtRes!AE30</f>
        <v>261.27999999999997</v>
      </c>
      <c r="L39">
        <f>SmtRes!DB30</f>
        <v>143.69999999999999</v>
      </c>
      <c r="M39">
        <f>ROUND(ROUND(L39*Source!I39, 6)*1, 2)</f>
        <v>0</v>
      </c>
      <c r="N39">
        <f>SmtRes!AA30</f>
        <v>261.27999999999997</v>
      </c>
      <c r="O39">
        <f>ROUND(ROUND(L39*Source!I39, 6)*SmtRes!DA30, 2)</f>
        <v>0</v>
      </c>
      <c r="P39">
        <f>SmtRes!AG30</f>
        <v>0</v>
      </c>
      <c r="Q39">
        <f>SmtRes!DC30</f>
        <v>0</v>
      </c>
      <c r="R39">
        <f>ROUND(ROUND(Q39*Source!I39, 6)*1, 2)</f>
        <v>0</v>
      </c>
      <c r="S39">
        <f>SmtRes!AC30</f>
        <v>0</v>
      </c>
      <c r="T39">
        <f>ROUND(ROUND(Q39*Source!I39, 6)*SmtRes!AK30, 2)</f>
        <v>0</v>
      </c>
      <c r="U39">
        <v>3</v>
      </c>
      <c r="Z39">
        <f>SmtRes!X30</f>
        <v>-806813352</v>
      </c>
      <c r="AA39">
        <v>467030823</v>
      </c>
      <c r="AB39">
        <v>1444829627</v>
      </c>
    </row>
    <row r="40" spans="1:28" x14ac:dyDescent="0.2">
      <c r="A40">
        <v>20</v>
      </c>
      <c r="B40">
        <v>28</v>
      </c>
      <c r="C40">
        <v>2</v>
      </c>
      <c r="D40">
        <v>0</v>
      </c>
      <c r="E40">
        <f>SmtRes!AV28</f>
        <v>0</v>
      </c>
      <c r="F40" t="str">
        <f>SmtRes!I28</f>
        <v>22.1-13-13</v>
      </c>
      <c r="G40" t="str">
        <f>SmtRes!K28</f>
        <v>Агрегаты для сварки полиэтиленовых труб</v>
      </c>
      <c r="H40" t="str">
        <f>SmtRes!O28</f>
        <v>маш.-ч</v>
      </c>
      <c r="I40">
        <f>SmtRes!Y28*Source!I39</f>
        <v>0</v>
      </c>
      <c r="J40">
        <f>SmtRes!AO28</f>
        <v>1</v>
      </c>
      <c r="K40">
        <f>SmtRes!AF28</f>
        <v>1369.82</v>
      </c>
      <c r="L40">
        <f>SmtRes!DB28</f>
        <v>19574.73</v>
      </c>
      <c r="M40">
        <f>ROUND(ROUND(L40*Source!I39, 6)*1, 2)</f>
        <v>0</v>
      </c>
      <c r="N40">
        <f>SmtRes!AB28</f>
        <v>1369.82</v>
      </c>
      <c r="O40">
        <f>ROUND(ROUND(L40*Source!I39, 6)*SmtRes!DA28, 2)</f>
        <v>0</v>
      </c>
      <c r="P40">
        <f>SmtRes!AG28</f>
        <v>1183.81</v>
      </c>
      <c r="Q40">
        <f>SmtRes!DC28</f>
        <v>16916.64</v>
      </c>
      <c r="R40">
        <f>ROUND(ROUND(Q40*Source!I39, 6)*1, 2)</f>
        <v>0</v>
      </c>
      <c r="S40">
        <f>SmtRes!AC28</f>
        <v>1183.81</v>
      </c>
      <c r="T40">
        <f>ROUND(ROUND(Q40*Source!I39, 6)*SmtRes!AK28, 2)</f>
        <v>0</v>
      </c>
      <c r="U40">
        <v>2</v>
      </c>
      <c r="Z40">
        <f>SmtRes!X28</f>
        <v>1215981924</v>
      </c>
      <c r="AA40">
        <v>660645829</v>
      </c>
      <c r="AB40">
        <v>1365080743</v>
      </c>
    </row>
    <row r="41" spans="1:28" x14ac:dyDescent="0.2">
      <c r="A41">
        <f>Source!A40</f>
        <v>18</v>
      </c>
      <c r="B41">
        <v>40</v>
      </c>
      <c r="C41">
        <v>3</v>
      </c>
      <c r="D41">
        <f>Source!BI40</f>
        <v>4</v>
      </c>
      <c r="E41">
        <f>Source!FS40</f>
        <v>0</v>
      </c>
      <c r="F41" t="str">
        <f>Source!F40</f>
        <v>1468070000</v>
      </c>
      <c r="G41" t="str">
        <f>Source!G40</f>
        <v>Средства для крепления труб</v>
      </c>
      <c r="H41" t="str">
        <f>Source!H40</f>
        <v>шт.</v>
      </c>
      <c r="I41">
        <f>Source!I40</f>
        <v>0</v>
      </c>
      <c r="J41">
        <v>1</v>
      </c>
      <c r="K41">
        <f>Source!AC40</f>
        <v>0</v>
      </c>
      <c r="M41">
        <f t="shared" ref="M41:M47" si="0">ROUND(K41*I41, 2)</f>
        <v>0</v>
      </c>
      <c r="N41">
        <f>Source!AC40*IF(Source!BC40&lt;&gt; 0, Source!BC40, 1)</f>
        <v>0</v>
      </c>
      <c r="O41">
        <f t="shared" ref="O41:O47" si="1">ROUND(N41*I41, 2)</f>
        <v>0</v>
      </c>
      <c r="P41">
        <f>Source!AE40</f>
        <v>0</v>
      </c>
      <c r="R41">
        <f t="shared" ref="R41:R47" si="2">ROUND(P41*I41, 2)</f>
        <v>0</v>
      </c>
      <c r="S41">
        <f>Source!AE40*IF(Source!BS40&lt;&gt; 0, Source!BS40, 1)</f>
        <v>0</v>
      </c>
      <c r="T41">
        <f t="shared" ref="T41:T47" si="3">ROUND(S41*I41, 2)</f>
        <v>0</v>
      </c>
      <c r="U41">
        <v>3</v>
      </c>
      <c r="Z41">
        <f>Source!GF40</f>
        <v>1960360122</v>
      </c>
      <c r="AA41">
        <v>528168038</v>
      </c>
      <c r="AB41">
        <v>1360976382</v>
      </c>
    </row>
    <row r="42" spans="1:28" x14ac:dyDescent="0.2">
      <c r="A42">
        <f>Source!A41</f>
        <v>18</v>
      </c>
      <c r="B42">
        <v>41</v>
      </c>
      <c r="C42">
        <v>3</v>
      </c>
      <c r="D42">
        <f>Source!BI41</f>
        <v>4</v>
      </c>
      <c r="E42">
        <f>Source!FS41</f>
        <v>0</v>
      </c>
      <c r="F42" t="str">
        <f>Source!F41</f>
        <v>21.12-5-142</v>
      </c>
      <c r="G42" t="str">
        <f>Source!G41</f>
        <v>Трубы напорные PN10 (ном. давление 10 атм.) из полипропилена PPRC, наружный диаметр 20 мм</v>
      </c>
      <c r="H42" t="str">
        <f>Source!H41</f>
        <v>м</v>
      </c>
      <c r="I42">
        <f>Source!I41</f>
        <v>0</v>
      </c>
      <c r="J42">
        <v>1</v>
      </c>
      <c r="K42">
        <f>Source!AC41</f>
        <v>30.32</v>
      </c>
      <c r="M42">
        <f t="shared" si="0"/>
        <v>0</v>
      </c>
      <c r="N42">
        <f>Source!AC41*IF(Source!BC41&lt;&gt; 0, Source!BC41, 1)</f>
        <v>30.32</v>
      </c>
      <c r="O42">
        <f t="shared" si="1"/>
        <v>0</v>
      </c>
      <c r="P42">
        <f>Source!AE41</f>
        <v>0</v>
      </c>
      <c r="R42">
        <f t="shared" si="2"/>
        <v>0</v>
      </c>
      <c r="S42">
        <f>Source!AE41*IF(Source!BS41&lt;&gt; 0, Source!BS41, 1)</f>
        <v>0</v>
      </c>
      <c r="T42">
        <f t="shared" si="3"/>
        <v>0</v>
      </c>
      <c r="U42">
        <v>3</v>
      </c>
      <c r="Z42">
        <f>Source!GF41</f>
        <v>83807339</v>
      </c>
      <c r="AA42">
        <v>-1409972511</v>
      </c>
      <c r="AB42">
        <v>1133087441</v>
      </c>
    </row>
    <row r="43" spans="1:28" x14ac:dyDescent="0.2">
      <c r="A43">
        <f>Source!A42</f>
        <v>18</v>
      </c>
      <c r="B43">
        <v>42</v>
      </c>
      <c r="C43">
        <v>3</v>
      </c>
      <c r="D43">
        <f>Source!BI42</f>
        <v>4</v>
      </c>
      <c r="E43">
        <f>Source!FS42</f>
        <v>0</v>
      </c>
      <c r="F43" t="str">
        <f>Source!F42</f>
        <v>21.12-5-345</v>
      </c>
      <c r="G43" t="str">
        <f>Source!G42</f>
        <v>Трубы напорные PN20 (ном. давление 20 атм.) из полипропилена PPRC, наружный диаметр 20 мм</v>
      </c>
      <c r="H43" t="str">
        <f>Source!H42</f>
        <v>м</v>
      </c>
      <c r="I43">
        <f>Source!I42</f>
        <v>0</v>
      </c>
      <c r="J43">
        <v>1</v>
      </c>
      <c r="K43">
        <f>Source!AC42</f>
        <v>42.39</v>
      </c>
      <c r="M43">
        <f t="shared" si="0"/>
        <v>0</v>
      </c>
      <c r="N43">
        <f>Source!AC42*IF(Source!BC42&lt;&gt; 0, Source!BC42, 1)</f>
        <v>42.39</v>
      </c>
      <c r="O43">
        <f t="shared" si="1"/>
        <v>0</v>
      </c>
      <c r="P43">
        <f>Source!AE42</f>
        <v>0</v>
      </c>
      <c r="R43">
        <f t="shared" si="2"/>
        <v>0</v>
      </c>
      <c r="S43">
        <f>Source!AE42*IF(Source!BS42&lt;&gt; 0, Source!BS42, 1)</f>
        <v>0</v>
      </c>
      <c r="T43">
        <f t="shared" si="3"/>
        <v>0</v>
      </c>
      <c r="U43">
        <v>3</v>
      </c>
      <c r="Z43">
        <f>Source!GF42</f>
        <v>-1013870904</v>
      </c>
      <c r="AA43">
        <v>-1307207895</v>
      </c>
      <c r="AB43">
        <v>-763742453</v>
      </c>
    </row>
    <row r="44" spans="1:28" x14ac:dyDescent="0.2">
      <c r="A44">
        <f>Source!A43</f>
        <v>18</v>
      </c>
      <c r="B44">
        <v>43</v>
      </c>
      <c r="C44">
        <v>3</v>
      </c>
      <c r="D44">
        <f>Source!BI43</f>
        <v>4</v>
      </c>
      <c r="E44">
        <f>Source!FS43</f>
        <v>0</v>
      </c>
      <c r="F44" t="str">
        <f>Source!F43</f>
        <v>21.12-5-424</v>
      </c>
      <c r="G44" t="str">
        <f>Source!G43</f>
        <v>Угольник 90° комбинированный из сополимера полипропилена "Рандом Сополимер" РР-R тип 3 (PRC-R), наружная резьба, диаметр 32-32мм</v>
      </c>
      <c r="H44" t="str">
        <f>Source!H43</f>
        <v>шт.</v>
      </c>
      <c r="I44">
        <f>Source!I43</f>
        <v>0</v>
      </c>
      <c r="J44">
        <v>1</v>
      </c>
      <c r="K44">
        <f>Source!AC43</f>
        <v>207.07</v>
      </c>
      <c r="M44">
        <f t="shared" si="0"/>
        <v>0</v>
      </c>
      <c r="N44">
        <f>Source!AC43*IF(Source!BC43&lt;&gt; 0, Source!BC43, 1)</f>
        <v>207.07</v>
      </c>
      <c r="O44">
        <f t="shared" si="1"/>
        <v>0</v>
      </c>
      <c r="P44">
        <f>Source!AE43</f>
        <v>0</v>
      </c>
      <c r="R44">
        <f t="shared" si="2"/>
        <v>0</v>
      </c>
      <c r="S44">
        <f>Source!AE43*IF(Source!BS43&lt;&gt; 0, Source!BS43, 1)</f>
        <v>0</v>
      </c>
      <c r="T44">
        <f t="shared" si="3"/>
        <v>0</v>
      </c>
      <c r="U44">
        <v>3</v>
      </c>
      <c r="Z44">
        <f>Source!GF43</f>
        <v>-2052040340</v>
      </c>
      <c r="AA44">
        <v>677770830</v>
      </c>
      <c r="AB44">
        <v>1473452591</v>
      </c>
    </row>
    <row r="45" spans="1:28" x14ac:dyDescent="0.2">
      <c r="A45">
        <f>Source!A44</f>
        <v>18</v>
      </c>
      <c r="B45">
        <v>44</v>
      </c>
      <c r="C45">
        <v>3</v>
      </c>
      <c r="D45">
        <f>Source!BI44</f>
        <v>4</v>
      </c>
      <c r="E45">
        <f>Source!FS44</f>
        <v>0</v>
      </c>
      <c r="F45" t="str">
        <f>Source!F44</f>
        <v>21.13-4-40</v>
      </c>
      <c r="G45" t="str">
        <f>Source!G44</f>
        <v>Краны латунные шаровые муфтовые проходные, марка 11б27п, диаметр 20 мм</v>
      </c>
      <c r="H45" t="str">
        <f>Source!H44</f>
        <v>шт.</v>
      </c>
      <c r="I45">
        <f>Source!I44</f>
        <v>0</v>
      </c>
      <c r="J45">
        <v>1</v>
      </c>
      <c r="K45">
        <f>Source!AC44</f>
        <v>148.13999999999999</v>
      </c>
      <c r="M45">
        <f t="shared" si="0"/>
        <v>0</v>
      </c>
      <c r="N45">
        <f>Source!AC44*IF(Source!BC44&lt;&gt; 0, Source!BC44, 1)</f>
        <v>148.13999999999999</v>
      </c>
      <c r="O45">
        <f t="shared" si="1"/>
        <v>0</v>
      </c>
      <c r="P45">
        <f>Source!AE44</f>
        <v>0</v>
      </c>
      <c r="R45">
        <f t="shared" si="2"/>
        <v>0</v>
      </c>
      <c r="S45">
        <f>Source!AE44*IF(Source!BS44&lt;&gt; 0, Source!BS44, 1)</f>
        <v>0</v>
      </c>
      <c r="T45">
        <f t="shared" si="3"/>
        <v>0</v>
      </c>
      <c r="U45">
        <v>3</v>
      </c>
      <c r="Z45">
        <f>Source!GF44</f>
        <v>1965755675</v>
      </c>
      <c r="AA45">
        <v>942222781</v>
      </c>
      <c r="AB45">
        <v>699391955</v>
      </c>
    </row>
    <row r="46" spans="1:28" x14ac:dyDescent="0.2">
      <c r="A46">
        <f>Source!A45</f>
        <v>18</v>
      </c>
      <c r="B46">
        <v>45</v>
      </c>
      <c r="C46">
        <v>3</v>
      </c>
      <c r="D46">
        <f>Source!BI45</f>
        <v>4</v>
      </c>
      <c r="E46">
        <f>Source!FS45</f>
        <v>0</v>
      </c>
      <c r="F46" t="str">
        <f>Source!F45</f>
        <v>21.12-5-388</v>
      </c>
      <c r="G46" t="str">
        <f>Source!G45</f>
        <v>Муфта комбинированная разъемная из сополимера полипропилена "Рандом Сополимер" РР-R тип 3 (PRC-R), наружная резьба, диаметр 20-20мм</v>
      </c>
      <c r="H46" t="str">
        <f>Source!H45</f>
        <v>шт.</v>
      </c>
      <c r="I46">
        <f>Source!I45</f>
        <v>0</v>
      </c>
      <c r="J46">
        <v>1</v>
      </c>
      <c r="K46">
        <f>Source!AC45</f>
        <v>159.86000000000001</v>
      </c>
      <c r="M46">
        <f t="shared" si="0"/>
        <v>0</v>
      </c>
      <c r="N46">
        <f>Source!AC45*IF(Source!BC45&lt;&gt; 0, Source!BC45, 1)</f>
        <v>159.86000000000001</v>
      </c>
      <c r="O46">
        <f t="shared" si="1"/>
        <v>0</v>
      </c>
      <c r="P46">
        <f>Source!AE45</f>
        <v>0</v>
      </c>
      <c r="R46">
        <f t="shared" si="2"/>
        <v>0</v>
      </c>
      <c r="S46">
        <f>Source!AE45*IF(Source!BS45&lt;&gt; 0, Source!BS45, 1)</f>
        <v>0</v>
      </c>
      <c r="T46">
        <f t="shared" si="3"/>
        <v>0</v>
      </c>
      <c r="U46">
        <v>3</v>
      </c>
      <c r="Z46">
        <f>Source!GF45</f>
        <v>34723009</v>
      </c>
      <c r="AA46">
        <v>2127564582</v>
      </c>
      <c r="AB46">
        <v>-422280581</v>
      </c>
    </row>
    <row r="47" spans="1:28" x14ac:dyDescent="0.2">
      <c r="A47">
        <f>Source!A46</f>
        <v>18</v>
      </c>
      <c r="B47">
        <v>46</v>
      </c>
      <c r="C47">
        <v>3</v>
      </c>
      <c r="D47">
        <f>Source!BI46</f>
        <v>4</v>
      </c>
      <c r="E47">
        <f>Source!FS46</f>
        <v>0</v>
      </c>
      <c r="F47" t="str">
        <f>Source!F46</f>
        <v>21.12-13-2</v>
      </c>
      <c r="G47" t="str">
        <f>Source!G46</f>
        <v>Муфты латунные для металлопластиковых труб, размер: 20х20 мм</v>
      </c>
      <c r="H47" t="str">
        <f>Source!H46</f>
        <v>шт.</v>
      </c>
      <c r="I47">
        <f>Source!I46</f>
        <v>0</v>
      </c>
      <c r="J47">
        <v>1</v>
      </c>
      <c r="K47">
        <f>Source!AC46</f>
        <v>369.5</v>
      </c>
      <c r="M47">
        <f t="shared" si="0"/>
        <v>0</v>
      </c>
      <c r="N47">
        <f>Source!AC46*IF(Source!BC46&lt;&gt; 0, Source!BC46, 1)</f>
        <v>369.5</v>
      </c>
      <c r="O47">
        <f t="shared" si="1"/>
        <v>0</v>
      </c>
      <c r="P47">
        <f>Source!AE46</f>
        <v>0</v>
      </c>
      <c r="R47">
        <f t="shared" si="2"/>
        <v>0</v>
      </c>
      <c r="S47">
        <f>Source!AE46*IF(Source!BS46&lt;&gt; 0, Source!BS46, 1)</f>
        <v>0</v>
      </c>
      <c r="T47">
        <f t="shared" si="3"/>
        <v>0</v>
      </c>
      <c r="U47">
        <v>3</v>
      </c>
      <c r="Z47">
        <f>Source!GF46</f>
        <v>809131780</v>
      </c>
      <c r="AA47">
        <v>835961115</v>
      </c>
      <c r="AB47">
        <v>-1486614306</v>
      </c>
    </row>
    <row r="48" spans="1:28" x14ac:dyDescent="0.2">
      <c r="A48">
        <v>20</v>
      </c>
      <c r="B48">
        <v>45</v>
      </c>
      <c r="C48">
        <v>3</v>
      </c>
      <c r="D48">
        <v>0</v>
      </c>
      <c r="E48">
        <f>SmtRes!AV45</f>
        <v>0</v>
      </c>
      <c r="F48" t="str">
        <f>SmtRes!I45</f>
        <v>21.1-23-9</v>
      </c>
      <c r="G48" t="str">
        <f>SmtRes!K45</f>
        <v>Электроды, тип Э-42, 46, 50, диаметр 4 - 6 мм</v>
      </c>
      <c r="H48" t="str">
        <f>SmtRes!O45</f>
        <v>т</v>
      </c>
      <c r="I48">
        <f>SmtRes!Y45*Source!I47</f>
        <v>0</v>
      </c>
      <c r="J48">
        <f>SmtRes!AO45</f>
        <v>1</v>
      </c>
      <c r="K48">
        <f>SmtRes!AE45</f>
        <v>106831.32</v>
      </c>
      <c r="L48">
        <f>SmtRes!DB45</f>
        <v>0</v>
      </c>
      <c r="M48">
        <f>ROUND(ROUND(L48*Source!I47, 6)*1, 2)</f>
        <v>0</v>
      </c>
      <c r="N48">
        <f>SmtRes!AA45</f>
        <v>106831.32</v>
      </c>
      <c r="O48">
        <f>ROUND(ROUND(L48*Source!I47, 6)*SmtRes!DA45, 2)</f>
        <v>0</v>
      </c>
      <c r="P48">
        <f>SmtRes!AG45</f>
        <v>0</v>
      </c>
      <c r="Q48">
        <f>SmtRes!DC45</f>
        <v>0</v>
      </c>
      <c r="R48">
        <f>ROUND(ROUND(Q48*Source!I47, 6)*1, 2)</f>
        <v>0</v>
      </c>
      <c r="S48">
        <f>SmtRes!AC45</f>
        <v>0</v>
      </c>
      <c r="T48">
        <f>ROUND(ROUND(Q48*Source!I47, 6)*SmtRes!AK45, 2)</f>
        <v>0</v>
      </c>
      <c r="U48">
        <v>3</v>
      </c>
      <c r="Z48">
        <f>SmtRes!X45</f>
        <v>1930382025</v>
      </c>
      <c r="AA48">
        <v>-1168752113</v>
      </c>
      <c r="AB48">
        <v>-1022481529</v>
      </c>
    </row>
    <row r="49" spans="1:28" x14ac:dyDescent="0.2">
      <c r="A49">
        <v>20</v>
      </c>
      <c r="B49">
        <v>44</v>
      </c>
      <c r="C49">
        <v>2</v>
      </c>
      <c r="D49">
        <v>0</v>
      </c>
      <c r="E49">
        <f>SmtRes!AV44</f>
        <v>0</v>
      </c>
      <c r="F49" t="str">
        <f>SmtRes!I44</f>
        <v>22.1-13-14</v>
      </c>
      <c r="G49" t="str">
        <f>SmtRes!K44</f>
        <v>Установки для сварки ручной дуговой (постоянного тока)</v>
      </c>
      <c r="H49" t="str">
        <f>SmtRes!O44</f>
        <v>маш.-ч</v>
      </c>
      <c r="I49">
        <f>SmtRes!Y44*Source!I47</f>
        <v>0.12</v>
      </c>
      <c r="J49">
        <f>SmtRes!AO44</f>
        <v>1</v>
      </c>
      <c r="K49">
        <f>SmtRes!AF44</f>
        <v>34.270000000000003</v>
      </c>
      <c r="L49">
        <f>SmtRes!DB44</f>
        <v>2.056</v>
      </c>
      <c r="M49">
        <f>ROUND(ROUND(L49*Source!I47, 6)*1, 2)</f>
        <v>4.1100000000000003</v>
      </c>
      <c r="N49">
        <f>SmtRes!AB44</f>
        <v>34.270000000000003</v>
      </c>
      <c r="O49">
        <f>ROUND(ROUND(L49*Source!I47, 6)*SmtRes!DA44, 2)</f>
        <v>4.1100000000000003</v>
      </c>
      <c r="P49">
        <f>SmtRes!AG44</f>
        <v>0.23</v>
      </c>
      <c r="Q49">
        <f>SmtRes!DC44</f>
        <v>1.4E-2</v>
      </c>
      <c r="R49">
        <f>ROUND(ROUND(Q49*Source!I47, 6)*1, 2)</f>
        <v>0.03</v>
      </c>
      <c r="S49">
        <f>SmtRes!AC44</f>
        <v>0.23</v>
      </c>
      <c r="T49">
        <f>ROUND(ROUND(Q49*Source!I47, 6)*SmtRes!AK44, 2)</f>
        <v>0.03</v>
      </c>
      <c r="U49">
        <v>2</v>
      </c>
      <c r="Z49">
        <f>SmtRes!X44</f>
        <v>-982416638</v>
      </c>
      <c r="AA49">
        <v>1866423223</v>
      </c>
      <c r="AB49">
        <v>-239416640</v>
      </c>
    </row>
    <row r="50" spans="1:28" x14ac:dyDescent="0.2">
      <c r="A50">
        <f>Source!A48</f>
        <v>18</v>
      </c>
      <c r="B50">
        <v>48</v>
      </c>
      <c r="C50">
        <v>3</v>
      </c>
      <c r="D50">
        <f>Source!BI48</f>
        <v>4</v>
      </c>
      <c r="E50">
        <f>Source!FS48</f>
        <v>0</v>
      </c>
      <c r="F50" t="str">
        <f>Source!F48</f>
        <v>3113210000</v>
      </c>
      <c r="G50" t="str">
        <f>Source!G48</f>
        <v>Фильтры для очистки воды</v>
      </c>
      <c r="H50" t="str">
        <f>Source!H48</f>
        <v>шт.</v>
      </c>
      <c r="I50">
        <f>Source!I48</f>
        <v>0</v>
      </c>
      <c r="J50">
        <v>1</v>
      </c>
      <c r="K50">
        <f>Source!AC48</f>
        <v>0</v>
      </c>
      <c r="M50">
        <f>ROUND(K50*I50, 2)</f>
        <v>0</v>
      </c>
      <c r="N50">
        <f>Source!AC48*IF(Source!BC48&lt;&gt; 0, Source!BC48, 1)</f>
        <v>0</v>
      </c>
      <c r="O50">
        <f>ROUND(N50*I50, 2)</f>
        <v>0</v>
      </c>
      <c r="P50">
        <f>Source!AE48</f>
        <v>0</v>
      </c>
      <c r="R50">
        <f>ROUND(P50*I50, 2)</f>
        <v>0</v>
      </c>
      <c r="S50">
        <f>Source!AE48*IF(Source!BS48&lt;&gt; 0, Source!BS48, 1)</f>
        <v>0</v>
      </c>
      <c r="T50">
        <f>ROUND(S50*I50, 2)</f>
        <v>0</v>
      </c>
      <c r="U50">
        <v>3</v>
      </c>
      <c r="Z50">
        <f>Source!GF48</f>
        <v>181685852</v>
      </c>
      <c r="AA50">
        <v>-837183549</v>
      </c>
      <c r="AB50">
        <v>840670005</v>
      </c>
    </row>
    <row r="51" spans="1:28" x14ac:dyDescent="0.2">
      <c r="A51">
        <v>20</v>
      </c>
      <c r="B51">
        <v>50</v>
      </c>
      <c r="C51">
        <v>3</v>
      </c>
      <c r="D51">
        <v>0</v>
      </c>
      <c r="E51">
        <f>SmtRes!AV50</f>
        <v>0</v>
      </c>
      <c r="F51" t="str">
        <f>SmtRes!I50</f>
        <v>21.1-6-90</v>
      </c>
      <c r="G51" t="str">
        <f>SmtRes!K50</f>
        <v>Олифа для окраски комбинированная оксоль</v>
      </c>
      <c r="H51" t="str">
        <f>SmtRes!O50</f>
        <v>кг</v>
      </c>
      <c r="I51">
        <f>SmtRes!Y50*Source!I49</f>
        <v>0</v>
      </c>
      <c r="J51">
        <f>SmtRes!AO50</f>
        <v>1</v>
      </c>
      <c r="K51">
        <f>SmtRes!AE50</f>
        <v>92.85</v>
      </c>
      <c r="L51">
        <f>SmtRes!DB50</f>
        <v>0</v>
      </c>
      <c r="M51">
        <f>ROUND(ROUND(L51*Source!I49, 6)*1, 2)</f>
        <v>0</v>
      </c>
      <c r="N51">
        <f>SmtRes!AA50</f>
        <v>92.85</v>
      </c>
      <c r="O51">
        <f>ROUND(ROUND(L51*Source!I49, 6)*SmtRes!DA50, 2)</f>
        <v>0</v>
      </c>
      <c r="P51">
        <f>SmtRes!AG50</f>
        <v>0</v>
      </c>
      <c r="Q51">
        <f>SmtRes!DC50</f>
        <v>0</v>
      </c>
      <c r="R51">
        <f>ROUND(ROUND(Q51*Source!I49, 6)*1, 2)</f>
        <v>0</v>
      </c>
      <c r="S51">
        <f>SmtRes!AC50</f>
        <v>0</v>
      </c>
      <c r="T51">
        <f>ROUND(ROUND(Q51*Source!I49, 6)*SmtRes!AK50, 2)</f>
        <v>0</v>
      </c>
      <c r="U51">
        <v>3</v>
      </c>
      <c r="Z51">
        <f>SmtRes!X50</f>
        <v>-911552969</v>
      </c>
      <c r="AA51">
        <v>-272956015</v>
      </c>
      <c r="AB51">
        <v>-438707420</v>
      </c>
    </row>
    <row r="52" spans="1:28" x14ac:dyDescent="0.2">
      <c r="A52">
        <v>20</v>
      </c>
      <c r="B52">
        <v>49</v>
      </c>
      <c r="C52">
        <v>3</v>
      </c>
      <c r="D52">
        <v>0</v>
      </c>
      <c r="E52">
        <f>SmtRes!AV49</f>
        <v>0</v>
      </c>
      <c r="F52" t="str">
        <f>SmtRes!I49</f>
        <v>21.1-6-46</v>
      </c>
      <c r="G52" t="str">
        <f>SmtRes!K49</f>
        <v>Краски масляные жидкотертые цветные (готовые к употреблению) для наружных и внутренних работ, марка МА-15, сурик железный для окраски по металлу</v>
      </c>
      <c r="H52" t="str">
        <f>SmtRes!O49</f>
        <v>т</v>
      </c>
      <c r="I52">
        <f>SmtRes!Y49*Source!I49</f>
        <v>0</v>
      </c>
      <c r="J52">
        <f>SmtRes!AO49</f>
        <v>1</v>
      </c>
      <c r="K52">
        <f>SmtRes!AE49</f>
        <v>115885.91</v>
      </c>
      <c r="L52">
        <f>SmtRes!DB49</f>
        <v>0</v>
      </c>
      <c r="M52">
        <f>ROUND(ROUND(L52*Source!I49, 6)*1, 2)</f>
        <v>0</v>
      </c>
      <c r="N52">
        <f>SmtRes!AA49</f>
        <v>115885.91</v>
      </c>
      <c r="O52">
        <f>ROUND(ROUND(L52*Source!I49, 6)*SmtRes!DA49, 2)</f>
        <v>0</v>
      </c>
      <c r="P52">
        <f>SmtRes!AG49</f>
        <v>0</v>
      </c>
      <c r="Q52">
        <f>SmtRes!DC49</f>
        <v>0</v>
      </c>
      <c r="R52">
        <f>ROUND(ROUND(Q52*Source!I49, 6)*1, 2)</f>
        <v>0</v>
      </c>
      <c r="S52">
        <f>SmtRes!AC49</f>
        <v>0</v>
      </c>
      <c r="T52">
        <f>ROUND(ROUND(Q52*Source!I49, 6)*SmtRes!AK49, 2)</f>
        <v>0</v>
      </c>
      <c r="U52">
        <v>3</v>
      </c>
      <c r="Z52">
        <f>SmtRes!X49</f>
        <v>-377825509</v>
      </c>
      <c r="AA52">
        <v>-670453517</v>
      </c>
      <c r="AB52">
        <v>-1682720140</v>
      </c>
    </row>
    <row r="53" spans="1:28" x14ac:dyDescent="0.2">
      <c r="A53">
        <v>20</v>
      </c>
      <c r="B53">
        <v>48</v>
      </c>
      <c r="C53">
        <v>3</v>
      </c>
      <c r="D53">
        <v>0</v>
      </c>
      <c r="E53">
        <f>SmtRes!AV48</f>
        <v>0</v>
      </c>
      <c r="F53" t="str">
        <f>SmtRes!I48</f>
        <v>21.1-25-16</v>
      </c>
      <c r="G53" t="str">
        <f>SmtRes!K48</f>
        <v>Волокно льняное №11 для уплотнения резьбовых соединений при монтаже систем водоснабжения и отопления</v>
      </c>
      <c r="H53" t="str">
        <f>SmtRes!O48</f>
        <v>кг</v>
      </c>
      <c r="I53">
        <f>SmtRes!Y48*Source!I49</f>
        <v>0</v>
      </c>
      <c r="J53">
        <f>SmtRes!AO48</f>
        <v>1</v>
      </c>
      <c r="K53">
        <f>SmtRes!AE48</f>
        <v>745.17</v>
      </c>
      <c r="L53">
        <f>SmtRes!DB48</f>
        <v>0</v>
      </c>
      <c r="M53">
        <f>ROUND(ROUND(L53*Source!I49, 6)*1, 2)</f>
        <v>0</v>
      </c>
      <c r="N53">
        <f>SmtRes!AA48</f>
        <v>745.17</v>
      </c>
      <c r="O53">
        <f>ROUND(ROUND(L53*Source!I49, 6)*SmtRes!DA48, 2)</f>
        <v>0</v>
      </c>
      <c r="P53">
        <f>SmtRes!AG48</f>
        <v>0</v>
      </c>
      <c r="Q53">
        <f>SmtRes!DC48</f>
        <v>0</v>
      </c>
      <c r="R53">
        <f>ROUND(ROUND(Q53*Source!I49, 6)*1, 2)</f>
        <v>0</v>
      </c>
      <c r="S53">
        <f>SmtRes!AC48</f>
        <v>0</v>
      </c>
      <c r="T53">
        <f>ROUND(ROUND(Q53*Source!I49, 6)*SmtRes!AK48, 2)</f>
        <v>0</v>
      </c>
      <c r="U53">
        <v>3</v>
      </c>
      <c r="Z53">
        <f>SmtRes!X48</f>
        <v>1013639029</v>
      </c>
      <c r="AA53">
        <v>-541998887</v>
      </c>
      <c r="AB53">
        <v>-1295179831</v>
      </c>
    </row>
    <row r="54" spans="1:28" x14ac:dyDescent="0.2">
      <c r="A54">
        <v>20</v>
      </c>
      <c r="B54">
        <v>53</v>
      </c>
      <c r="C54">
        <v>3</v>
      </c>
      <c r="D54">
        <v>0</v>
      </c>
      <c r="E54">
        <f>SmtRes!AV53</f>
        <v>0</v>
      </c>
      <c r="F54" t="str">
        <f>SmtRes!I53</f>
        <v>21.1-23-9</v>
      </c>
      <c r="G54" t="str">
        <f>SmtRes!K53</f>
        <v>Электроды, тип Э-42, 46, 50, диаметр 4 - 6 мм</v>
      </c>
      <c r="H54" t="str">
        <f>SmtRes!O53</f>
        <v>т</v>
      </c>
      <c r="I54">
        <f>SmtRes!Y53*Source!I50</f>
        <v>1.3999999999999999E-4</v>
      </c>
      <c r="J54">
        <f>SmtRes!AO53</f>
        <v>1</v>
      </c>
      <c r="K54">
        <f>SmtRes!AE53</f>
        <v>106831.32</v>
      </c>
      <c r="L54">
        <f>SmtRes!DB53</f>
        <v>7.48</v>
      </c>
      <c r="M54">
        <f>ROUND(ROUND(L54*Source!I50, 6)*1, 2)</f>
        <v>14.96</v>
      </c>
      <c r="N54">
        <f>SmtRes!AA53</f>
        <v>106831.32</v>
      </c>
      <c r="O54">
        <f>ROUND(ROUND(L54*Source!I50, 6)*SmtRes!DA53, 2)</f>
        <v>14.96</v>
      </c>
      <c r="P54">
        <f>SmtRes!AG53</f>
        <v>0</v>
      </c>
      <c r="Q54">
        <f>SmtRes!DC53</f>
        <v>0</v>
      </c>
      <c r="R54">
        <f>ROUND(ROUND(Q54*Source!I50, 6)*1, 2)</f>
        <v>0</v>
      </c>
      <c r="S54">
        <f>SmtRes!AC53</f>
        <v>0</v>
      </c>
      <c r="T54">
        <f>ROUND(ROUND(Q54*Source!I50, 6)*SmtRes!AK53, 2)</f>
        <v>0</v>
      </c>
      <c r="U54">
        <v>3</v>
      </c>
      <c r="Z54">
        <f>SmtRes!X53</f>
        <v>1930382025</v>
      </c>
      <c r="AA54">
        <v>1325122993</v>
      </c>
      <c r="AB54">
        <v>-1276368308</v>
      </c>
    </row>
    <row r="55" spans="1:28" x14ac:dyDescent="0.2">
      <c r="A55">
        <v>20</v>
      </c>
      <c r="B55">
        <v>52</v>
      </c>
      <c r="C55">
        <v>2</v>
      </c>
      <c r="D55">
        <v>0</v>
      </c>
      <c r="E55">
        <f>SmtRes!AV52</f>
        <v>0</v>
      </c>
      <c r="F55" t="str">
        <f>SmtRes!I52</f>
        <v>22.1-13-14</v>
      </c>
      <c r="G55" t="str">
        <f>SmtRes!K52</f>
        <v>Установки для сварки ручной дуговой (постоянного тока)</v>
      </c>
      <c r="H55" t="str">
        <f>SmtRes!O52</f>
        <v>маш.-ч</v>
      </c>
      <c r="I55">
        <f>SmtRes!Y52*Source!I50</f>
        <v>0.6</v>
      </c>
      <c r="J55">
        <f>SmtRes!AO52</f>
        <v>1</v>
      </c>
      <c r="K55">
        <f>SmtRes!AF52</f>
        <v>34.270000000000003</v>
      </c>
      <c r="L55">
        <f>SmtRes!DB52</f>
        <v>10.28</v>
      </c>
      <c r="M55">
        <f>ROUND(ROUND(L55*Source!I50, 6)*1, 2)</f>
        <v>20.56</v>
      </c>
      <c r="N55">
        <f>SmtRes!AB52</f>
        <v>34.270000000000003</v>
      </c>
      <c r="O55">
        <f>ROUND(ROUND(L55*Source!I50, 6)*SmtRes!DA52, 2)</f>
        <v>20.56</v>
      </c>
      <c r="P55">
        <f>SmtRes!AG52</f>
        <v>0.23</v>
      </c>
      <c r="Q55">
        <f>SmtRes!DC52</f>
        <v>7.0000000000000007E-2</v>
      </c>
      <c r="R55">
        <f>ROUND(ROUND(Q55*Source!I50, 6)*1, 2)</f>
        <v>0.14000000000000001</v>
      </c>
      <c r="S55">
        <f>SmtRes!AC52</f>
        <v>0.23</v>
      </c>
      <c r="T55">
        <f>ROUND(ROUND(Q55*Source!I50, 6)*SmtRes!AK52, 2)</f>
        <v>0.14000000000000001</v>
      </c>
      <c r="U55">
        <v>2</v>
      </c>
      <c r="Z55">
        <f>SmtRes!X52</f>
        <v>-982416638</v>
      </c>
      <c r="AA55">
        <v>1866423223</v>
      </c>
      <c r="AB55">
        <v>-239416640</v>
      </c>
    </row>
    <row r="56" spans="1:28" x14ac:dyDescent="0.2">
      <c r="A56">
        <f>Source!A51</f>
        <v>18</v>
      </c>
      <c r="B56">
        <v>51</v>
      </c>
      <c r="C56">
        <v>3</v>
      </c>
      <c r="D56">
        <f>Source!BI51</f>
        <v>4</v>
      </c>
      <c r="E56">
        <f>Source!FS51</f>
        <v>0</v>
      </c>
      <c r="F56" t="str">
        <f>Source!F51</f>
        <v>21.18-7-12</v>
      </c>
      <c r="G56" t="str">
        <f>Source!G51</f>
        <v>Фильтр для очистки воды сетчатые, с внутренней резьбой, максимальная температура воды 130°, условное давление 1,6 МПа, пропускная способность 15 м3/ч, диаметр условного прохода 25 мм</v>
      </c>
      <c r="H56" t="str">
        <f>Source!H51</f>
        <v>шт.</v>
      </c>
      <c r="I56">
        <f>Source!I51</f>
        <v>0</v>
      </c>
      <c r="J56">
        <v>1</v>
      </c>
      <c r="K56">
        <f>Source!AC51</f>
        <v>6016.31</v>
      </c>
      <c r="M56">
        <f>ROUND(K56*I56, 2)</f>
        <v>0</v>
      </c>
      <c r="N56">
        <f>Source!AC51*IF(Source!BC51&lt;&gt; 0, Source!BC51, 1)</f>
        <v>6016.31</v>
      </c>
      <c r="O56">
        <f>ROUND(N56*I56, 2)</f>
        <v>0</v>
      </c>
      <c r="P56">
        <f>Source!AE51</f>
        <v>0</v>
      </c>
      <c r="R56">
        <f>ROUND(P56*I56, 2)</f>
        <v>0</v>
      </c>
      <c r="S56">
        <f>Source!AE51*IF(Source!BS51&lt;&gt; 0, Source!BS51, 1)</f>
        <v>0</v>
      </c>
      <c r="T56">
        <f>ROUND(S56*I56, 2)</f>
        <v>0</v>
      </c>
      <c r="U56">
        <v>3</v>
      </c>
      <c r="Z56">
        <f>Source!GF51</f>
        <v>-1846485765</v>
      </c>
      <c r="AA56">
        <v>495173423</v>
      </c>
      <c r="AB56">
        <v>1853022116</v>
      </c>
    </row>
    <row r="57" spans="1:28" x14ac:dyDescent="0.2">
      <c r="A57">
        <f>Source!A52</f>
        <v>18</v>
      </c>
      <c r="B57">
        <v>52</v>
      </c>
      <c r="C57">
        <v>3</v>
      </c>
      <c r="D57">
        <f>Source!BI52</f>
        <v>4</v>
      </c>
      <c r="E57">
        <f>Source!FS52</f>
        <v>0</v>
      </c>
      <c r="F57" t="str">
        <f>Source!F52</f>
        <v>21.18-7-10</v>
      </c>
      <c r="G57" t="str">
        <f>Source!G52</f>
        <v>Фильтры для очистки воды сетчатые, с внутренней резьбой, максимальная температура воды 130°С, условное давление 1,6 МПа, диаметр условного прохода 20 мм, пропускная способность 4,5 м3/ч</v>
      </c>
      <c r="H57" t="str">
        <f>Source!H52</f>
        <v>шт.</v>
      </c>
      <c r="I57">
        <f>Source!I52</f>
        <v>2</v>
      </c>
      <c r="J57">
        <v>1</v>
      </c>
      <c r="K57">
        <f>Source!AC52</f>
        <v>4266.3599999999997</v>
      </c>
      <c r="M57">
        <f>ROUND(K57*I57, 2)</f>
        <v>8532.7199999999993</v>
      </c>
      <c r="N57">
        <f>Source!AC52*IF(Source!BC52&lt;&gt; 0, Source!BC52, 1)</f>
        <v>4266.3599999999997</v>
      </c>
      <c r="O57">
        <f>ROUND(N57*I57, 2)</f>
        <v>8532.7199999999993</v>
      </c>
      <c r="P57">
        <f>Source!AE52</f>
        <v>0</v>
      </c>
      <c r="R57">
        <f>ROUND(P57*I57, 2)</f>
        <v>0</v>
      </c>
      <c r="S57">
        <f>Source!AE52*IF(Source!BS52&lt;&gt; 0, Source!BS52, 1)</f>
        <v>0</v>
      </c>
      <c r="T57">
        <f>ROUND(S57*I57, 2)</f>
        <v>0</v>
      </c>
      <c r="U57">
        <v>3</v>
      </c>
      <c r="Z57">
        <f>Source!GF52</f>
        <v>-97954409</v>
      </c>
      <c r="AA57">
        <v>-427228785</v>
      </c>
      <c r="AB57">
        <v>-321931583</v>
      </c>
    </row>
    <row r="58" spans="1:28" x14ac:dyDescent="0.2">
      <c r="A58">
        <v>20</v>
      </c>
      <c r="B58">
        <v>60</v>
      </c>
      <c r="C58">
        <v>3</v>
      </c>
      <c r="D58">
        <v>0</v>
      </c>
      <c r="E58">
        <f>SmtRes!AV60</f>
        <v>0</v>
      </c>
      <c r="F58" t="str">
        <f>SmtRes!I60</f>
        <v>21.1-6-90</v>
      </c>
      <c r="G58" t="str">
        <f>SmtRes!K60</f>
        <v>Олифа для окраски комбинированная оксоль</v>
      </c>
      <c r="H58" t="str">
        <f>SmtRes!O60</f>
        <v>кг</v>
      </c>
      <c r="I58">
        <f>SmtRes!Y60*Source!I53</f>
        <v>1.26E-2</v>
      </c>
      <c r="J58">
        <f>SmtRes!AO60</f>
        <v>1</v>
      </c>
      <c r="K58">
        <f>SmtRes!AE60</f>
        <v>92.85</v>
      </c>
      <c r="L58">
        <f>SmtRes!DB60</f>
        <v>5.85</v>
      </c>
      <c r="M58">
        <f>ROUND(ROUND(L58*Source!I53, 6)*1, 2)</f>
        <v>1.17</v>
      </c>
      <c r="N58">
        <f>SmtRes!AA60</f>
        <v>92.85</v>
      </c>
      <c r="O58">
        <f>ROUND(ROUND(L58*Source!I53, 6)*SmtRes!DA60, 2)</f>
        <v>1.17</v>
      </c>
      <c r="P58">
        <f>SmtRes!AG60</f>
        <v>0</v>
      </c>
      <c r="Q58">
        <f>SmtRes!DC60</f>
        <v>0</v>
      </c>
      <c r="R58">
        <f>ROUND(ROUND(Q58*Source!I53, 6)*1, 2)</f>
        <v>0</v>
      </c>
      <c r="S58">
        <f>SmtRes!AC60</f>
        <v>0</v>
      </c>
      <c r="T58">
        <f>ROUND(ROUND(Q58*Source!I53, 6)*SmtRes!AK60, 2)</f>
        <v>0</v>
      </c>
      <c r="U58">
        <v>3</v>
      </c>
      <c r="Z58">
        <f>SmtRes!X60</f>
        <v>-911552969</v>
      </c>
      <c r="AA58">
        <v>1670237040</v>
      </c>
      <c r="AB58">
        <v>-1715327862</v>
      </c>
    </row>
    <row r="59" spans="1:28" x14ac:dyDescent="0.2">
      <c r="A59">
        <v>20</v>
      </c>
      <c r="B59">
        <v>59</v>
      </c>
      <c r="C59">
        <v>3</v>
      </c>
      <c r="D59">
        <v>0</v>
      </c>
      <c r="E59">
        <f>SmtRes!AV59</f>
        <v>0</v>
      </c>
      <c r="F59" t="str">
        <f>SmtRes!I59</f>
        <v>21.1-6-46</v>
      </c>
      <c r="G59" t="str">
        <f>SmtRes!K59</f>
        <v>Краски масляные жидкотертые цветные (готовые к употреблению) для наружных и внутренних работ, марка МА-15, сурик железный для окраски по металлу</v>
      </c>
      <c r="H59" t="str">
        <f>SmtRes!O59</f>
        <v>т</v>
      </c>
      <c r="I59">
        <f>SmtRes!Y59*Source!I53</f>
        <v>2.5999999999999998E-5</v>
      </c>
      <c r="J59">
        <f>SmtRes!AO59</f>
        <v>1</v>
      </c>
      <c r="K59">
        <f>SmtRes!AE59</f>
        <v>115885.91</v>
      </c>
      <c r="L59">
        <f>SmtRes!DB59</f>
        <v>15.07</v>
      </c>
      <c r="M59">
        <f>ROUND(ROUND(L59*Source!I53, 6)*1, 2)</f>
        <v>3.01</v>
      </c>
      <c r="N59">
        <f>SmtRes!AA59</f>
        <v>115885.91</v>
      </c>
      <c r="O59">
        <f>ROUND(ROUND(L59*Source!I53, 6)*SmtRes!DA59, 2)</f>
        <v>3.01</v>
      </c>
      <c r="P59">
        <f>SmtRes!AG59</f>
        <v>0</v>
      </c>
      <c r="Q59">
        <f>SmtRes!DC59</f>
        <v>0</v>
      </c>
      <c r="R59">
        <f>ROUND(ROUND(Q59*Source!I53, 6)*1, 2)</f>
        <v>0</v>
      </c>
      <c r="S59">
        <f>SmtRes!AC59</f>
        <v>0</v>
      </c>
      <c r="T59">
        <f>ROUND(ROUND(Q59*Source!I53, 6)*SmtRes!AK59, 2)</f>
        <v>0</v>
      </c>
      <c r="U59">
        <v>3</v>
      </c>
      <c r="Z59">
        <f>SmtRes!X59</f>
        <v>-377825509</v>
      </c>
      <c r="AA59">
        <v>-1501988284</v>
      </c>
      <c r="AB59">
        <v>774362928</v>
      </c>
    </row>
    <row r="60" spans="1:28" x14ac:dyDescent="0.2">
      <c r="A60">
        <v>20</v>
      </c>
      <c r="B60">
        <v>57</v>
      </c>
      <c r="C60">
        <v>3</v>
      </c>
      <c r="D60">
        <v>0</v>
      </c>
      <c r="E60">
        <f>SmtRes!AV57</f>
        <v>0</v>
      </c>
      <c r="F60" t="str">
        <f>SmtRes!I57</f>
        <v>21.1-25-16</v>
      </c>
      <c r="G60" t="str">
        <f>SmtRes!K57</f>
        <v>Волокно льняное №11 для уплотнения резьбовых соединений при монтаже систем водоснабжения и отопления</v>
      </c>
      <c r="H60" t="str">
        <f>SmtRes!O57</f>
        <v>кг</v>
      </c>
      <c r="I60">
        <f>SmtRes!Y57*Source!I53</f>
        <v>1.26E-2</v>
      </c>
      <c r="J60">
        <f>SmtRes!AO57</f>
        <v>1</v>
      </c>
      <c r="K60">
        <f>SmtRes!AE57</f>
        <v>745.17</v>
      </c>
      <c r="L60">
        <f>SmtRes!DB57</f>
        <v>46.95</v>
      </c>
      <c r="M60">
        <f>ROUND(ROUND(L60*Source!I53, 6)*1, 2)</f>
        <v>9.39</v>
      </c>
      <c r="N60">
        <f>SmtRes!AA57</f>
        <v>745.17</v>
      </c>
      <c r="O60">
        <f>ROUND(ROUND(L60*Source!I53, 6)*SmtRes!DA57, 2)</f>
        <v>9.39</v>
      </c>
      <c r="P60">
        <f>SmtRes!AG57</f>
        <v>0</v>
      </c>
      <c r="Q60">
        <f>SmtRes!DC57</f>
        <v>0</v>
      </c>
      <c r="R60">
        <f>ROUND(ROUND(Q60*Source!I53, 6)*1, 2)</f>
        <v>0</v>
      </c>
      <c r="S60">
        <f>SmtRes!AC57</f>
        <v>0</v>
      </c>
      <c r="T60">
        <f>ROUND(ROUND(Q60*Source!I53, 6)*SmtRes!AK57, 2)</f>
        <v>0</v>
      </c>
      <c r="U60">
        <v>3</v>
      </c>
      <c r="Z60">
        <f>SmtRes!X57</f>
        <v>1013639029</v>
      </c>
      <c r="AA60">
        <v>1512709427</v>
      </c>
      <c r="AB60">
        <v>555785405</v>
      </c>
    </row>
    <row r="61" spans="1:28" x14ac:dyDescent="0.2">
      <c r="A61">
        <f>Source!A54</f>
        <v>18</v>
      </c>
      <c r="B61">
        <v>54</v>
      </c>
      <c r="C61">
        <v>3</v>
      </c>
      <c r="D61">
        <f>Source!BI54</f>
        <v>4</v>
      </c>
      <c r="E61">
        <f>Source!FS54</f>
        <v>0</v>
      </c>
      <c r="F61" t="str">
        <f>Source!F54</f>
        <v>21.13-3-40</v>
      </c>
      <c r="G61" t="str">
        <f>Source!G54</f>
        <v>Клапаны обратные латунные пружинные, с наружной резьбой и металлическим затвором, тип 223, P=1,6 МПа, Tmax=80°C, диаметр условного прохода 20 мм</v>
      </c>
      <c r="H61" t="str">
        <f>Source!H54</f>
        <v>шт.</v>
      </c>
      <c r="I61">
        <f>Source!I54</f>
        <v>2</v>
      </c>
      <c r="J61">
        <v>1</v>
      </c>
      <c r="K61">
        <f>Source!AC54</f>
        <v>6110.12</v>
      </c>
      <c r="M61">
        <f>ROUND(K61*I61, 2)</f>
        <v>12220.24</v>
      </c>
      <c r="N61">
        <f>Source!AC54*IF(Source!BC54&lt;&gt; 0, Source!BC54, 1)</f>
        <v>6110.12</v>
      </c>
      <c r="O61">
        <f>ROUND(N61*I61, 2)</f>
        <v>12220.24</v>
      </c>
      <c r="P61">
        <f>Source!AE54</f>
        <v>0</v>
      </c>
      <c r="R61">
        <f>ROUND(P61*I61, 2)</f>
        <v>0</v>
      </c>
      <c r="S61">
        <f>Source!AE54*IF(Source!BS54&lt;&gt; 0, Source!BS54, 1)</f>
        <v>0</v>
      </c>
      <c r="T61">
        <f>ROUND(S61*I61, 2)</f>
        <v>0</v>
      </c>
      <c r="U61">
        <v>3</v>
      </c>
      <c r="Z61">
        <f>Source!GF54</f>
        <v>1950520833</v>
      </c>
      <c r="AA61">
        <v>1208056911</v>
      </c>
      <c r="AB61">
        <v>1422903812</v>
      </c>
    </row>
    <row r="62" spans="1:28" x14ac:dyDescent="0.2">
      <c r="A62">
        <f>Source!A116</f>
        <v>4</v>
      </c>
      <c r="B62">
        <v>116</v>
      </c>
      <c r="G62" t="str">
        <f>Source!G116</f>
        <v>Подвал</v>
      </c>
    </row>
    <row r="63" spans="1:28" x14ac:dyDescent="0.2">
      <c r="A63">
        <f>Source!A120</f>
        <v>5</v>
      </c>
      <c r="B63">
        <v>120</v>
      </c>
      <c r="G63" t="str">
        <f>Source!G120</f>
        <v>ХВС</v>
      </c>
    </row>
    <row r="64" spans="1:28" x14ac:dyDescent="0.2">
      <c r="A64">
        <v>20</v>
      </c>
      <c r="B64">
        <v>63</v>
      </c>
      <c r="C64">
        <v>3</v>
      </c>
      <c r="D64">
        <v>0</v>
      </c>
      <c r="E64">
        <f>SmtRes!AV63</f>
        <v>0</v>
      </c>
      <c r="F64" t="str">
        <f>SmtRes!I63</f>
        <v>9999990001</v>
      </c>
      <c r="G64" t="str">
        <f>SmtRes!K63</f>
        <v>Масса мусора</v>
      </c>
      <c r="H64" t="str">
        <f>SmtRes!O63</f>
        <v>т</v>
      </c>
      <c r="I64">
        <f>SmtRes!Y63*Source!I124</f>
        <v>0.26585999999999999</v>
      </c>
      <c r="J64">
        <f>SmtRes!AO63</f>
        <v>1</v>
      </c>
      <c r="K64">
        <f>SmtRes!AE63</f>
        <v>0</v>
      </c>
      <c r="L64">
        <f>SmtRes!DB63</f>
        <v>0</v>
      </c>
      <c r="M64">
        <f>ROUND(ROUND(L64*Source!I124, 6)*1, 2)</f>
        <v>0</v>
      </c>
      <c r="N64">
        <f>SmtRes!AA63</f>
        <v>0</v>
      </c>
      <c r="O64">
        <f>ROUND(ROUND(L64*Source!I124, 6)*SmtRes!DA63, 2)</f>
        <v>0</v>
      </c>
      <c r="P64">
        <f>SmtRes!AG63</f>
        <v>0</v>
      </c>
      <c r="Q64">
        <f>SmtRes!DC63</f>
        <v>0</v>
      </c>
      <c r="R64">
        <f>ROUND(ROUND(Q64*Source!I124, 6)*1, 2)</f>
        <v>0</v>
      </c>
      <c r="S64">
        <f>SmtRes!AC63</f>
        <v>0</v>
      </c>
      <c r="T64">
        <f>ROUND(ROUND(Q64*Source!I124, 6)*SmtRes!AK63, 2)</f>
        <v>0</v>
      </c>
      <c r="U64">
        <v>3</v>
      </c>
      <c r="Z64">
        <f>SmtRes!X63</f>
        <v>1489638031</v>
      </c>
      <c r="AA64">
        <v>1808425918</v>
      </c>
      <c r="AB64">
        <v>-883491509</v>
      </c>
    </row>
    <row r="65" spans="1:28" x14ac:dyDescent="0.2">
      <c r="A65">
        <v>20</v>
      </c>
      <c r="B65">
        <v>62</v>
      </c>
      <c r="C65">
        <v>2</v>
      </c>
      <c r="D65">
        <v>0</v>
      </c>
      <c r="E65">
        <f>SmtRes!AV62</f>
        <v>0</v>
      </c>
      <c r="F65" t="str">
        <f>SmtRes!I62</f>
        <v>22.1-13-15</v>
      </c>
      <c r="G65" t="str">
        <f>SmtRes!K62</f>
        <v>Аппараты сварочные</v>
      </c>
      <c r="H65" t="str">
        <f>SmtRes!O62</f>
        <v>маш.-ч</v>
      </c>
      <c r="I65">
        <f>SmtRes!Y62*Source!I124</f>
        <v>4.0949999999999998</v>
      </c>
      <c r="J65">
        <f>SmtRes!AO62</f>
        <v>1</v>
      </c>
      <c r="K65">
        <f>SmtRes!AF62</f>
        <v>485.7</v>
      </c>
      <c r="L65">
        <f>SmtRes!DB62</f>
        <v>3157.05</v>
      </c>
      <c r="M65">
        <f>ROUND(ROUND(L65*Source!I124, 6)*1, 2)</f>
        <v>1988.94</v>
      </c>
      <c r="N65">
        <f>SmtRes!AB62</f>
        <v>485.7</v>
      </c>
      <c r="O65">
        <f>ROUND(ROUND(L65*Source!I124, 6)*SmtRes!DA62, 2)</f>
        <v>1988.94</v>
      </c>
      <c r="P65">
        <f>SmtRes!AG62</f>
        <v>0</v>
      </c>
      <c r="Q65">
        <f>SmtRes!DC62</f>
        <v>0</v>
      </c>
      <c r="R65">
        <f>ROUND(ROUND(Q65*Source!I124, 6)*1, 2)</f>
        <v>0</v>
      </c>
      <c r="S65">
        <f>SmtRes!AC62</f>
        <v>0</v>
      </c>
      <c r="T65">
        <f>ROUND(ROUND(Q65*Source!I124, 6)*SmtRes!AK62, 2)</f>
        <v>0</v>
      </c>
      <c r="U65">
        <v>2</v>
      </c>
      <c r="Z65">
        <f>SmtRes!X62</f>
        <v>-1343798885</v>
      </c>
      <c r="AA65">
        <v>-1635709344</v>
      </c>
      <c r="AB65">
        <v>-2067489824</v>
      </c>
    </row>
    <row r="66" spans="1:28" x14ac:dyDescent="0.2">
      <c r="A66">
        <v>20</v>
      </c>
      <c r="B66">
        <v>67</v>
      </c>
      <c r="C66">
        <v>3</v>
      </c>
      <c r="D66">
        <v>0</v>
      </c>
      <c r="E66">
        <f>SmtRes!AV67</f>
        <v>0</v>
      </c>
      <c r="F66" t="str">
        <f>SmtRes!I67</f>
        <v>21.1-4-2</v>
      </c>
      <c r="G66" t="str">
        <f>SmtRes!K67</f>
        <v>Ацетилен технический</v>
      </c>
      <c r="H66" t="str">
        <f>SmtRes!O67</f>
        <v>м3</v>
      </c>
      <c r="I66">
        <f>SmtRes!Y67*Source!I125</f>
        <v>0.22769999999999999</v>
      </c>
      <c r="J66">
        <f>SmtRes!AO67</f>
        <v>1</v>
      </c>
      <c r="K66">
        <f>SmtRes!AE67</f>
        <v>698.15</v>
      </c>
      <c r="L66">
        <f>SmtRes!DB67</f>
        <v>230.39</v>
      </c>
      <c r="M66">
        <f>ROUND(ROUND(L66*Source!I125, 6)*1, 2)</f>
        <v>158.97</v>
      </c>
      <c r="N66">
        <f>SmtRes!AA67</f>
        <v>698.15</v>
      </c>
      <c r="O66">
        <f>ROUND(ROUND(L66*Source!I125, 6)*SmtRes!DA67, 2)</f>
        <v>158.97</v>
      </c>
      <c r="P66">
        <f>SmtRes!AG67</f>
        <v>0</v>
      </c>
      <c r="Q66">
        <f>SmtRes!DC67</f>
        <v>0</v>
      </c>
      <c r="R66">
        <f>ROUND(ROUND(Q66*Source!I125, 6)*1, 2)</f>
        <v>0</v>
      </c>
      <c r="S66">
        <f>SmtRes!AC67</f>
        <v>0</v>
      </c>
      <c r="T66">
        <f>ROUND(ROUND(Q66*Source!I125, 6)*SmtRes!AK67, 2)</f>
        <v>0</v>
      </c>
      <c r="U66">
        <v>3</v>
      </c>
      <c r="Z66">
        <f>SmtRes!X67</f>
        <v>1431951903</v>
      </c>
      <c r="AA66">
        <v>-1607297158</v>
      </c>
      <c r="AB66">
        <v>-898340418</v>
      </c>
    </row>
    <row r="67" spans="1:28" x14ac:dyDescent="0.2">
      <c r="A67">
        <v>20</v>
      </c>
      <c r="B67">
        <v>66</v>
      </c>
      <c r="C67">
        <v>3</v>
      </c>
      <c r="D67">
        <v>0</v>
      </c>
      <c r="E67">
        <f>SmtRes!AV66</f>
        <v>0</v>
      </c>
      <c r="F67" t="str">
        <f>SmtRes!I66</f>
        <v>21.1-4-10</v>
      </c>
      <c r="G67" t="str">
        <f>SmtRes!K66</f>
        <v>Кислород технический газообразный</v>
      </c>
      <c r="H67" t="str">
        <f>SmtRes!O66</f>
        <v>м3</v>
      </c>
      <c r="I67">
        <f>SmtRes!Y66*Source!I125</f>
        <v>1.0488</v>
      </c>
      <c r="J67">
        <f>SmtRes!AO66</f>
        <v>1</v>
      </c>
      <c r="K67">
        <f>SmtRes!AE66</f>
        <v>89.3</v>
      </c>
      <c r="L67">
        <f>SmtRes!DB66</f>
        <v>135.74</v>
      </c>
      <c r="M67">
        <f>ROUND(ROUND(L67*Source!I125, 6)*1, 2)</f>
        <v>93.66</v>
      </c>
      <c r="N67">
        <f>SmtRes!AA66</f>
        <v>89.3</v>
      </c>
      <c r="O67">
        <f>ROUND(ROUND(L67*Source!I125, 6)*SmtRes!DA66, 2)</f>
        <v>93.66</v>
      </c>
      <c r="P67">
        <f>SmtRes!AG66</f>
        <v>0</v>
      </c>
      <c r="Q67">
        <f>SmtRes!DC66</f>
        <v>0</v>
      </c>
      <c r="R67">
        <f>ROUND(ROUND(Q67*Source!I125, 6)*1, 2)</f>
        <v>0</v>
      </c>
      <c r="S67">
        <f>SmtRes!AC66</f>
        <v>0</v>
      </c>
      <c r="T67">
        <f>ROUND(ROUND(Q67*Source!I125, 6)*SmtRes!AK66, 2)</f>
        <v>0</v>
      </c>
      <c r="U67">
        <v>3</v>
      </c>
      <c r="Z67">
        <f>SmtRes!X66</f>
        <v>622145326</v>
      </c>
      <c r="AA67">
        <v>-1044114203</v>
      </c>
      <c r="AB67">
        <v>1071009136</v>
      </c>
    </row>
    <row r="68" spans="1:28" x14ac:dyDescent="0.2">
      <c r="A68">
        <v>20</v>
      </c>
      <c r="B68">
        <v>65</v>
      </c>
      <c r="C68">
        <v>2</v>
      </c>
      <c r="D68">
        <v>0</v>
      </c>
      <c r="E68">
        <f>SmtRes!AV65</f>
        <v>0</v>
      </c>
      <c r="F68" t="str">
        <f>SmtRes!I65</f>
        <v>22.1-13-16</v>
      </c>
      <c r="G68" t="str">
        <f>SmtRes!K65</f>
        <v>Аппараты для газовой сварки и резки</v>
      </c>
      <c r="H68" t="str">
        <f>SmtRes!O65</f>
        <v>маш.-ч</v>
      </c>
      <c r="I68">
        <f>SmtRes!Y65*Source!I125</f>
        <v>5.5061999999999998</v>
      </c>
      <c r="J68">
        <f>SmtRes!AO65</f>
        <v>1</v>
      </c>
      <c r="K68">
        <f>SmtRes!AF65</f>
        <v>7.29</v>
      </c>
      <c r="L68">
        <f>SmtRes!DB65</f>
        <v>58.17</v>
      </c>
      <c r="M68">
        <f>ROUND(ROUND(L68*Source!I125, 6)*1, 2)</f>
        <v>40.14</v>
      </c>
      <c r="N68">
        <f>SmtRes!AB65</f>
        <v>7.29</v>
      </c>
      <c r="O68">
        <f>ROUND(ROUND(L68*Source!I125, 6)*SmtRes!DA65, 2)</f>
        <v>40.14</v>
      </c>
      <c r="P68">
        <f>SmtRes!AG65</f>
        <v>0.24</v>
      </c>
      <c r="Q68">
        <f>SmtRes!DC65</f>
        <v>1.92</v>
      </c>
      <c r="R68">
        <f>ROUND(ROUND(Q68*Source!I125, 6)*1, 2)</f>
        <v>1.32</v>
      </c>
      <c r="S68">
        <f>SmtRes!AC65</f>
        <v>0.24</v>
      </c>
      <c r="T68">
        <f>ROUND(ROUND(Q68*Source!I125, 6)*SmtRes!AK65, 2)</f>
        <v>1.32</v>
      </c>
      <c r="U68">
        <v>2</v>
      </c>
      <c r="Z68">
        <f>SmtRes!X65</f>
        <v>-165772356</v>
      </c>
      <c r="AA68">
        <v>1550769046</v>
      </c>
      <c r="AB68">
        <v>-171391457</v>
      </c>
    </row>
    <row r="69" spans="1:28" x14ac:dyDescent="0.2">
      <c r="A69">
        <v>20</v>
      </c>
      <c r="B69">
        <v>77</v>
      </c>
      <c r="C69">
        <v>3</v>
      </c>
      <c r="D69">
        <v>0</v>
      </c>
      <c r="E69">
        <f>SmtRes!AV77</f>
        <v>0</v>
      </c>
      <c r="F69" t="str">
        <f>SmtRes!I77</f>
        <v>21.3-2-15</v>
      </c>
      <c r="G69" t="str">
        <f>SmtRes!K77</f>
        <v>Растворы цементные, марка 100</v>
      </c>
      <c r="H69" t="str">
        <f>SmtRes!O77</f>
        <v>м3</v>
      </c>
      <c r="I69">
        <f>SmtRes!Y77*Source!I126</f>
        <v>4.4099999999999999E-3</v>
      </c>
      <c r="J69">
        <f>SmtRes!AO77</f>
        <v>1</v>
      </c>
      <c r="K69">
        <f>SmtRes!AE77</f>
        <v>4969.8599999999997</v>
      </c>
      <c r="L69">
        <f>SmtRes!DB77</f>
        <v>34.79</v>
      </c>
      <c r="M69">
        <f>ROUND(ROUND(L69*Source!I126, 6)*1, 2)</f>
        <v>21.92</v>
      </c>
      <c r="N69">
        <f>SmtRes!AA77</f>
        <v>4969.8599999999997</v>
      </c>
      <c r="O69">
        <f>ROUND(ROUND(L69*Source!I126, 6)*SmtRes!DA77, 2)</f>
        <v>21.92</v>
      </c>
      <c r="P69">
        <f>SmtRes!AG77</f>
        <v>0</v>
      </c>
      <c r="Q69">
        <f>SmtRes!DC77</f>
        <v>0</v>
      </c>
      <c r="R69">
        <f>ROUND(ROUND(Q69*Source!I126, 6)*1, 2)</f>
        <v>0</v>
      </c>
      <c r="S69">
        <f>SmtRes!AC77</f>
        <v>0</v>
      </c>
      <c r="T69">
        <f>ROUND(ROUND(Q69*Source!I126, 6)*SmtRes!AK77, 2)</f>
        <v>0</v>
      </c>
      <c r="U69">
        <v>3</v>
      </c>
      <c r="Z69">
        <f>SmtRes!X77</f>
        <v>2013185010</v>
      </c>
      <c r="AA69">
        <v>-1091799724</v>
      </c>
      <c r="AB69">
        <v>-158112489</v>
      </c>
    </row>
    <row r="70" spans="1:28" x14ac:dyDescent="0.2">
      <c r="A70">
        <v>20</v>
      </c>
      <c r="B70">
        <v>76</v>
      </c>
      <c r="C70">
        <v>3</v>
      </c>
      <c r="D70">
        <v>0</v>
      </c>
      <c r="E70">
        <f>SmtRes!AV76</f>
        <v>0</v>
      </c>
      <c r="F70" t="str">
        <f>SmtRes!I76</f>
        <v>21.1-4-2</v>
      </c>
      <c r="G70" t="str">
        <f>SmtRes!K76</f>
        <v>Ацетилен технический</v>
      </c>
      <c r="H70" t="str">
        <f>SmtRes!O76</f>
        <v>м3</v>
      </c>
      <c r="I70">
        <f>SmtRes!Y76*Source!I126</f>
        <v>0.25829999999999997</v>
      </c>
      <c r="J70">
        <f>SmtRes!AO76</f>
        <v>1</v>
      </c>
      <c r="K70">
        <f>SmtRes!AE76</f>
        <v>698.15</v>
      </c>
      <c r="L70">
        <f>SmtRes!DB76</f>
        <v>286.24</v>
      </c>
      <c r="M70">
        <f>ROUND(ROUND(L70*Source!I126, 6)*1, 2)</f>
        <v>180.33</v>
      </c>
      <c r="N70">
        <f>SmtRes!AA76</f>
        <v>698.15</v>
      </c>
      <c r="O70">
        <f>ROUND(ROUND(L70*Source!I126, 6)*SmtRes!DA76, 2)</f>
        <v>180.33</v>
      </c>
      <c r="P70">
        <f>SmtRes!AG76</f>
        <v>0</v>
      </c>
      <c r="Q70">
        <f>SmtRes!DC76</f>
        <v>0</v>
      </c>
      <c r="R70">
        <f>ROUND(ROUND(Q70*Source!I126, 6)*1, 2)</f>
        <v>0</v>
      </c>
      <c r="S70">
        <f>SmtRes!AC76</f>
        <v>0</v>
      </c>
      <c r="T70">
        <f>ROUND(ROUND(Q70*Source!I126, 6)*SmtRes!AK76, 2)</f>
        <v>0</v>
      </c>
      <c r="U70">
        <v>3</v>
      </c>
      <c r="Z70">
        <f>SmtRes!X76</f>
        <v>1431951903</v>
      </c>
      <c r="AA70">
        <v>-1607297158</v>
      </c>
      <c r="AB70">
        <v>-898340418</v>
      </c>
    </row>
    <row r="71" spans="1:28" x14ac:dyDescent="0.2">
      <c r="A71">
        <v>20</v>
      </c>
      <c r="B71">
        <v>75</v>
      </c>
      <c r="C71">
        <v>3</v>
      </c>
      <c r="D71">
        <v>0</v>
      </c>
      <c r="E71">
        <f>SmtRes!AV75</f>
        <v>0</v>
      </c>
      <c r="F71" t="str">
        <f>SmtRes!I75</f>
        <v>21.1-4-10</v>
      </c>
      <c r="G71" t="str">
        <f>SmtRes!K75</f>
        <v>Кислород технический газообразный</v>
      </c>
      <c r="H71" t="str">
        <f>SmtRes!O75</f>
        <v>м3</v>
      </c>
      <c r="I71">
        <f>SmtRes!Y75*Source!I126</f>
        <v>0.28350000000000003</v>
      </c>
      <c r="J71">
        <f>SmtRes!AO75</f>
        <v>1</v>
      </c>
      <c r="K71">
        <f>SmtRes!AE75</f>
        <v>89.3</v>
      </c>
      <c r="L71">
        <f>SmtRes!DB75</f>
        <v>40.19</v>
      </c>
      <c r="M71">
        <f>ROUND(ROUND(L71*Source!I126, 6)*1, 2)</f>
        <v>25.32</v>
      </c>
      <c r="N71">
        <f>SmtRes!AA75</f>
        <v>89.3</v>
      </c>
      <c r="O71">
        <f>ROUND(ROUND(L71*Source!I126, 6)*SmtRes!DA75, 2)</f>
        <v>25.32</v>
      </c>
      <c r="P71">
        <f>SmtRes!AG75</f>
        <v>0</v>
      </c>
      <c r="Q71">
        <f>SmtRes!DC75</f>
        <v>0</v>
      </c>
      <c r="R71">
        <f>ROUND(ROUND(Q71*Source!I126, 6)*1, 2)</f>
        <v>0</v>
      </c>
      <c r="S71">
        <f>SmtRes!AC75</f>
        <v>0</v>
      </c>
      <c r="T71">
        <f>ROUND(ROUND(Q71*Source!I126, 6)*SmtRes!AK75, 2)</f>
        <v>0</v>
      </c>
      <c r="U71">
        <v>3</v>
      </c>
      <c r="Z71">
        <f>SmtRes!X75</f>
        <v>622145326</v>
      </c>
      <c r="AA71">
        <v>-1044114203</v>
      </c>
      <c r="AB71">
        <v>1071009136</v>
      </c>
    </row>
    <row r="72" spans="1:28" x14ac:dyDescent="0.2">
      <c r="A72">
        <v>20</v>
      </c>
      <c r="B72">
        <v>74</v>
      </c>
      <c r="C72">
        <v>3</v>
      </c>
      <c r="D72">
        <v>0</v>
      </c>
      <c r="E72">
        <f>SmtRes!AV74</f>
        <v>0</v>
      </c>
      <c r="F72" t="str">
        <f>SmtRes!I74</f>
        <v>21.1-25-13</v>
      </c>
      <c r="G72" t="str">
        <f>SmtRes!K74</f>
        <v>Вода</v>
      </c>
      <c r="H72" t="str">
        <f>SmtRes!O74</f>
        <v>м3</v>
      </c>
      <c r="I72">
        <f>SmtRes!Y74*Source!I126</f>
        <v>2.9232</v>
      </c>
      <c r="J72">
        <f>SmtRes!AO74</f>
        <v>1</v>
      </c>
      <c r="K72">
        <f>SmtRes!AE74</f>
        <v>49.83</v>
      </c>
      <c r="L72">
        <f>SmtRes!DB74</f>
        <v>231.21</v>
      </c>
      <c r="M72">
        <f>ROUND(ROUND(L72*Source!I126, 6)*1, 2)</f>
        <v>145.66</v>
      </c>
      <c r="N72">
        <f>SmtRes!AA74</f>
        <v>49.83</v>
      </c>
      <c r="O72">
        <f>ROUND(ROUND(L72*Source!I126, 6)*SmtRes!DA74, 2)</f>
        <v>145.66</v>
      </c>
      <c r="P72">
        <f>SmtRes!AG74</f>
        <v>0</v>
      </c>
      <c r="Q72">
        <f>SmtRes!DC74</f>
        <v>0</v>
      </c>
      <c r="R72">
        <f>ROUND(ROUND(Q72*Source!I126, 6)*1, 2)</f>
        <v>0</v>
      </c>
      <c r="S72">
        <f>SmtRes!AC74</f>
        <v>0</v>
      </c>
      <c r="T72">
        <f>ROUND(ROUND(Q72*Source!I126, 6)*SmtRes!AK74, 2)</f>
        <v>0</v>
      </c>
      <c r="U72">
        <v>3</v>
      </c>
      <c r="Z72">
        <f>SmtRes!X74</f>
        <v>-1393929784</v>
      </c>
      <c r="AA72">
        <v>-568288822</v>
      </c>
      <c r="AB72">
        <v>-1097784124</v>
      </c>
    </row>
    <row r="73" spans="1:28" x14ac:dyDescent="0.2">
      <c r="A73">
        <v>20</v>
      </c>
      <c r="B73">
        <v>73</v>
      </c>
      <c r="C73">
        <v>3</v>
      </c>
      <c r="D73">
        <v>0</v>
      </c>
      <c r="E73">
        <f>SmtRes!AV73</f>
        <v>0</v>
      </c>
      <c r="F73" t="str">
        <f>SmtRes!I73</f>
        <v>21.1-23-1</v>
      </c>
      <c r="G73" t="str">
        <f>SmtRes!K73</f>
        <v>Проволока сварочная, марка СВ-08 Г2С, диаметр 2 мм</v>
      </c>
      <c r="H73" t="str">
        <f>SmtRes!O73</f>
        <v>кг</v>
      </c>
      <c r="I73">
        <f>SmtRes!Y73*Source!I126</f>
        <v>1.8899999999999999E-4</v>
      </c>
      <c r="J73">
        <f>SmtRes!AO73</f>
        <v>1</v>
      </c>
      <c r="K73">
        <f>SmtRes!AE73</f>
        <v>168.83</v>
      </c>
      <c r="L73">
        <f>SmtRes!DB73</f>
        <v>0.05</v>
      </c>
      <c r="M73">
        <f>ROUND(ROUND(L73*Source!I126, 6)*1, 2)</f>
        <v>0.03</v>
      </c>
      <c r="N73">
        <f>SmtRes!AA73</f>
        <v>168.83</v>
      </c>
      <c r="O73">
        <f>ROUND(ROUND(L73*Source!I126, 6)*SmtRes!DA73, 2)</f>
        <v>0.03</v>
      </c>
      <c r="P73">
        <f>SmtRes!AG73</f>
        <v>0</v>
      </c>
      <c r="Q73">
        <f>SmtRes!DC73</f>
        <v>0</v>
      </c>
      <c r="R73">
        <f>ROUND(ROUND(Q73*Source!I126, 6)*1, 2)</f>
        <v>0</v>
      </c>
      <c r="S73">
        <f>SmtRes!AC73</f>
        <v>0</v>
      </c>
      <c r="T73">
        <f>ROUND(ROUND(Q73*Source!I126, 6)*SmtRes!AK73, 2)</f>
        <v>0</v>
      </c>
      <c r="U73">
        <v>3</v>
      </c>
      <c r="Z73">
        <f>SmtRes!X73</f>
        <v>737612236</v>
      </c>
      <c r="AA73">
        <v>-997112126</v>
      </c>
      <c r="AB73">
        <v>2084596214</v>
      </c>
    </row>
    <row r="74" spans="1:28" x14ac:dyDescent="0.2">
      <c r="A74">
        <v>20</v>
      </c>
      <c r="B74">
        <v>70</v>
      </c>
      <c r="C74">
        <v>3</v>
      </c>
      <c r="D74">
        <v>0</v>
      </c>
      <c r="E74">
        <f>SmtRes!AV70</f>
        <v>0</v>
      </c>
      <c r="F74" t="str">
        <f>SmtRes!I70</f>
        <v>21.1-16-29</v>
      </c>
      <c r="G74" t="str">
        <f>SmtRes!K70</f>
        <v>Известь хлорная</v>
      </c>
      <c r="H74" t="str">
        <f>SmtRes!O70</f>
        <v>кг</v>
      </c>
      <c r="I74">
        <f>SmtRes!Y70*Source!I126</f>
        <v>1.0458E-2</v>
      </c>
      <c r="J74">
        <f>SmtRes!AO70</f>
        <v>1</v>
      </c>
      <c r="K74">
        <f>SmtRes!AE70</f>
        <v>67.221419999999995</v>
      </c>
      <c r="L74">
        <f>SmtRes!DB70</f>
        <v>1.1200000000000001</v>
      </c>
      <c r="M74">
        <f>ROUND(ROUND(L74*Source!I126, 6)*1, 2)</f>
        <v>0.71</v>
      </c>
      <c r="N74">
        <f>SmtRes!AA70</f>
        <v>67.22</v>
      </c>
      <c r="O74">
        <f>ROUND(ROUND(L74*Source!I126, 6)*SmtRes!DA70, 2)</f>
        <v>0.71</v>
      </c>
      <c r="P74">
        <f>SmtRes!AG70</f>
        <v>0</v>
      </c>
      <c r="Q74">
        <f>SmtRes!DC70</f>
        <v>0</v>
      </c>
      <c r="R74">
        <f>ROUND(ROUND(Q74*Source!I126, 6)*1, 2)</f>
        <v>0</v>
      </c>
      <c r="S74">
        <f>SmtRes!AC70</f>
        <v>0</v>
      </c>
      <c r="T74">
        <f>ROUND(ROUND(Q74*Source!I126, 6)*SmtRes!AK70, 2)</f>
        <v>0</v>
      </c>
      <c r="U74">
        <v>3</v>
      </c>
      <c r="Z74">
        <f>SmtRes!X70</f>
        <v>-1881013310</v>
      </c>
      <c r="AA74">
        <v>179701323</v>
      </c>
      <c r="AB74">
        <v>349078931</v>
      </c>
    </row>
    <row r="75" spans="1:28" x14ac:dyDescent="0.2">
      <c r="A75">
        <v>20</v>
      </c>
      <c r="B75">
        <v>69</v>
      </c>
      <c r="C75">
        <v>2</v>
      </c>
      <c r="D75">
        <v>0</v>
      </c>
      <c r="E75">
        <f>SmtRes!AV69</f>
        <v>0</v>
      </c>
      <c r="F75" t="str">
        <f>SmtRes!I69</f>
        <v>22.1-13-16</v>
      </c>
      <c r="G75" t="str">
        <f>SmtRes!K69</f>
        <v>Аппараты для газовой сварки и резки</v>
      </c>
      <c r="H75" t="str">
        <f>SmtRes!O69</f>
        <v>маш.-ч</v>
      </c>
      <c r="I75">
        <f>SmtRes!Y69*Source!I126</f>
        <v>13.0725</v>
      </c>
      <c r="J75">
        <f>SmtRes!AO69</f>
        <v>1</v>
      </c>
      <c r="K75">
        <f>SmtRes!AF69</f>
        <v>7.29</v>
      </c>
      <c r="L75">
        <f>SmtRes!DB69</f>
        <v>151.27000000000001</v>
      </c>
      <c r="M75">
        <f>ROUND(ROUND(L75*Source!I126, 6)*1, 2)</f>
        <v>95.3</v>
      </c>
      <c r="N75">
        <f>SmtRes!AB69</f>
        <v>7.29</v>
      </c>
      <c r="O75">
        <f>ROUND(ROUND(L75*Source!I126, 6)*SmtRes!DA69, 2)</f>
        <v>95.3</v>
      </c>
      <c r="P75">
        <f>SmtRes!AG69</f>
        <v>0.24</v>
      </c>
      <c r="Q75">
        <f>SmtRes!DC69</f>
        <v>4.9800000000000004</v>
      </c>
      <c r="R75">
        <f>ROUND(ROUND(Q75*Source!I126, 6)*1, 2)</f>
        <v>3.14</v>
      </c>
      <c r="S75">
        <f>SmtRes!AC69</f>
        <v>0.24</v>
      </c>
      <c r="T75">
        <f>ROUND(ROUND(Q75*Source!I126, 6)*SmtRes!AK69, 2)</f>
        <v>3.14</v>
      </c>
      <c r="U75">
        <v>2</v>
      </c>
      <c r="Z75">
        <f>SmtRes!X69</f>
        <v>-165772356</v>
      </c>
      <c r="AA75">
        <v>1550769046</v>
      </c>
      <c r="AB75">
        <v>-171391457</v>
      </c>
    </row>
    <row r="76" spans="1:28" x14ac:dyDescent="0.2">
      <c r="A76">
        <f>Source!A127</f>
        <v>18</v>
      </c>
      <c r="B76">
        <v>127</v>
      </c>
      <c r="C76">
        <v>3</v>
      </c>
      <c r="D76">
        <f>Source!BI127</f>
        <v>4</v>
      </c>
      <c r="E76">
        <f>Source!FS127</f>
        <v>0</v>
      </c>
      <c r="F76" t="str">
        <f>Source!F127</f>
        <v>21.12-1-12</v>
      </c>
      <c r="G76" t="str">
        <f>Source!G127</f>
        <v>Узлы трубопроводов из стальных водогазопроводных оцинкованных труб с гильзами для водоснабжения, диаметр условного прохода 50мм</v>
      </c>
      <c r="H76" t="str">
        <f>Source!H127</f>
        <v>м</v>
      </c>
      <c r="I76">
        <f>Source!I127</f>
        <v>63</v>
      </c>
      <c r="J76">
        <v>1</v>
      </c>
      <c r="K76">
        <f>Source!AC127</f>
        <v>765.86</v>
      </c>
      <c r="M76">
        <f>ROUND(K76*I76, 2)</f>
        <v>48249.18</v>
      </c>
      <c r="N76">
        <f>Source!AC127*IF(Source!BC127&lt;&gt; 0, Source!BC127, 1)</f>
        <v>765.86</v>
      </c>
      <c r="O76">
        <f>ROUND(N76*I76, 2)</f>
        <v>48249.18</v>
      </c>
      <c r="P76">
        <f>Source!AE127</f>
        <v>0</v>
      </c>
      <c r="R76">
        <f>ROUND(P76*I76, 2)</f>
        <v>0</v>
      </c>
      <c r="S76">
        <f>Source!AE127*IF(Source!BS127&lt;&gt; 0, Source!BS127, 1)</f>
        <v>0</v>
      </c>
      <c r="T76">
        <f>ROUND(S76*I76, 2)</f>
        <v>0</v>
      </c>
      <c r="U76">
        <v>3</v>
      </c>
      <c r="Z76">
        <f>Source!GF127</f>
        <v>1423491498</v>
      </c>
      <c r="AA76">
        <v>-673443374</v>
      </c>
      <c r="AB76">
        <v>-687878730</v>
      </c>
    </row>
    <row r="77" spans="1:28" x14ac:dyDescent="0.2">
      <c r="A77">
        <v>20</v>
      </c>
      <c r="B77">
        <v>87</v>
      </c>
      <c r="C77">
        <v>3</v>
      </c>
      <c r="D77">
        <v>0</v>
      </c>
      <c r="E77">
        <f>SmtRes!AV87</f>
        <v>0</v>
      </c>
      <c r="F77" t="str">
        <f>SmtRes!I87</f>
        <v>21.3-2-15</v>
      </c>
      <c r="G77" t="str">
        <f>SmtRes!K87</f>
        <v>Растворы цементные, марка 100</v>
      </c>
      <c r="H77" t="str">
        <f>SmtRes!O87</f>
        <v>м3</v>
      </c>
      <c r="I77">
        <f>SmtRes!Y87*Source!I129</f>
        <v>1.4489999999999999E-2</v>
      </c>
      <c r="J77">
        <f>SmtRes!AO87</f>
        <v>1</v>
      </c>
      <c r="K77">
        <f>SmtRes!AE87</f>
        <v>4969.8599999999997</v>
      </c>
      <c r="L77">
        <f>SmtRes!DB87</f>
        <v>104.37</v>
      </c>
      <c r="M77">
        <f>ROUND(ROUND(L77*Source!I129, 6)*1, 2)</f>
        <v>72.02</v>
      </c>
      <c r="N77">
        <f>SmtRes!AA87</f>
        <v>4969.8599999999997</v>
      </c>
      <c r="O77">
        <f>ROUND(ROUND(L77*Source!I129, 6)*SmtRes!DA87, 2)</f>
        <v>72.02</v>
      </c>
      <c r="P77">
        <f>SmtRes!AG87</f>
        <v>0</v>
      </c>
      <c r="Q77">
        <f>SmtRes!DC87</f>
        <v>0</v>
      </c>
      <c r="R77">
        <f>ROUND(ROUND(Q77*Source!I129, 6)*1, 2)</f>
        <v>0</v>
      </c>
      <c r="S77">
        <f>SmtRes!AC87</f>
        <v>0</v>
      </c>
      <c r="T77">
        <f>ROUND(ROUND(Q77*Source!I129, 6)*SmtRes!AK87, 2)</f>
        <v>0</v>
      </c>
      <c r="U77">
        <v>3</v>
      </c>
      <c r="Z77">
        <f>SmtRes!X87</f>
        <v>2013185010</v>
      </c>
      <c r="AA77">
        <v>-1091799724</v>
      </c>
      <c r="AB77">
        <v>-158112489</v>
      </c>
    </row>
    <row r="78" spans="1:28" x14ac:dyDescent="0.2">
      <c r="A78">
        <v>20</v>
      </c>
      <c r="B78">
        <v>86</v>
      </c>
      <c r="C78">
        <v>3</v>
      </c>
      <c r="D78">
        <v>0</v>
      </c>
      <c r="E78">
        <f>SmtRes!AV86</f>
        <v>0</v>
      </c>
      <c r="F78" t="str">
        <f>SmtRes!I86</f>
        <v>21.1-4-2</v>
      </c>
      <c r="G78" t="str">
        <f>SmtRes!K86</f>
        <v>Ацетилен технический</v>
      </c>
      <c r="H78" t="str">
        <f>SmtRes!O86</f>
        <v>м3</v>
      </c>
      <c r="I78">
        <f>SmtRes!Y86*Source!I129</f>
        <v>0.42089999999999994</v>
      </c>
      <c r="J78">
        <f>SmtRes!AO86</f>
        <v>1</v>
      </c>
      <c r="K78">
        <f>SmtRes!AE86</f>
        <v>698.15</v>
      </c>
      <c r="L78">
        <f>SmtRes!DB86</f>
        <v>425.87</v>
      </c>
      <c r="M78">
        <f>ROUND(ROUND(L78*Source!I129, 6)*1, 2)</f>
        <v>293.85000000000002</v>
      </c>
      <c r="N78">
        <f>SmtRes!AA86</f>
        <v>698.15</v>
      </c>
      <c r="O78">
        <f>ROUND(ROUND(L78*Source!I129, 6)*SmtRes!DA86, 2)</f>
        <v>293.85000000000002</v>
      </c>
      <c r="P78">
        <f>SmtRes!AG86</f>
        <v>0</v>
      </c>
      <c r="Q78">
        <f>SmtRes!DC86</f>
        <v>0</v>
      </c>
      <c r="R78">
        <f>ROUND(ROUND(Q78*Source!I129, 6)*1, 2)</f>
        <v>0</v>
      </c>
      <c r="S78">
        <f>SmtRes!AC86</f>
        <v>0</v>
      </c>
      <c r="T78">
        <f>ROUND(ROUND(Q78*Source!I129, 6)*SmtRes!AK86, 2)</f>
        <v>0</v>
      </c>
      <c r="U78">
        <v>3</v>
      </c>
      <c r="Z78">
        <f>SmtRes!X86</f>
        <v>1431951903</v>
      </c>
      <c r="AA78">
        <v>-1607297158</v>
      </c>
      <c r="AB78">
        <v>-898340418</v>
      </c>
    </row>
    <row r="79" spans="1:28" x14ac:dyDescent="0.2">
      <c r="A79">
        <v>20</v>
      </c>
      <c r="B79">
        <v>85</v>
      </c>
      <c r="C79">
        <v>3</v>
      </c>
      <c r="D79">
        <v>0</v>
      </c>
      <c r="E79">
        <f>SmtRes!AV85</f>
        <v>0</v>
      </c>
      <c r="F79" t="str">
        <f>SmtRes!I85</f>
        <v>21.1-4-10</v>
      </c>
      <c r="G79" t="str">
        <f>SmtRes!K85</f>
        <v>Кислород технический газообразный</v>
      </c>
      <c r="H79" t="str">
        <f>SmtRes!O85</f>
        <v>м3</v>
      </c>
      <c r="I79">
        <f>SmtRes!Y85*Source!I129</f>
        <v>0.46229999999999999</v>
      </c>
      <c r="J79">
        <f>SmtRes!AO85</f>
        <v>1</v>
      </c>
      <c r="K79">
        <f>SmtRes!AE85</f>
        <v>89.3</v>
      </c>
      <c r="L79">
        <f>SmtRes!DB85</f>
        <v>59.83</v>
      </c>
      <c r="M79">
        <f>ROUND(ROUND(L79*Source!I129, 6)*1, 2)</f>
        <v>41.28</v>
      </c>
      <c r="N79">
        <f>SmtRes!AA85</f>
        <v>89.3</v>
      </c>
      <c r="O79">
        <f>ROUND(ROUND(L79*Source!I129, 6)*SmtRes!DA85, 2)</f>
        <v>41.28</v>
      </c>
      <c r="P79">
        <f>SmtRes!AG85</f>
        <v>0</v>
      </c>
      <c r="Q79">
        <f>SmtRes!DC85</f>
        <v>0</v>
      </c>
      <c r="R79">
        <f>ROUND(ROUND(Q79*Source!I129, 6)*1, 2)</f>
        <v>0</v>
      </c>
      <c r="S79">
        <f>SmtRes!AC85</f>
        <v>0</v>
      </c>
      <c r="T79">
        <f>ROUND(ROUND(Q79*Source!I129, 6)*SmtRes!AK85, 2)</f>
        <v>0</v>
      </c>
      <c r="U79">
        <v>3</v>
      </c>
      <c r="Z79">
        <f>SmtRes!X85</f>
        <v>622145326</v>
      </c>
      <c r="AA79">
        <v>-1044114203</v>
      </c>
      <c r="AB79">
        <v>1071009136</v>
      </c>
    </row>
    <row r="80" spans="1:28" x14ac:dyDescent="0.2">
      <c r="A80">
        <v>20</v>
      </c>
      <c r="B80">
        <v>84</v>
      </c>
      <c r="C80">
        <v>3</v>
      </c>
      <c r="D80">
        <v>0</v>
      </c>
      <c r="E80">
        <f>SmtRes!AV84</f>
        <v>0</v>
      </c>
      <c r="F80" t="str">
        <f>SmtRes!I84</f>
        <v>21.1-25-13</v>
      </c>
      <c r="G80" t="str">
        <f>SmtRes!K84</f>
        <v>Вода</v>
      </c>
      <c r="H80" t="str">
        <f>SmtRes!O84</f>
        <v>м3</v>
      </c>
      <c r="I80">
        <f>SmtRes!Y84*Source!I129</f>
        <v>4.8506999999999998</v>
      </c>
      <c r="J80">
        <f>SmtRes!AO84</f>
        <v>1</v>
      </c>
      <c r="K80">
        <f>SmtRes!AE84</f>
        <v>49.83</v>
      </c>
      <c r="L80">
        <f>SmtRes!DB84</f>
        <v>350.3</v>
      </c>
      <c r="M80">
        <f>ROUND(ROUND(L80*Source!I129, 6)*1, 2)</f>
        <v>241.71</v>
      </c>
      <c r="N80">
        <f>SmtRes!AA84</f>
        <v>49.83</v>
      </c>
      <c r="O80">
        <f>ROUND(ROUND(L80*Source!I129, 6)*SmtRes!DA84, 2)</f>
        <v>241.71</v>
      </c>
      <c r="P80">
        <f>SmtRes!AG84</f>
        <v>0</v>
      </c>
      <c r="Q80">
        <f>SmtRes!DC84</f>
        <v>0</v>
      </c>
      <c r="R80">
        <f>ROUND(ROUND(Q80*Source!I129, 6)*1, 2)</f>
        <v>0</v>
      </c>
      <c r="S80">
        <f>SmtRes!AC84</f>
        <v>0</v>
      </c>
      <c r="T80">
        <f>ROUND(ROUND(Q80*Source!I129, 6)*SmtRes!AK84, 2)</f>
        <v>0</v>
      </c>
      <c r="U80">
        <v>3</v>
      </c>
      <c r="Z80">
        <f>SmtRes!X84</f>
        <v>-1393929784</v>
      </c>
      <c r="AA80">
        <v>-568288822</v>
      </c>
      <c r="AB80">
        <v>-1097784124</v>
      </c>
    </row>
    <row r="81" spans="1:28" x14ac:dyDescent="0.2">
      <c r="A81">
        <v>20</v>
      </c>
      <c r="B81">
        <v>83</v>
      </c>
      <c r="C81">
        <v>3</v>
      </c>
      <c r="D81">
        <v>0</v>
      </c>
      <c r="E81">
        <f>SmtRes!AV83</f>
        <v>0</v>
      </c>
      <c r="F81" t="str">
        <f>SmtRes!I83</f>
        <v>21.1-23-1</v>
      </c>
      <c r="G81" t="str">
        <f>SmtRes!K83</f>
        <v>Проволока сварочная, марка СВ-08 Г2С, диаметр 2 мм</v>
      </c>
      <c r="H81" t="str">
        <f>SmtRes!O83</f>
        <v>кг</v>
      </c>
      <c r="I81">
        <f>SmtRes!Y83*Source!I129</f>
        <v>3.4499999999999998E-4</v>
      </c>
      <c r="J81">
        <f>SmtRes!AO83</f>
        <v>1</v>
      </c>
      <c r="K81">
        <f>SmtRes!AE83</f>
        <v>168.83</v>
      </c>
      <c r="L81">
        <f>SmtRes!DB83</f>
        <v>0.08</v>
      </c>
      <c r="M81">
        <f>ROUND(ROUND(L81*Source!I129, 6)*1, 2)</f>
        <v>0.06</v>
      </c>
      <c r="N81">
        <f>SmtRes!AA83</f>
        <v>168.83</v>
      </c>
      <c r="O81">
        <f>ROUND(ROUND(L81*Source!I129, 6)*SmtRes!DA83, 2)</f>
        <v>0.06</v>
      </c>
      <c r="P81">
        <f>SmtRes!AG83</f>
        <v>0</v>
      </c>
      <c r="Q81">
        <f>SmtRes!DC83</f>
        <v>0</v>
      </c>
      <c r="R81">
        <f>ROUND(ROUND(Q81*Source!I129, 6)*1, 2)</f>
        <v>0</v>
      </c>
      <c r="S81">
        <f>SmtRes!AC83</f>
        <v>0</v>
      </c>
      <c r="T81">
        <f>ROUND(ROUND(Q81*Source!I129, 6)*SmtRes!AK83, 2)</f>
        <v>0</v>
      </c>
      <c r="U81">
        <v>3</v>
      </c>
      <c r="Z81">
        <f>SmtRes!X83</f>
        <v>737612236</v>
      </c>
      <c r="AA81">
        <v>-997112126</v>
      </c>
      <c r="AB81">
        <v>2084596214</v>
      </c>
    </row>
    <row r="82" spans="1:28" x14ac:dyDescent="0.2">
      <c r="A82">
        <v>20</v>
      </c>
      <c r="B82">
        <v>80</v>
      </c>
      <c r="C82">
        <v>3</v>
      </c>
      <c r="D82">
        <v>0</v>
      </c>
      <c r="E82">
        <f>SmtRes!AV80</f>
        <v>0</v>
      </c>
      <c r="F82" t="str">
        <f>SmtRes!I80</f>
        <v>21.1-16-29</v>
      </c>
      <c r="G82" t="str">
        <f>SmtRes!K80</f>
        <v>Известь хлорная</v>
      </c>
      <c r="H82" t="str">
        <f>SmtRes!O80</f>
        <v>кг</v>
      </c>
      <c r="I82">
        <f>SmtRes!Y80*Source!I129</f>
        <v>1.7318999999999998E-2</v>
      </c>
      <c r="J82">
        <f>SmtRes!AO80</f>
        <v>1</v>
      </c>
      <c r="K82">
        <f>SmtRes!AE80</f>
        <v>67.221419999999995</v>
      </c>
      <c r="L82">
        <f>SmtRes!DB80</f>
        <v>1.69</v>
      </c>
      <c r="M82">
        <f>ROUND(ROUND(L82*Source!I129, 6)*1, 2)</f>
        <v>1.17</v>
      </c>
      <c r="N82">
        <f>SmtRes!AA80</f>
        <v>67.22</v>
      </c>
      <c r="O82">
        <f>ROUND(ROUND(L82*Source!I129, 6)*SmtRes!DA80, 2)</f>
        <v>1.17</v>
      </c>
      <c r="P82">
        <f>SmtRes!AG80</f>
        <v>0</v>
      </c>
      <c r="Q82">
        <f>SmtRes!DC80</f>
        <v>0</v>
      </c>
      <c r="R82">
        <f>ROUND(ROUND(Q82*Source!I129, 6)*1, 2)</f>
        <v>0</v>
      </c>
      <c r="S82">
        <f>SmtRes!AC80</f>
        <v>0</v>
      </c>
      <c r="T82">
        <f>ROUND(ROUND(Q82*Source!I129, 6)*SmtRes!AK80, 2)</f>
        <v>0</v>
      </c>
      <c r="U82">
        <v>3</v>
      </c>
      <c r="Z82">
        <f>SmtRes!X80</f>
        <v>-1881013310</v>
      </c>
      <c r="AA82">
        <v>179701323</v>
      </c>
      <c r="AB82">
        <v>349078931</v>
      </c>
    </row>
    <row r="83" spans="1:28" x14ac:dyDescent="0.2">
      <c r="A83">
        <v>20</v>
      </c>
      <c r="B83">
        <v>79</v>
      </c>
      <c r="C83">
        <v>2</v>
      </c>
      <c r="D83">
        <v>0</v>
      </c>
      <c r="E83">
        <f>SmtRes!AV79</f>
        <v>0</v>
      </c>
      <c r="F83" t="str">
        <f>SmtRes!I79</f>
        <v>22.1-13-16</v>
      </c>
      <c r="G83" t="str">
        <f>SmtRes!K79</f>
        <v>Аппараты для газовой сварки и резки</v>
      </c>
      <c r="H83" t="str">
        <f>SmtRes!O79</f>
        <v>маш.-ч</v>
      </c>
      <c r="I83">
        <f>SmtRes!Y79*Source!I129</f>
        <v>25.957799999999995</v>
      </c>
      <c r="J83">
        <f>SmtRes!AO79</f>
        <v>1</v>
      </c>
      <c r="K83">
        <f>SmtRes!AF79</f>
        <v>7.29</v>
      </c>
      <c r="L83">
        <f>SmtRes!DB79</f>
        <v>274.25</v>
      </c>
      <c r="M83">
        <f>ROUND(ROUND(L83*Source!I129, 6)*1, 2)</f>
        <v>189.23</v>
      </c>
      <c r="N83">
        <f>SmtRes!AB79</f>
        <v>7.29</v>
      </c>
      <c r="O83">
        <f>ROUND(ROUND(L83*Source!I129, 6)*SmtRes!DA79, 2)</f>
        <v>189.23</v>
      </c>
      <c r="P83">
        <f>SmtRes!AG79</f>
        <v>0.24</v>
      </c>
      <c r="Q83">
        <f>SmtRes!DC79</f>
        <v>9.0299999999999994</v>
      </c>
      <c r="R83">
        <f>ROUND(ROUND(Q83*Source!I129, 6)*1, 2)</f>
        <v>6.23</v>
      </c>
      <c r="S83">
        <f>SmtRes!AC79</f>
        <v>0.24</v>
      </c>
      <c r="T83">
        <f>ROUND(ROUND(Q83*Source!I129, 6)*SmtRes!AK79, 2)</f>
        <v>6.23</v>
      </c>
      <c r="U83">
        <v>2</v>
      </c>
      <c r="Z83">
        <f>SmtRes!X79</f>
        <v>-165772356</v>
      </c>
      <c r="AA83">
        <v>1550769046</v>
      </c>
      <c r="AB83">
        <v>-171391457</v>
      </c>
    </row>
    <row r="84" spans="1:28" x14ac:dyDescent="0.2">
      <c r="A84">
        <f>Source!A130</f>
        <v>18</v>
      </c>
      <c r="B84">
        <v>130</v>
      </c>
      <c r="C84">
        <v>3</v>
      </c>
      <c r="D84">
        <f>Source!BI130</f>
        <v>4</v>
      </c>
      <c r="E84">
        <f>Source!FS130</f>
        <v>0</v>
      </c>
      <c r="F84" t="str">
        <f>Source!F130</f>
        <v>21.12-1-17</v>
      </c>
      <c r="G84" t="str">
        <f>Source!G130</f>
        <v>Узлы трубопроводов из стальных водогазопроводных оцинкованных труб с гильзами для водоснабжения, диаметр условного прохода 90мм</v>
      </c>
      <c r="H84" t="str">
        <f>Source!H130</f>
        <v>м</v>
      </c>
      <c r="I84">
        <f>Source!I130</f>
        <v>69</v>
      </c>
      <c r="J84">
        <v>1</v>
      </c>
      <c r="K84">
        <f>Source!AC130</f>
        <v>1896.47</v>
      </c>
      <c r="M84">
        <f>ROUND(K84*I84, 2)</f>
        <v>130856.43</v>
      </c>
      <c r="N84">
        <f>Source!AC130*IF(Source!BC130&lt;&gt; 0, Source!BC130, 1)</f>
        <v>1896.47</v>
      </c>
      <c r="O84">
        <f>ROUND(N84*I84, 2)</f>
        <v>130856.43</v>
      </c>
      <c r="P84">
        <f>Source!AE130</f>
        <v>0</v>
      </c>
      <c r="R84">
        <f>ROUND(P84*I84, 2)</f>
        <v>0</v>
      </c>
      <c r="S84">
        <f>Source!AE130*IF(Source!BS130&lt;&gt; 0, Source!BS130, 1)</f>
        <v>0</v>
      </c>
      <c r="T84">
        <f>ROUND(S84*I84, 2)</f>
        <v>0</v>
      </c>
      <c r="U84">
        <v>3</v>
      </c>
      <c r="Z84">
        <f>Source!GF130</f>
        <v>-514763295</v>
      </c>
      <c r="AA84">
        <v>1586983460</v>
      </c>
      <c r="AB84">
        <v>221030832</v>
      </c>
    </row>
    <row r="85" spans="1:28" x14ac:dyDescent="0.2">
      <c r="A85">
        <v>20</v>
      </c>
      <c r="B85">
        <v>99</v>
      </c>
      <c r="C85">
        <v>3</v>
      </c>
      <c r="D85">
        <v>0</v>
      </c>
      <c r="E85">
        <f>SmtRes!AV99</f>
        <v>0</v>
      </c>
      <c r="F85" t="str">
        <f>SmtRes!I99</f>
        <v>21.1-6-90</v>
      </c>
      <c r="G85" t="str">
        <f>SmtRes!K99</f>
        <v>Олифа для окраски комбинированная оксоль</v>
      </c>
      <c r="H85" t="str">
        <f>SmtRes!O99</f>
        <v>кг</v>
      </c>
      <c r="I85">
        <f>SmtRes!Y99*Source!I132</f>
        <v>0</v>
      </c>
      <c r="J85">
        <f>SmtRes!AO99</f>
        <v>1</v>
      </c>
      <c r="K85">
        <f>SmtRes!AE99</f>
        <v>92.85</v>
      </c>
      <c r="L85">
        <f>SmtRes!DB99</f>
        <v>57.57</v>
      </c>
      <c r="M85">
        <f>ROUND(ROUND(L85*Source!I132, 6)*1, 2)</f>
        <v>0</v>
      </c>
      <c r="N85">
        <f>SmtRes!AA99</f>
        <v>92.85</v>
      </c>
      <c r="O85">
        <f>ROUND(ROUND(L85*Source!I132, 6)*SmtRes!DA99, 2)</f>
        <v>0</v>
      </c>
      <c r="P85">
        <f>SmtRes!AG99</f>
        <v>0</v>
      </c>
      <c r="Q85">
        <f>SmtRes!DC99</f>
        <v>0</v>
      </c>
      <c r="R85">
        <f>ROUND(ROUND(Q85*Source!I132, 6)*1, 2)</f>
        <v>0</v>
      </c>
      <c r="S85">
        <f>SmtRes!AC99</f>
        <v>0</v>
      </c>
      <c r="T85">
        <f>ROUND(ROUND(Q85*Source!I132, 6)*SmtRes!AK99, 2)</f>
        <v>0</v>
      </c>
      <c r="U85">
        <v>3</v>
      </c>
      <c r="Z85">
        <f>SmtRes!X99</f>
        <v>-911552969</v>
      </c>
      <c r="AA85">
        <v>-272956015</v>
      </c>
      <c r="AB85">
        <v>-438707420</v>
      </c>
    </row>
    <row r="86" spans="1:28" x14ac:dyDescent="0.2">
      <c r="A86">
        <v>20</v>
      </c>
      <c r="B86">
        <v>98</v>
      </c>
      <c r="C86">
        <v>3</v>
      </c>
      <c r="D86">
        <v>0</v>
      </c>
      <c r="E86">
        <f>SmtRes!AV98</f>
        <v>0</v>
      </c>
      <c r="F86" t="str">
        <f>SmtRes!I98</f>
        <v>21.1-6-46</v>
      </c>
      <c r="G86" t="str">
        <f>SmtRes!K98</f>
        <v>Краски масляные жидкотертые цветные (готовые к употреблению) для наружных и внутренних работ, марка МА-15, сурик железный для окраски по металлу</v>
      </c>
      <c r="H86" t="str">
        <f>SmtRes!O98</f>
        <v>т</v>
      </c>
      <c r="I86">
        <f>SmtRes!Y98*Source!I132</f>
        <v>0</v>
      </c>
      <c r="J86">
        <f>SmtRes!AO98</f>
        <v>1</v>
      </c>
      <c r="K86">
        <f>SmtRes!AE98</f>
        <v>115885.91</v>
      </c>
      <c r="L86">
        <f>SmtRes!DB98</f>
        <v>62.58</v>
      </c>
      <c r="M86">
        <f>ROUND(ROUND(L86*Source!I132, 6)*1, 2)</f>
        <v>0</v>
      </c>
      <c r="N86">
        <f>SmtRes!AA98</f>
        <v>115885.91</v>
      </c>
      <c r="O86">
        <f>ROUND(ROUND(L86*Source!I132, 6)*SmtRes!DA98, 2)</f>
        <v>0</v>
      </c>
      <c r="P86">
        <f>SmtRes!AG98</f>
        <v>0</v>
      </c>
      <c r="Q86">
        <f>SmtRes!DC98</f>
        <v>0</v>
      </c>
      <c r="R86">
        <f>ROUND(ROUND(Q86*Source!I132, 6)*1, 2)</f>
        <v>0</v>
      </c>
      <c r="S86">
        <f>SmtRes!AC98</f>
        <v>0</v>
      </c>
      <c r="T86">
        <f>ROUND(ROUND(Q86*Source!I132, 6)*SmtRes!AK98, 2)</f>
        <v>0</v>
      </c>
      <c r="U86">
        <v>3</v>
      </c>
      <c r="Z86">
        <f>SmtRes!X98</f>
        <v>-377825509</v>
      </c>
      <c r="AA86">
        <v>-670453517</v>
      </c>
      <c r="AB86">
        <v>-1682720140</v>
      </c>
    </row>
    <row r="87" spans="1:28" x14ac:dyDescent="0.2">
      <c r="A87">
        <v>20</v>
      </c>
      <c r="B87">
        <v>97</v>
      </c>
      <c r="C87">
        <v>3</v>
      </c>
      <c r="D87">
        <v>0</v>
      </c>
      <c r="E87">
        <f>SmtRes!AV97</f>
        <v>0</v>
      </c>
      <c r="F87" t="str">
        <f>SmtRes!I97</f>
        <v>21.1-4-2</v>
      </c>
      <c r="G87" t="str">
        <f>SmtRes!K97</f>
        <v>Ацетилен технический</v>
      </c>
      <c r="H87" t="str">
        <f>SmtRes!O97</f>
        <v>м3</v>
      </c>
      <c r="I87">
        <f>SmtRes!Y97*Source!I132</f>
        <v>0</v>
      </c>
      <c r="J87">
        <f>SmtRes!AO97</f>
        <v>1</v>
      </c>
      <c r="K87">
        <f>SmtRes!AE97</f>
        <v>698.15</v>
      </c>
      <c r="L87">
        <f>SmtRes!DB97</f>
        <v>265.3</v>
      </c>
      <c r="M87">
        <f>ROUND(ROUND(L87*Source!I132, 6)*1, 2)</f>
        <v>0</v>
      </c>
      <c r="N87">
        <f>SmtRes!AA97</f>
        <v>698.15</v>
      </c>
      <c r="O87">
        <f>ROUND(ROUND(L87*Source!I132, 6)*SmtRes!DA97, 2)</f>
        <v>0</v>
      </c>
      <c r="P87">
        <f>SmtRes!AG97</f>
        <v>0</v>
      </c>
      <c r="Q87">
        <f>SmtRes!DC97</f>
        <v>0</v>
      </c>
      <c r="R87">
        <f>ROUND(ROUND(Q87*Source!I132, 6)*1, 2)</f>
        <v>0</v>
      </c>
      <c r="S87">
        <f>SmtRes!AC97</f>
        <v>0</v>
      </c>
      <c r="T87">
        <f>ROUND(ROUND(Q87*Source!I132, 6)*SmtRes!AK97, 2)</f>
        <v>0</v>
      </c>
      <c r="U87">
        <v>3</v>
      </c>
      <c r="Z87">
        <f>SmtRes!X97</f>
        <v>1431951903</v>
      </c>
      <c r="AA87">
        <v>1383090734</v>
      </c>
      <c r="AB87">
        <v>-43975899</v>
      </c>
    </row>
    <row r="88" spans="1:28" x14ac:dyDescent="0.2">
      <c r="A88">
        <v>20</v>
      </c>
      <c r="B88">
        <v>96</v>
      </c>
      <c r="C88">
        <v>3</v>
      </c>
      <c r="D88">
        <v>0</v>
      </c>
      <c r="E88">
        <f>SmtRes!AV96</f>
        <v>0</v>
      </c>
      <c r="F88" t="str">
        <f>SmtRes!I96</f>
        <v>21.1-4-10</v>
      </c>
      <c r="G88" t="str">
        <f>SmtRes!K96</f>
        <v>Кислород технический газообразный</v>
      </c>
      <c r="H88" t="str">
        <f>SmtRes!O96</f>
        <v>м3</v>
      </c>
      <c r="I88">
        <f>SmtRes!Y96*Source!I132</f>
        <v>0</v>
      </c>
      <c r="J88">
        <f>SmtRes!AO96</f>
        <v>1</v>
      </c>
      <c r="K88">
        <f>SmtRes!AE96</f>
        <v>89.3</v>
      </c>
      <c r="L88">
        <f>SmtRes!DB96</f>
        <v>57.69</v>
      </c>
      <c r="M88">
        <f>ROUND(ROUND(L88*Source!I132, 6)*1, 2)</f>
        <v>0</v>
      </c>
      <c r="N88">
        <f>SmtRes!AA96</f>
        <v>89.3</v>
      </c>
      <c r="O88">
        <f>ROUND(ROUND(L88*Source!I132, 6)*SmtRes!DA96, 2)</f>
        <v>0</v>
      </c>
      <c r="P88">
        <f>SmtRes!AG96</f>
        <v>0</v>
      </c>
      <c r="Q88">
        <f>SmtRes!DC96</f>
        <v>0</v>
      </c>
      <c r="R88">
        <f>ROUND(ROUND(Q88*Source!I132, 6)*1, 2)</f>
        <v>0</v>
      </c>
      <c r="S88">
        <f>SmtRes!AC96</f>
        <v>0</v>
      </c>
      <c r="T88">
        <f>ROUND(ROUND(Q88*Source!I132, 6)*SmtRes!AK96, 2)</f>
        <v>0</v>
      </c>
      <c r="U88">
        <v>3</v>
      </c>
      <c r="Z88">
        <f>SmtRes!X96</f>
        <v>622145326</v>
      </c>
      <c r="AA88">
        <v>-186753448</v>
      </c>
      <c r="AB88">
        <v>-592995783</v>
      </c>
    </row>
    <row r="89" spans="1:28" x14ac:dyDescent="0.2">
      <c r="A89">
        <v>20</v>
      </c>
      <c r="B89">
        <v>95</v>
      </c>
      <c r="C89">
        <v>3</v>
      </c>
      <c r="D89">
        <v>0</v>
      </c>
      <c r="E89">
        <f>SmtRes!AV95</f>
        <v>0</v>
      </c>
      <c r="F89" t="str">
        <f>SmtRes!I95</f>
        <v>21.1-25-16</v>
      </c>
      <c r="G89" t="str">
        <f>SmtRes!K95</f>
        <v>Волокно льняное №11 для уплотнения резьбовых соединений при монтаже систем водоснабжения и отопления</v>
      </c>
      <c r="H89" t="str">
        <f>SmtRes!O95</f>
        <v>кг</v>
      </c>
      <c r="I89">
        <f>SmtRes!Y95*Source!I132</f>
        <v>0</v>
      </c>
      <c r="J89">
        <f>SmtRes!AO95</f>
        <v>1</v>
      </c>
      <c r="K89">
        <f>SmtRes!AE95</f>
        <v>745.17</v>
      </c>
      <c r="L89">
        <f>SmtRes!DB95</f>
        <v>14.9</v>
      </c>
      <c r="M89">
        <f>ROUND(ROUND(L89*Source!I132, 6)*1, 2)</f>
        <v>0</v>
      </c>
      <c r="N89">
        <f>SmtRes!AA95</f>
        <v>745.17</v>
      </c>
      <c r="O89">
        <f>ROUND(ROUND(L89*Source!I132, 6)*SmtRes!DA95, 2)</f>
        <v>0</v>
      </c>
      <c r="P89">
        <f>SmtRes!AG95</f>
        <v>0</v>
      </c>
      <c r="Q89">
        <f>SmtRes!DC95</f>
        <v>0</v>
      </c>
      <c r="R89">
        <f>ROUND(ROUND(Q89*Source!I132, 6)*1, 2)</f>
        <v>0</v>
      </c>
      <c r="S89">
        <f>SmtRes!AC95</f>
        <v>0</v>
      </c>
      <c r="T89">
        <f>ROUND(ROUND(Q89*Source!I132, 6)*SmtRes!AK95, 2)</f>
        <v>0</v>
      </c>
      <c r="U89">
        <v>3</v>
      </c>
      <c r="Z89">
        <f>SmtRes!X95</f>
        <v>1013639029</v>
      </c>
      <c r="AA89">
        <v>-541998887</v>
      </c>
      <c r="AB89">
        <v>-1295179831</v>
      </c>
    </row>
    <row r="90" spans="1:28" x14ac:dyDescent="0.2">
      <c r="A90">
        <v>20</v>
      </c>
      <c r="B90">
        <v>94</v>
      </c>
      <c r="C90">
        <v>3</v>
      </c>
      <c r="D90">
        <v>0</v>
      </c>
      <c r="E90">
        <f>SmtRes!AV94</f>
        <v>0</v>
      </c>
      <c r="F90" t="str">
        <f>SmtRes!I94</f>
        <v>21.1-25-13</v>
      </c>
      <c r="G90" t="str">
        <f>SmtRes!K94</f>
        <v>Вода</v>
      </c>
      <c r="H90" t="str">
        <f>SmtRes!O94</f>
        <v>м3</v>
      </c>
      <c r="I90">
        <f>SmtRes!Y94*Source!I132</f>
        <v>0</v>
      </c>
      <c r="J90">
        <f>SmtRes!AO94</f>
        <v>1</v>
      </c>
      <c r="K90">
        <f>SmtRes!AE94</f>
        <v>49.83</v>
      </c>
      <c r="L90">
        <f>SmtRes!DB94</f>
        <v>137.03</v>
      </c>
      <c r="M90">
        <f>ROUND(ROUND(L90*Source!I132, 6)*1, 2)</f>
        <v>0</v>
      </c>
      <c r="N90">
        <f>SmtRes!AA94</f>
        <v>49.83</v>
      </c>
      <c r="O90">
        <f>ROUND(ROUND(L90*Source!I132, 6)*SmtRes!DA94, 2)</f>
        <v>0</v>
      </c>
      <c r="P90">
        <f>SmtRes!AG94</f>
        <v>0</v>
      </c>
      <c r="Q90">
        <f>SmtRes!DC94</f>
        <v>0</v>
      </c>
      <c r="R90">
        <f>ROUND(ROUND(Q90*Source!I132, 6)*1, 2)</f>
        <v>0</v>
      </c>
      <c r="S90">
        <f>SmtRes!AC94</f>
        <v>0</v>
      </c>
      <c r="T90">
        <f>ROUND(ROUND(Q90*Source!I132, 6)*SmtRes!AK94, 2)</f>
        <v>0</v>
      </c>
      <c r="U90">
        <v>3</v>
      </c>
      <c r="Z90">
        <f>SmtRes!X94</f>
        <v>-1393929784</v>
      </c>
      <c r="AA90">
        <v>1184894576</v>
      </c>
      <c r="AB90">
        <v>-1079220036</v>
      </c>
    </row>
    <row r="91" spans="1:28" x14ac:dyDescent="0.2">
      <c r="A91">
        <v>20</v>
      </c>
      <c r="B91">
        <v>93</v>
      </c>
      <c r="C91">
        <v>3</v>
      </c>
      <c r="D91">
        <v>0</v>
      </c>
      <c r="E91">
        <f>SmtRes!AV93</f>
        <v>0</v>
      </c>
      <c r="F91" t="str">
        <f>SmtRes!I93</f>
        <v>21.1-23-2</v>
      </c>
      <c r="G91" t="str">
        <f>SmtRes!K93</f>
        <v>Проволока электродная порошковая для дуговой сварки</v>
      </c>
      <c r="H91" t="str">
        <f>SmtRes!O93</f>
        <v>т</v>
      </c>
      <c r="I91">
        <f>SmtRes!Y93*Source!I132</f>
        <v>0</v>
      </c>
      <c r="J91">
        <f>SmtRes!AO93</f>
        <v>1</v>
      </c>
      <c r="K91">
        <f>SmtRes!AE93</f>
        <v>107698.04</v>
      </c>
      <c r="L91">
        <f>SmtRes!DB93</f>
        <v>43.08</v>
      </c>
      <c r="M91">
        <f>ROUND(ROUND(L91*Source!I132, 6)*1, 2)</f>
        <v>0</v>
      </c>
      <c r="N91">
        <f>SmtRes!AA93</f>
        <v>107698.04</v>
      </c>
      <c r="O91">
        <f>ROUND(ROUND(L91*Source!I132, 6)*SmtRes!DA93, 2)</f>
        <v>0</v>
      </c>
      <c r="P91">
        <f>SmtRes!AG93</f>
        <v>0</v>
      </c>
      <c r="Q91">
        <f>SmtRes!DC93</f>
        <v>0</v>
      </c>
      <c r="R91">
        <f>ROUND(ROUND(Q91*Source!I132, 6)*1, 2)</f>
        <v>0</v>
      </c>
      <c r="S91">
        <f>SmtRes!AC93</f>
        <v>0</v>
      </c>
      <c r="T91">
        <f>ROUND(ROUND(Q91*Source!I132, 6)*SmtRes!AK93, 2)</f>
        <v>0</v>
      </c>
      <c r="U91">
        <v>3</v>
      </c>
      <c r="Z91">
        <f>SmtRes!X93</f>
        <v>555747395</v>
      </c>
      <c r="AA91">
        <v>-1231515885</v>
      </c>
      <c r="AB91">
        <v>-1638417647</v>
      </c>
    </row>
    <row r="92" spans="1:28" x14ac:dyDescent="0.2">
      <c r="A92">
        <v>20</v>
      </c>
      <c r="B92">
        <v>92</v>
      </c>
      <c r="C92">
        <v>3</v>
      </c>
      <c r="D92">
        <v>0</v>
      </c>
      <c r="E92">
        <f>SmtRes!AV92</f>
        <v>0</v>
      </c>
      <c r="F92" t="str">
        <f>SmtRes!I92</f>
        <v>21.12-1-12</v>
      </c>
      <c r="G92" t="str">
        <f>SmtRes!K92</f>
        <v>Узлы трубопроводов из стальных водогазопроводных оцинкованных труб с гильзами для водоснабжения, диаметр условного прохода 50мм</v>
      </c>
      <c r="H92" t="str">
        <f>SmtRes!O92</f>
        <v>м</v>
      </c>
      <c r="I92">
        <f>SmtRes!Y92*Source!I132</f>
        <v>0</v>
      </c>
      <c r="J92">
        <f>SmtRes!AO92</f>
        <v>1</v>
      </c>
      <c r="K92">
        <f>SmtRes!AE92</f>
        <v>765.86</v>
      </c>
      <c r="L92">
        <f>SmtRes!DB92</f>
        <v>76586</v>
      </c>
      <c r="M92">
        <f>ROUND(ROUND(L92*Source!I132, 6)*1, 2)</f>
        <v>0</v>
      </c>
      <c r="N92">
        <f>SmtRes!AA92</f>
        <v>765.86</v>
      </c>
      <c r="O92">
        <f>ROUND(ROUND(L92*Source!I132, 6)*SmtRes!DA92, 2)</f>
        <v>0</v>
      </c>
      <c r="P92">
        <f>SmtRes!AG92</f>
        <v>0</v>
      </c>
      <c r="Q92">
        <f>SmtRes!DC92</f>
        <v>0</v>
      </c>
      <c r="R92">
        <f>ROUND(ROUND(Q92*Source!I132, 6)*1, 2)</f>
        <v>0</v>
      </c>
      <c r="S92">
        <f>SmtRes!AC92</f>
        <v>0</v>
      </c>
      <c r="T92">
        <f>ROUND(ROUND(Q92*Source!I132, 6)*SmtRes!AK92, 2)</f>
        <v>0</v>
      </c>
      <c r="U92">
        <v>3</v>
      </c>
      <c r="Z92">
        <f>SmtRes!X92</f>
        <v>1423491498</v>
      </c>
      <c r="AA92">
        <v>614613056</v>
      </c>
      <c r="AB92">
        <v>1372982119</v>
      </c>
    </row>
    <row r="93" spans="1:28" x14ac:dyDescent="0.2">
      <c r="A93">
        <v>20</v>
      </c>
      <c r="B93">
        <v>91</v>
      </c>
      <c r="C93">
        <v>3</v>
      </c>
      <c r="D93">
        <v>0</v>
      </c>
      <c r="E93">
        <f>SmtRes!AV91</f>
        <v>0</v>
      </c>
      <c r="F93" t="str">
        <f>SmtRes!I91</f>
        <v>21.12-10-22</v>
      </c>
      <c r="G93" t="str">
        <f>SmtRes!K91</f>
        <v>Средства для крепления радиаторов на кирпичных и бетонных стенах, крючки для труб, диаметр труб, мм, 50</v>
      </c>
      <c r="H93" t="str">
        <f>SmtRes!O91</f>
        <v>1000 шт.</v>
      </c>
      <c r="I93">
        <f>SmtRes!Y91*Source!I132</f>
        <v>0</v>
      </c>
      <c r="J93">
        <f>SmtRes!AO91</f>
        <v>1</v>
      </c>
      <c r="K93">
        <f>SmtRes!AE91</f>
        <v>43480.06</v>
      </c>
      <c r="L93">
        <f>SmtRes!DB91</f>
        <v>1478.32</v>
      </c>
      <c r="M93">
        <f>ROUND(ROUND(L93*Source!I132, 6)*1, 2)</f>
        <v>0</v>
      </c>
      <c r="N93">
        <f>SmtRes!AA91</f>
        <v>43480.06</v>
      </c>
      <c r="O93">
        <f>ROUND(ROUND(L93*Source!I132, 6)*SmtRes!DA91, 2)</f>
        <v>0</v>
      </c>
      <c r="P93">
        <f>SmtRes!AG91</f>
        <v>0</v>
      </c>
      <c r="Q93">
        <f>SmtRes!DC91</f>
        <v>0</v>
      </c>
      <c r="R93">
        <f>ROUND(ROUND(Q93*Source!I132, 6)*1, 2)</f>
        <v>0</v>
      </c>
      <c r="S93">
        <f>SmtRes!AC91</f>
        <v>0</v>
      </c>
      <c r="T93">
        <f>ROUND(ROUND(Q93*Source!I132, 6)*SmtRes!AK91, 2)</f>
        <v>0</v>
      </c>
      <c r="U93">
        <v>3</v>
      </c>
      <c r="Z93">
        <f>SmtRes!X91</f>
        <v>570745553</v>
      </c>
      <c r="AA93">
        <v>176576012</v>
      </c>
      <c r="AB93">
        <v>385212888</v>
      </c>
    </row>
    <row r="94" spans="1:28" x14ac:dyDescent="0.2">
      <c r="A94">
        <v>20</v>
      </c>
      <c r="B94">
        <v>90</v>
      </c>
      <c r="C94">
        <v>3</v>
      </c>
      <c r="D94">
        <v>0</v>
      </c>
      <c r="E94">
        <f>SmtRes!AV90</f>
        <v>0</v>
      </c>
      <c r="F94" t="str">
        <f>SmtRes!I90</f>
        <v>21.1-16-29</v>
      </c>
      <c r="G94" t="str">
        <f>SmtRes!K90</f>
        <v>Известь хлорная</v>
      </c>
      <c r="H94" t="str">
        <f>SmtRes!O90</f>
        <v>т</v>
      </c>
      <c r="I94">
        <f>SmtRes!Y90*Source!I132</f>
        <v>0</v>
      </c>
      <c r="J94">
        <f>SmtRes!AO90</f>
        <v>1</v>
      </c>
      <c r="K94">
        <f>SmtRes!AE90</f>
        <v>67221.42</v>
      </c>
      <c r="L94">
        <f>SmtRes!DB90</f>
        <v>665492.06000000006</v>
      </c>
      <c r="M94">
        <f>ROUND(ROUND(L94*Source!I132, 6)*1, 2)</f>
        <v>0</v>
      </c>
      <c r="N94">
        <f>SmtRes!AA90</f>
        <v>67221.42</v>
      </c>
      <c r="O94">
        <f>ROUND(ROUND(L94*Source!I132, 6)*SmtRes!DA90, 2)</f>
        <v>0</v>
      </c>
      <c r="P94">
        <f>SmtRes!AG90</f>
        <v>0</v>
      </c>
      <c r="Q94">
        <f>SmtRes!DC90</f>
        <v>0</v>
      </c>
      <c r="R94">
        <f>ROUND(ROUND(Q94*Source!I132, 6)*1, 2)</f>
        <v>0</v>
      </c>
      <c r="S94">
        <f>SmtRes!AC90</f>
        <v>0</v>
      </c>
      <c r="T94">
        <f>ROUND(ROUND(Q94*Source!I132, 6)*SmtRes!AK90, 2)</f>
        <v>0</v>
      </c>
      <c r="U94">
        <v>3</v>
      </c>
      <c r="Z94">
        <f>SmtRes!X90</f>
        <v>1022491451</v>
      </c>
      <c r="AA94">
        <v>1708034526</v>
      </c>
      <c r="AB94">
        <v>1539201696</v>
      </c>
    </row>
    <row r="95" spans="1:28" x14ac:dyDescent="0.2">
      <c r="A95">
        <v>20</v>
      </c>
      <c r="B95">
        <v>89</v>
      </c>
      <c r="C95">
        <v>2</v>
      </c>
      <c r="D95">
        <v>0</v>
      </c>
      <c r="E95">
        <f>SmtRes!AV89</f>
        <v>0</v>
      </c>
      <c r="F95" t="str">
        <f>SmtRes!I89</f>
        <v>22.1-13-10</v>
      </c>
      <c r="G95" t="str">
        <f>SmtRes!K89</f>
        <v>Агрегаты сварочные однопостовые для ручной электродуговой сварки</v>
      </c>
      <c r="H95" t="str">
        <f>SmtRes!O89</f>
        <v>маш.-ч</v>
      </c>
      <c r="I95">
        <f>SmtRes!Y89*Source!I132</f>
        <v>0</v>
      </c>
      <c r="J95">
        <f>SmtRes!AO89</f>
        <v>1</v>
      </c>
      <c r="K95">
        <f>SmtRes!AF89</f>
        <v>68.260000000000005</v>
      </c>
      <c r="L95">
        <f>SmtRes!DB89</f>
        <v>144.03</v>
      </c>
      <c r="M95">
        <f>ROUND(ROUND(L95*Source!I132, 6)*1, 2)</f>
        <v>0</v>
      </c>
      <c r="N95">
        <f>SmtRes!AB89</f>
        <v>68.260000000000005</v>
      </c>
      <c r="O95">
        <f>ROUND(ROUND(L95*Source!I132, 6)*SmtRes!DA89, 2)</f>
        <v>0</v>
      </c>
      <c r="P95">
        <f>SmtRes!AG89</f>
        <v>0</v>
      </c>
      <c r="Q95">
        <f>SmtRes!DC89</f>
        <v>0</v>
      </c>
      <c r="R95">
        <f>ROUND(ROUND(Q95*Source!I132, 6)*1, 2)</f>
        <v>0</v>
      </c>
      <c r="S95">
        <f>SmtRes!AC89</f>
        <v>0</v>
      </c>
      <c r="T95">
        <f>ROUND(ROUND(Q95*Source!I132, 6)*SmtRes!AK89, 2)</f>
        <v>0</v>
      </c>
      <c r="U95">
        <v>2</v>
      </c>
      <c r="Z95">
        <f>SmtRes!X89</f>
        <v>1399152527</v>
      </c>
      <c r="AA95">
        <v>-1449595606</v>
      </c>
      <c r="AB95">
        <v>1995334730</v>
      </c>
    </row>
    <row r="96" spans="1:28" x14ac:dyDescent="0.2">
      <c r="A96">
        <v>20</v>
      </c>
      <c r="B96">
        <v>109</v>
      </c>
      <c r="C96">
        <v>3</v>
      </c>
      <c r="D96">
        <v>0</v>
      </c>
      <c r="E96">
        <f>SmtRes!AV109</f>
        <v>0</v>
      </c>
      <c r="F96" t="str">
        <f>SmtRes!I109</f>
        <v>21.3-2-15</v>
      </c>
      <c r="G96" t="str">
        <f>SmtRes!K109</f>
        <v>Растворы цементные, марка 100</v>
      </c>
      <c r="H96" t="str">
        <f>SmtRes!O109</f>
        <v>м3</v>
      </c>
      <c r="I96">
        <f>SmtRes!Y109*Source!I133</f>
        <v>0</v>
      </c>
      <c r="J96">
        <f>SmtRes!AO109</f>
        <v>1</v>
      </c>
      <c r="K96">
        <f>SmtRes!AE109</f>
        <v>4969.8599999999997</v>
      </c>
      <c r="L96">
        <f>SmtRes!DB109</f>
        <v>104.37</v>
      </c>
      <c r="M96">
        <f>ROUND(ROUND(L96*Source!I133, 6)*1, 2)</f>
        <v>0</v>
      </c>
      <c r="N96">
        <f>SmtRes!AA109</f>
        <v>4969.8599999999997</v>
      </c>
      <c r="O96">
        <f>ROUND(ROUND(L96*Source!I133, 6)*SmtRes!DA109, 2)</f>
        <v>0</v>
      </c>
      <c r="P96">
        <f>SmtRes!AG109</f>
        <v>0</v>
      </c>
      <c r="Q96">
        <f>SmtRes!DC109</f>
        <v>0</v>
      </c>
      <c r="R96">
        <f>ROUND(ROUND(Q96*Source!I133, 6)*1, 2)</f>
        <v>0</v>
      </c>
      <c r="S96">
        <f>SmtRes!AC109</f>
        <v>0</v>
      </c>
      <c r="T96">
        <f>ROUND(ROUND(Q96*Source!I133, 6)*SmtRes!AK109, 2)</f>
        <v>0</v>
      </c>
      <c r="U96">
        <v>3</v>
      </c>
      <c r="Z96">
        <f>SmtRes!X109</f>
        <v>2013185010</v>
      </c>
      <c r="AA96">
        <v>-1048336242</v>
      </c>
      <c r="AB96">
        <v>996503298</v>
      </c>
    </row>
    <row r="97" spans="1:28" x14ac:dyDescent="0.2">
      <c r="A97">
        <v>20</v>
      </c>
      <c r="B97">
        <v>108</v>
      </c>
      <c r="C97">
        <v>3</v>
      </c>
      <c r="D97">
        <v>0</v>
      </c>
      <c r="E97">
        <f>SmtRes!AV108</f>
        <v>0</v>
      </c>
      <c r="F97" t="str">
        <f>SmtRes!I108</f>
        <v>21.1-4-2</v>
      </c>
      <c r="G97" t="str">
        <f>SmtRes!K108</f>
        <v>Ацетилен технический</v>
      </c>
      <c r="H97" t="str">
        <f>SmtRes!O108</f>
        <v>м3</v>
      </c>
      <c r="I97">
        <f>SmtRes!Y108*Source!I133</f>
        <v>0</v>
      </c>
      <c r="J97">
        <f>SmtRes!AO108</f>
        <v>1</v>
      </c>
      <c r="K97">
        <f>SmtRes!AE108</f>
        <v>698.15</v>
      </c>
      <c r="L97">
        <f>SmtRes!DB108</f>
        <v>1591.78</v>
      </c>
      <c r="M97">
        <f>ROUND(ROUND(L97*Source!I133, 6)*1, 2)</f>
        <v>0</v>
      </c>
      <c r="N97">
        <f>SmtRes!AA108</f>
        <v>698.15</v>
      </c>
      <c r="O97">
        <f>ROUND(ROUND(L97*Source!I133, 6)*SmtRes!DA108, 2)</f>
        <v>0</v>
      </c>
      <c r="P97">
        <f>SmtRes!AG108</f>
        <v>0</v>
      </c>
      <c r="Q97">
        <f>SmtRes!DC108</f>
        <v>0</v>
      </c>
      <c r="R97">
        <f>ROUND(ROUND(Q97*Source!I133, 6)*1, 2)</f>
        <v>0</v>
      </c>
      <c r="S97">
        <f>SmtRes!AC108</f>
        <v>0</v>
      </c>
      <c r="T97">
        <f>ROUND(ROUND(Q97*Source!I133, 6)*SmtRes!AK108, 2)</f>
        <v>0</v>
      </c>
      <c r="U97">
        <v>3</v>
      </c>
      <c r="Z97">
        <f>SmtRes!X108</f>
        <v>1431951903</v>
      </c>
      <c r="AA97">
        <v>1383090734</v>
      </c>
      <c r="AB97">
        <v>-43975899</v>
      </c>
    </row>
    <row r="98" spans="1:28" x14ac:dyDescent="0.2">
      <c r="A98">
        <v>20</v>
      </c>
      <c r="B98">
        <v>107</v>
      </c>
      <c r="C98">
        <v>3</v>
      </c>
      <c r="D98">
        <v>0</v>
      </c>
      <c r="E98">
        <f>SmtRes!AV107</f>
        <v>0</v>
      </c>
      <c r="F98" t="str">
        <f>SmtRes!I107</f>
        <v>21.1-4-10</v>
      </c>
      <c r="G98" t="str">
        <f>SmtRes!K107</f>
        <v>Кислород технический газообразный</v>
      </c>
      <c r="H98" t="str">
        <f>SmtRes!O107</f>
        <v>м3</v>
      </c>
      <c r="I98">
        <f>SmtRes!Y107*Source!I133</f>
        <v>0</v>
      </c>
      <c r="J98">
        <f>SmtRes!AO107</f>
        <v>1</v>
      </c>
      <c r="K98">
        <f>SmtRes!AE107</f>
        <v>89.3</v>
      </c>
      <c r="L98">
        <f>SmtRes!DB107</f>
        <v>200.93</v>
      </c>
      <c r="M98">
        <f>ROUND(ROUND(L98*Source!I133, 6)*1, 2)</f>
        <v>0</v>
      </c>
      <c r="N98">
        <f>SmtRes!AA107</f>
        <v>89.3</v>
      </c>
      <c r="O98">
        <f>ROUND(ROUND(L98*Source!I133, 6)*SmtRes!DA107, 2)</f>
        <v>0</v>
      </c>
      <c r="P98">
        <f>SmtRes!AG107</f>
        <v>0</v>
      </c>
      <c r="Q98">
        <f>SmtRes!DC107</f>
        <v>0</v>
      </c>
      <c r="R98">
        <f>ROUND(ROUND(Q98*Source!I133, 6)*1, 2)</f>
        <v>0</v>
      </c>
      <c r="S98">
        <f>SmtRes!AC107</f>
        <v>0</v>
      </c>
      <c r="T98">
        <f>ROUND(ROUND(Q98*Source!I133, 6)*SmtRes!AK107, 2)</f>
        <v>0</v>
      </c>
      <c r="U98">
        <v>3</v>
      </c>
      <c r="Z98">
        <f>SmtRes!X107</f>
        <v>622145326</v>
      </c>
      <c r="AA98">
        <v>-186753448</v>
      </c>
      <c r="AB98">
        <v>-592995783</v>
      </c>
    </row>
    <row r="99" spans="1:28" x14ac:dyDescent="0.2">
      <c r="A99">
        <v>20</v>
      </c>
      <c r="B99">
        <v>106</v>
      </c>
      <c r="C99">
        <v>3</v>
      </c>
      <c r="D99">
        <v>0</v>
      </c>
      <c r="E99">
        <f>SmtRes!AV106</f>
        <v>0</v>
      </c>
      <c r="F99" t="str">
        <f>SmtRes!I106</f>
        <v>21.1-25-13</v>
      </c>
      <c r="G99" t="str">
        <f>SmtRes!K106</f>
        <v>Вода</v>
      </c>
      <c r="H99" t="str">
        <f>SmtRes!O106</f>
        <v>м3</v>
      </c>
      <c r="I99">
        <f>SmtRes!Y106*Source!I133</f>
        <v>0</v>
      </c>
      <c r="J99">
        <f>SmtRes!AO106</f>
        <v>1</v>
      </c>
      <c r="K99">
        <f>SmtRes!AE106</f>
        <v>49.83</v>
      </c>
      <c r="L99">
        <f>SmtRes!DB106</f>
        <v>443.49</v>
      </c>
      <c r="M99">
        <f>ROUND(ROUND(L99*Source!I133, 6)*1, 2)</f>
        <v>0</v>
      </c>
      <c r="N99">
        <f>SmtRes!AA106</f>
        <v>49.83</v>
      </c>
      <c r="O99">
        <f>ROUND(ROUND(L99*Source!I133, 6)*SmtRes!DA106, 2)</f>
        <v>0</v>
      </c>
      <c r="P99">
        <f>SmtRes!AG106</f>
        <v>0</v>
      </c>
      <c r="Q99">
        <f>SmtRes!DC106</f>
        <v>0</v>
      </c>
      <c r="R99">
        <f>ROUND(ROUND(Q99*Source!I133, 6)*1, 2)</f>
        <v>0</v>
      </c>
      <c r="S99">
        <f>SmtRes!AC106</f>
        <v>0</v>
      </c>
      <c r="T99">
        <f>ROUND(ROUND(Q99*Source!I133, 6)*SmtRes!AK106, 2)</f>
        <v>0</v>
      </c>
      <c r="U99">
        <v>3</v>
      </c>
      <c r="Z99">
        <f>SmtRes!X106</f>
        <v>-1393929784</v>
      </c>
      <c r="AA99">
        <v>1184894576</v>
      </c>
      <c r="AB99">
        <v>-1079220036</v>
      </c>
    </row>
    <row r="100" spans="1:28" x14ac:dyDescent="0.2">
      <c r="A100">
        <v>20</v>
      </c>
      <c r="B100">
        <v>105</v>
      </c>
      <c r="C100">
        <v>3</v>
      </c>
      <c r="D100">
        <v>0</v>
      </c>
      <c r="E100">
        <f>SmtRes!AV105</f>
        <v>0</v>
      </c>
      <c r="F100" t="str">
        <f>SmtRes!I105</f>
        <v>21.1-23-2</v>
      </c>
      <c r="G100" t="str">
        <f>SmtRes!K105</f>
        <v>Проволока электродная порошковая для дуговой сварки</v>
      </c>
      <c r="H100" t="str">
        <f>SmtRes!O105</f>
        <v>т</v>
      </c>
      <c r="I100">
        <f>SmtRes!Y105*Source!I133</f>
        <v>0</v>
      </c>
      <c r="J100">
        <f>SmtRes!AO105</f>
        <v>1</v>
      </c>
      <c r="K100">
        <f>SmtRes!AE105</f>
        <v>107698.04</v>
      </c>
      <c r="L100">
        <f>SmtRes!DB105</f>
        <v>134.62</v>
      </c>
      <c r="M100">
        <f>ROUND(ROUND(L100*Source!I133, 6)*1, 2)</f>
        <v>0</v>
      </c>
      <c r="N100">
        <f>SmtRes!AA105</f>
        <v>107698.04</v>
      </c>
      <c r="O100">
        <f>ROUND(ROUND(L100*Source!I133, 6)*SmtRes!DA105, 2)</f>
        <v>0</v>
      </c>
      <c r="P100">
        <f>SmtRes!AG105</f>
        <v>0</v>
      </c>
      <c r="Q100">
        <f>SmtRes!DC105</f>
        <v>0</v>
      </c>
      <c r="R100">
        <f>ROUND(ROUND(Q100*Source!I133, 6)*1, 2)</f>
        <v>0</v>
      </c>
      <c r="S100">
        <f>SmtRes!AC105</f>
        <v>0</v>
      </c>
      <c r="T100">
        <f>ROUND(ROUND(Q100*Source!I133, 6)*SmtRes!AK105, 2)</f>
        <v>0</v>
      </c>
      <c r="U100">
        <v>3</v>
      </c>
      <c r="Z100">
        <f>SmtRes!X105</f>
        <v>555747395</v>
      </c>
      <c r="AA100">
        <v>-1231515885</v>
      </c>
      <c r="AB100">
        <v>-1638417647</v>
      </c>
    </row>
    <row r="101" spans="1:28" x14ac:dyDescent="0.2">
      <c r="A101">
        <v>20</v>
      </c>
      <c r="B101">
        <v>104</v>
      </c>
      <c r="C101">
        <v>3</v>
      </c>
      <c r="D101">
        <v>0</v>
      </c>
      <c r="E101">
        <f>SmtRes!AV104</f>
        <v>0</v>
      </c>
      <c r="F101" t="str">
        <f>SmtRes!I104</f>
        <v>21.12-1-17</v>
      </c>
      <c r="G101" t="str">
        <f>SmtRes!K104</f>
        <v>Узлы трубопроводов из стальных водогазопроводных оцинкованных труб с гильзами для водоснабжения, диаметр условного прохода 90мм</v>
      </c>
      <c r="H101" t="str">
        <f>SmtRes!O104</f>
        <v>м</v>
      </c>
      <c r="I101">
        <f>SmtRes!Y104*Source!I133</f>
        <v>0</v>
      </c>
      <c r="J101">
        <f>SmtRes!AO104</f>
        <v>1</v>
      </c>
      <c r="K101">
        <f>SmtRes!AE104</f>
        <v>1896.47</v>
      </c>
      <c r="L101">
        <f>SmtRes!DB104</f>
        <v>189647</v>
      </c>
      <c r="M101">
        <f>ROUND(ROUND(L101*Source!I133, 6)*1, 2)</f>
        <v>0</v>
      </c>
      <c r="N101">
        <f>SmtRes!AA104</f>
        <v>1896.47</v>
      </c>
      <c r="O101">
        <f>ROUND(ROUND(L101*Source!I133, 6)*SmtRes!DA104, 2)</f>
        <v>0</v>
      </c>
      <c r="P101">
        <f>SmtRes!AG104</f>
        <v>0</v>
      </c>
      <c r="Q101">
        <f>SmtRes!DC104</f>
        <v>0</v>
      </c>
      <c r="R101">
        <f>ROUND(ROUND(Q101*Source!I133, 6)*1, 2)</f>
        <v>0</v>
      </c>
      <c r="S101">
        <f>SmtRes!AC104</f>
        <v>0</v>
      </c>
      <c r="T101">
        <f>ROUND(ROUND(Q101*Source!I133, 6)*SmtRes!AK104, 2)</f>
        <v>0</v>
      </c>
      <c r="U101">
        <v>3</v>
      </c>
      <c r="Z101">
        <f>SmtRes!X104</f>
        <v>-514763295</v>
      </c>
      <c r="AA101">
        <v>489295108</v>
      </c>
      <c r="AB101">
        <v>-1283664131</v>
      </c>
    </row>
    <row r="102" spans="1:28" x14ac:dyDescent="0.2">
      <c r="A102">
        <v>20</v>
      </c>
      <c r="B102">
        <v>103</v>
      </c>
      <c r="C102">
        <v>3</v>
      </c>
      <c r="D102">
        <v>0</v>
      </c>
      <c r="E102">
        <f>SmtRes!AV103</f>
        <v>0</v>
      </c>
      <c r="F102" t="str">
        <f>SmtRes!I103</f>
        <v>21.12-10-23</v>
      </c>
      <c r="G102" t="str">
        <f>SmtRes!K103</f>
        <v>Средства для крепления радиаторов на кирпичных и бетонных стенах, крючки для труб, диаметр труб, мм, 100</v>
      </c>
      <c r="H102" t="str">
        <f>SmtRes!O103</f>
        <v>1000 шт.</v>
      </c>
      <c r="I102">
        <f>SmtRes!Y103*Source!I133</f>
        <v>0</v>
      </c>
      <c r="J102">
        <f>SmtRes!AO103</f>
        <v>1</v>
      </c>
      <c r="K102">
        <f>SmtRes!AE103</f>
        <v>72726.41</v>
      </c>
      <c r="L102">
        <f>SmtRes!DB103</f>
        <v>2472.6999999999998</v>
      </c>
      <c r="M102">
        <f>ROUND(ROUND(L102*Source!I133, 6)*1, 2)</f>
        <v>0</v>
      </c>
      <c r="N102">
        <f>SmtRes!AA103</f>
        <v>72726.41</v>
      </c>
      <c r="O102">
        <f>ROUND(ROUND(L102*Source!I133, 6)*SmtRes!DA103, 2)</f>
        <v>0</v>
      </c>
      <c r="P102">
        <f>SmtRes!AG103</f>
        <v>0</v>
      </c>
      <c r="Q102">
        <f>SmtRes!DC103</f>
        <v>0</v>
      </c>
      <c r="R102">
        <f>ROUND(ROUND(Q102*Source!I133, 6)*1, 2)</f>
        <v>0</v>
      </c>
      <c r="S102">
        <f>SmtRes!AC103</f>
        <v>0</v>
      </c>
      <c r="T102">
        <f>ROUND(ROUND(Q102*Source!I133, 6)*SmtRes!AK103, 2)</f>
        <v>0</v>
      </c>
      <c r="U102">
        <v>3</v>
      </c>
      <c r="Z102">
        <f>SmtRes!X103</f>
        <v>-2106051999</v>
      </c>
      <c r="AA102">
        <v>774982098</v>
      </c>
      <c r="AB102">
        <v>1779409435</v>
      </c>
    </row>
    <row r="103" spans="1:28" x14ac:dyDescent="0.2">
      <c r="A103">
        <v>20</v>
      </c>
      <c r="B103">
        <v>102</v>
      </c>
      <c r="C103">
        <v>3</v>
      </c>
      <c r="D103">
        <v>0</v>
      </c>
      <c r="E103">
        <f>SmtRes!AV102</f>
        <v>0</v>
      </c>
      <c r="F103" t="str">
        <f>SmtRes!I102</f>
        <v>21.1-16-29</v>
      </c>
      <c r="G103" t="str">
        <f>SmtRes!K102</f>
        <v>Известь хлорная</v>
      </c>
      <c r="H103" t="str">
        <f>SmtRes!O102</f>
        <v>т</v>
      </c>
      <c r="I103">
        <f>SmtRes!Y102*Source!I133</f>
        <v>0</v>
      </c>
      <c r="J103">
        <f>SmtRes!AO102</f>
        <v>1</v>
      </c>
      <c r="K103">
        <f>SmtRes!AE102</f>
        <v>67221.42</v>
      </c>
      <c r="L103">
        <f>SmtRes!DB102</f>
        <v>2137641.16</v>
      </c>
      <c r="M103">
        <f>ROUND(ROUND(L103*Source!I133, 6)*1, 2)</f>
        <v>0</v>
      </c>
      <c r="N103">
        <f>SmtRes!AA102</f>
        <v>67221.42</v>
      </c>
      <c r="O103">
        <f>ROUND(ROUND(L103*Source!I133, 6)*SmtRes!DA102, 2)</f>
        <v>0</v>
      </c>
      <c r="P103">
        <f>SmtRes!AG102</f>
        <v>0</v>
      </c>
      <c r="Q103">
        <f>SmtRes!DC102</f>
        <v>0</v>
      </c>
      <c r="R103">
        <f>ROUND(ROUND(Q103*Source!I133, 6)*1, 2)</f>
        <v>0</v>
      </c>
      <c r="S103">
        <f>SmtRes!AC102</f>
        <v>0</v>
      </c>
      <c r="T103">
        <f>ROUND(ROUND(Q103*Source!I133, 6)*SmtRes!AK102, 2)</f>
        <v>0</v>
      </c>
      <c r="U103">
        <v>3</v>
      </c>
      <c r="Z103">
        <f>SmtRes!X102</f>
        <v>1022491451</v>
      </c>
      <c r="AA103">
        <v>1708034526</v>
      </c>
      <c r="AB103">
        <v>1539201696</v>
      </c>
    </row>
    <row r="104" spans="1:28" x14ac:dyDescent="0.2">
      <c r="A104">
        <v>20</v>
      </c>
      <c r="B104">
        <v>101</v>
      </c>
      <c r="C104">
        <v>2</v>
      </c>
      <c r="D104">
        <v>0</v>
      </c>
      <c r="E104">
        <f>SmtRes!AV101</f>
        <v>0</v>
      </c>
      <c r="F104" t="str">
        <f>SmtRes!I101</f>
        <v>22.1-13-10</v>
      </c>
      <c r="G104" t="str">
        <f>SmtRes!K101</f>
        <v>Агрегаты сварочные однопостовые для ручной электродуговой сварки</v>
      </c>
      <c r="H104" t="str">
        <f>SmtRes!O101</f>
        <v>маш.-ч</v>
      </c>
      <c r="I104">
        <f>SmtRes!Y101*Source!I133</f>
        <v>0</v>
      </c>
      <c r="J104">
        <f>SmtRes!AO101</f>
        <v>1</v>
      </c>
      <c r="K104">
        <f>SmtRes!AF101</f>
        <v>68.260000000000005</v>
      </c>
      <c r="L104">
        <f>SmtRes!DB101</f>
        <v>430.72</v>
      </c>
      <c r="M104">
        <f>ROUND(ROUND(L104*Source!I133, 6)*1, 2)</f>
        <v>0</v>
      </c>
      <c r="N104">
        <f>SmtRes!AB101</f>
        <v>68.260000000000005</v>
      </c>
      <c r="O104">
        <f>ROUND(ROUND(L104*Source!I133, 6)*SmtRes!DA101, 2)</f>
        <v>0</v>
      </c>
      <c r="P104">
        <f>SmtRes!AG101</f>
        <v>0</v>
      </c>
      <c r="Q104">
        <f>SmtRes!DC101</f>
        <v>0</v>
      </c>
      <c r="R104">
        <f>ROUND(ROUND(Q104*Source!I133, 6)*1, 2)</f>
        <v>0</v>
      </c>
      <c r="S104">
        <f>SmtRes!AC101</f>
        <v>0</v>
      </c>
      <c r="T104">
        <f>ROUND(ROUND(Q104*Source!I133, 6)*SmtRes!AK101, 2)</f>
        <v>0</v>
      </c>
      <c r="U104">
        <v>2</v>
      </c>
      <c r="Z104">
        <f>SmtRes!X101</f>
        <v>1399152527</v>
      </c>
      <c r="AA104">
        <v>-1449595606</v>
      </c>
      <c r="AB104">
        <v>1995334730</v>
      </c>
    </row>
    <row r="105" spans="1:28" x14ac:dyDescent="0.2">
      <c r="A105">
        <v>20</v>
      </c>
      <c r="B105">
        <v>111</v>
      </c>
      <c r="C105">
        <v>2</v>
      </c>
      <c r="D105">
        <v>0</v>
      </c>
      <c r="E105">
        <f>SmtRes!AV111</f>
        <v>0</v>
      </c>
      <c r="F105" t="str">
        <f>SmtRes!I111</f>
        <v>22.1-13-10</v>
      </c>
      <c r="G105" t="str">
        <f>SmtRes!K111</f>
        <v>Агрегаты сварочные однопостовые для ручной электродуговой сварки</v>
      </c>
      <c r="H105" t="str">
        <f>SmtRes!O111</f>
        <v>маш.-ч</v>
      </c>
      <c r="I105">
        <f>SmtRes!Y111*Source!I134</f>
        <v>7.1999999999999993</v>
      </c>
      <c r="J105">
        <f>SmtRes!AO111</f>
        <v>1</v>
      </c>
      <c r="K105">
        <f>SmtRes!AF111</f>
        <v>68.260000000000005</v>
      </c>
      <c r="L105">
        <f>SmtRes!DB111</f>
        <v>40.96</v>
      </c>
      <c r="M105">
        <f>ROUND(ROUND(L105*Source!I134, 6)*1, 2)</f>
        <v>491.52</v>
      </c>
      <c r="N105">
        <f>SmtRes!AB111</f>
        <v>68.260000000000005</v>
      </c>
      <c r="O105">
        <f>ROUND(ROUND(L105*Source!I134, 6)*SmtRes!DA111, 2)</f>
        <v>491.52</v>
      </c>
      <c r="P105">
        <f>SmtRes!AG111</f>
        <v>0.09</v>
      </c>
      <c r="Q105">
        <f>SmtRes!DC111</f>
        <v>0.05</v>
      </c>
      <c r="R105">
        <f>ROUND(ROUND(Q105*Source!I134, 6)*1, 2)</f>
        <v>0.6</v>
      </c>
      <c r="S105">
        <f>SmtRes!AC111</f>
        <v>0.09</v>
      </c>
      <c r="T105">
        <f>ROUND(ROUND(Q105*Source!I134, 6)*SmtRes!AK111, 2)</f>
        <v>0.6</v>
      </c>
      <c r="U105">
        <v>2</v>
      </c>
      <c r="Z105">
        <f>SmtRes!X111</f>
        <v>1399152527</v>
      </c>
      <c r="AA105">
        <v>-1083631147</v>
      </c>
      <c r="AB105">
        <v>-1583094156</v>
      </c>
    </row>
    <row r="106" spans="1:28" x14ac:dyDescent="0.2">
      <c r="A106">
        <v>20</v>
      </c>
      <c r="B106">
        <v>117</v>
      </c>
      <c r="C106">
        <v>3</v>
      </c>
      <c r="D106">
        <v>0</v>
      </c>
      <c r="E106">
        <f>SmtRes!AV117</f>
        <v>0</v>
      </c>
      <c r="F106" t="str">
        <f>SmtRes!I117</f>
        <v>21.1-25-13</v>
      </c>
      <c r="G106" t="str">
        <f>SmtRes!K117</f>
        <v>Вода</v>
      </c>
      <c r="H106" t="str">
        <f>SmtRes!O117</f>
        <v>м3</v>
      </c>
      <c r="I106">
        <f>SmtRes!Y117*Source!I139</f>
        <v>0.63</v>
      </c>
      <c r="J106">
        <f>SmtRes!AO117</f>
        <v>1</v>
      </c>
      <c r="K106">
        <f>SmtRes!AE117</f>
        <v>49.83</v>
      </c>
      <c r="L106">
        <f>SmtRes!DB117</f>
        <v>49.83</v>
      </c>
      <c r="M106">
        <f>ROUND(ROUND(L106*Source!I139, 6)*1, 2)</f>
        <v>31.39</v>
      </c>
      <c r="N106">
        <f>SmtRes!AA117</f>
        <v>49.83</v>
      </c>
      <c r="O106">
        <f>ROUND(ROUND(L106*Source!I139, 6)*SmtRes!DA117, 2)</f>
        <v>31.39</v>
      </c>
      <c r="P106">
        <f>SmtRes!AG117</f>
        <v>0</v>
      </c>
      <c r="Q106">
        <f>SmtRes!DC117</f>
        <v>0</v>
      </c>
      <c r="R106">
        <f>ROUND(ROUND(Q106*Source!I139, 6)*1, 2)</f>
        <v>0</v>
      </c>
      <c r="S106">
        <f>SmtRes!AC117</f>
        <v>0</v>
      </c>
      <c r="T106">
        <f>ROUND(ROUND(Q106*Source!I139, 6)*SmtRes!AK117, 2)</f>
        <v>0</v>
      </c>
      <c r="U106">
        <v>3</v>
      </c>
      <c r="Z106">
        <f>SmtRes!X117</f>
        <v>-1393929784</v>
      </c>
      <c r="AA106">
        <v>-568288822</v>
      </c>
      <c r="AB106">
        <v>-1097784124</v>
      </c>
    </row>
    <row r="107" spans="1:28" x14ac:dyDescent="0.2">
      <c r="A107">
        <v>20</v>
      </c>
      <c r="B107">
        <v>119</v>
      </c>
      <c r="C107">
        <v>3</v>
      </c>
      <c r="D107">
        <v>0</v>
      </c>
      <c r="E107">
        <f>SmtRes!AV119</f>
        <v>0</v>
      </c>
      <c r="F107" t="str">
        <f>SmtRes!I119</f>
        <v>21.1-25-13</v>
      </c>
      <c r="G107" t="str">
        <f>SmtRes!K119</f>
        <v>Вода</v>
      </c>
      <c r="H107" t="str">
        <f>SmtRes!O119</f>
        <v>м3</v>
      </c>
      <c r="I107">
        <f>SmtRes!Y119*Source!I140</f>
        <v>2.6219999999999999</v>
      </c>
      <c r="J107">
        <f>SmtRes!AO119</f>
        <v>1</v>
      </c>
      <c r="K107">
        <f>SmtRes!AE119</f>
        <v>49.83</v>
      </c>
      <c r="L107">
        <f>SmtRes!DB119</f>
        <v>189.35</v>
      </c>
      <c r="M107">
        <f>ROUND(ROUND(L107*Source!I140, 6)*1, 2)</f>
        <v>130.65</v>
      </c>
      <c r="N107">
        <f>SmtRes!AA119</f>
        <v>49.83</v>
      </c>
      <c r="O107">
        <f>ROUND(ROUND(L107*Source!I140, 6)*SmtRes!DA119, 2)</f>
        <v>130.65</v>
      </c>
      <c r="P107">
        <f>SmtRes!AG119</f>
        <v>0</v>
      </c>
      <c r="Q107">
        <f>SmtRes!DC119</f>
        <v>0</v>
      </c>
      <c r="R107">
        <f>ROUND(ROUND(Q107*Source!I140, 6)*1, 2)</f>
        <v>0</v>
      </c>
      <c r="S107">
        <f>SmtRes!AC119</f>
        <v>0</v>
      </c>
      <c r="T107">
        <f>ROUND(ROUND(Q107*Source!I140, 6)*SmtRes!AK119, 2)</f>
        <v>0</v>
      </c>
      <c r="U107">
        <v>3</v>
      </c>
      <c r="Z107">
        <f>SmtRes!X119</f>
        <v>-1393929784</v>
      </c>
      <c r="AA107">
        <v>-568288822</v>
      </c>
      <c r="AB107">
        <v>-1097784124</v>
      </c>
    </row>
    <row r="108" spans="1:28" x14ac:dyDescent="0.2">
      <c r="A108">
        <v>20</v>
      </c>
      <c r="B108">
        <v>121</v>
      </c>
      <c r="C108">
        <v>3</v>
      </c>
      <c r="D108">
        <v>0</v>
      </c>
      <c r="E108">
        <f>SmtRes!AV121</f>
        <v>0</v>
      </c>
      <c r="F108" t="str">
        <f>SmtRes!I121</f>
        <v>21.1-11-134</v>
      </c>
      <c r="G108" t="str">
        <f>SmtRes!K121</f>
        <v>Клипсы для крепления изоляции</v>
      </c>
      <c r="H108" t="str">
        <f>SmtRes!O121</f>
        <v>шт.</v>
      </c>
      <c r="I108">
        <f>SmtRes!Y121*Source!I141</f>
        <v>39.599999999999994</v>
      </c>
      <c r="J108">
        <f>SmtRes!AO121</f>
        <v>1</v>
      </c>
      <c r="K108">
        <f>SmtRes!AE121</f>
        <v>2.67</v>
      </c>
      <c r="L108">
        <f>SmtRes!DB121</f>
        <v>8.01</v>
      </c>
      <c r="M108">
        <f>ROUND(ROUND(L108*Source!I141, 6)*1, 2)</f>
        <v>105.73</v>
      </c>
      <c r="N108">
        <f>SmtRes!AA121</f>
        <v>2.67</v>
      </c>
      <c r="O108">
        <f>ROUND(ROUND(L108*Source!I141, 6)*SmtRes!DA121, 2)</f>
        <v>105.73</v>
      </c>
      <c r="P108">
        <f>SmtRes!AG121</f>
        <v>0</v>
      </c>
      <c r="Q108">
        <f>SmtRes!DC121</f>
        <v>0</v>
      </c>
      <c r="R108">
        <f>ROUND(ROUND(Q108*Source!I141, 6)*1, 2)</f>
        <v>0</v>
      </c>
      <c r="S108">
        <f>SmtRes!AC121</f>
        <v>0</v>
      </c>
      <c r="T108">
        <f>ROUND(ROUND(Q108*Source!I141, 6)*SmtRes!AK121, 2)</f>
        <v>0</v>
      </c>
      <c r="U108">
        <v>3</v>
      </c>
      <c r="Z108">
        <f>SmtRes!X121</f>
        <v>-1337879256</v>
      </c>
      <c r="AA108">
        <v>-1868115588</v>
      </c>
      <c r="AB108">
        <v>333056548</v>
      </c>
    </row>
    <row r="109" spans="1:28" x14ac:dyDescent="0.2">
      <c r="A109">
        <f>Source!A142</f>
        <v>18</v>
      </c>
      <c r="B109">
        <v>142</v>
      </c>
      <c r="C109">
        <v>3</v>
      </c>
      <c r="D109">
        <f>Source!BI142</f>
        <v>4</v>
      </c>
      <c r="E109">
        <f>Source!FS142</f>
        <v>0</v>
      </c>
      <c r="F109" t="str">
        <f>Source!F142</f>
        <v>21.1-25-623</v>
      </c>
      <c r="G109" t="str">
        <f>Source!G142</f>
        <v>Лента самоклеящаяся, ширина 50 мм, толщина 3 мм, тип "K-Flex ST"</v>
      </c>
      <c r="H109" t="str">
        <f>Source!H142</f>
        <v>м</v>
      </c>
      <c r="I109">
        <f>Source!I142</f>
        <v>138.6</v>
      </c>
      <c r="J109">
        <v>1</v>
      </c>
      <c r="K109">
        <f>Source!AC142</f>
        <v>77.56</v>
      </c>
      <c r="M109">
        <f>ROUND(K109*I109, 2)</f>
        <v>10749.82</v>
      </c>
      <c r="N109">
        <f>Source!AC142*IF(Source!BC142&lt;&gt; 0, Source!BC142, 1)</f>
        <v>77.56</v>
      </c>
      <c r="O109">
        <f>ROUND(N109*I109, 2)</f>
        <v>10749.82</v>
      </c>
      <c r="P109">
        <f>Source!AE142</f>
        <v>0</v>
      </c>
      <c r="R109">
        <f>ROUND(P109*I109, 2)</f>
        <v>0</v>
      </c>
      <c r="S109">
        <f>Source!AE142*IF(Source!BS142&lt;&gt; 0, Source!BS142, 1)</f>
        <v>0</v>
      </c>
      <c r="T109">
        <f>ROUND(S109*I109, 2)</f>
        <v>0</v>
      </c>
      <c r="U109">
        <v>3</v>
      </c>
      <c r="Z109">
        <f>Source!GF142</f>
        <v>952043258</v>
      </c>
      <c r="AA109">
        <v>-839594923</v>
      </c>
      <c r="AB109">
        <v>-1270084335</v>
      </c>
    </row>
    <row r="110" spans="1:28" x14ac:dyDescent="0.2">
      <c r="A110">
        <f>Source!A143</f>
        <v>18</v>
      </c>
      <c r="B110">
        <v>143</v>
      </c>
      <c r="C110">
        <v>3</v>
      </c>
      <c r="D110">
        <f>Source!BI143</f>
        <v>4</v>
      </c>
      <c r="E110">
        <f>Source!FS143</f>
        <v>0</v>
      </c>
      <c r="F110" t="str">
        <f>Source!F143</f>
        <v>2246130000</v>
      </c>
      <c r="G110" t="str">
        <f>Source!G143</f>
        <v>Листы (рулоны) из вспененного каучука и полиэтилена</v>
      </c>
      <c r="H110" t="str">
        <f>Source!H143</f>
        <v>м2</v>
      </c>
      <c r="I110">
        <f>Source!I143</f>
        <v>3.3</v>
      </c>
      <c r="J110">
        <v>1</v>
      </c>
      <c r="K110">
        <f>Source!AC143</f>
        <v>0</v>
      </c>
      <c r="M110">
        <f>ROUND(K110*I110, 2)</f>
        <v>0</v>
      </c>
      <c r="N110">
        <f>Source!AC143*IF(Source!BC143&lt;&gt; 0, Source!BC143, 1)</f>
        <v>0</v>
      </c>
      <c r="O110">
        <f>ROUND(N110*I110, 2)</f>
        <v>0</v>
      </c>
      <c r="P110">
        <f>Source!AE143</f>
        <v>0</v>
      </c>
      <c r="R110">
        <f>ROUND(P110*I110, 2)</f>
        <v>0</v>
      </c>
      <c r="S110">
        <f>Source!AE143*IF(Source!BS143&lt;&gt; 0, Source!BS143, 1)</f>
        <v>0</v>
      </c>
      <c r="T110">
        <f>ROUND(S110*I110, 2)</f>
        <v>0</v>
      </c>
      <c r="U110">
        <v>3</v>
      </c>
      <c r="Z110">
        <f>Source!GF143</f>
        <v>2071043993</v>
      </c>
      <c r="AA110">
        <v>-411715871</v>
      </c>
      <c r="AB110">
        <v>1399589192</v>
      </c>
    </row>
    <row r="111" spans="1:28" x14ac:dyDescent="0.2">
      <c r="A111">
        <f>Source!A144</f>
        <v>18</v>
      </c>
      <c r="B111">
        <v>144</v>
      </c>
      <c r="C111">
        <v>3</v>
      </c>
      <c r="D111">
        <f>Source!BI144</f>
        <v>4</v>
      </c>
      <c r="E111">
        <f>Source!FS144</f>
        <v>0</v>
      </c>
      <c r="F111" t="str">
        <f>Source!F144</f>
        <v>21.1-14-113</v>
      </c>
      <c r="G111" t="str">
        <f>Source!G144</f>
        <v>Трубки теплоизоляционные из вспененного полиэтилена для поверхностей с температурой от -40°C до +95°С, внутренний диаметр (толщина) 89 (13) мм</v>
      </c>
      <c r="H111" t="str">
        <f>Source!H144</f>
        <v>м</v>
      </c>
      <c r="I111">
        <f>Source!I144</f>
        <v>72.45</v>
      </c>
      <c r="J111">
        <v>1</v>
      </c>
      <c r="K111">
        <f>Source!AC144</f>
        <v>220.82</v>
      </c>
      <c r="M111">
        <f>ROUND(K111*I111, 2)</f>
        <v>15998.41</v>
      </c>
      <c r="N111">
        <f>Source!AC144*IF(Source!BC144&lt;&gt; 0, Source!BC144, 1)</f>
        <v>220.82</v>
      </c>
      <c r="O111">
        <f>ROUND(N111*I111, 2)</f>
        <v>15998.41</v>
      </c>
      <c r="P111">
        <f>Source!AE144</f>
        <v>0</v>
      </c>
      <c r="R111">
        <f>ROUND(P111*I111, 2)</f>
        <v>0</v>
      </c>
      <c r="S111">
        <f>Source!AE144*IF(Source!BS144&lt;&gt; 0, Source!BS144, 1)</f>
        <v>0</v>
      </c>
      <c r="T111">
        <f>ROUND(S111*I111, 2)</f>
        <v>0</v>
      </c>
      <c r="U111">
        <v>3</v>
      </c>
      <c r="Z111">
        <f>Source!GF144</f>
        <v>-2099060053</v>
      </c>
      <c r="AA111">
        <v>-588550428</v>
      </c>
      <c r="AB111">
        <v>1587843966</v>
      </c>
    </row>
    <row r="112" spans="1:28" x14ac:dyDescent="0.2">
      <c r="A112">
        <f>Source!A145</f>
        <v>18</v>
      </c>
      <c r="B112">
        <v>145</v>
      </c>
      <c r="C112">
        <v>3</v>
      </c>
      <c r="D112">
        <f>Source!BI145</f>
        <v>4</v>
      </c>
      <c r="E112">
        <f>Source!FS145</f>
        <v>0</v>
      </c>
      <c r="F112" t="str">
        <f>Source!F145</f>
        <v>21.1-14-121</v>
      </c>
      <c r="G112" t="str">
        <f>Source!G145</f>
        <v>Трубки теплоизоляционные из вспененного полиэтилена для поверхностей с температурой от -40°C до +95°С, внутренний диаметр (толщина) 60 (13) мм</v>
      </c>
      <c r="H112" t="str">
        <f>Source!H145</f>
        <v>м</v>
      </c>
      <c r="I112">
        <f>Source!I145</f>
        <v>66.150000000000006</v>
      </c>
      <c r="J112">
        <v>1</v>
      </c>
      <c r="K112">
        <f>Source!AC145</f>
        <v>112.71</v>
      </c>
      <c r="M112">
        <f>ROUND(K112*I112, 2)</f>
        <v>7455.77</v>
      </c>
      <c r="N112">
        <f>Source!AC145*IF(Source!BC145&lt;&gt; 0, Source!BC145, 1)</f>
        <v>112.71</v>
      </c>
      <c r="O112">
        <f>ROUND(N112*I112, 2)</f>
        <v>7455.77</v>
      </c>
      <c r="P112">
        <f>Source!AE145</f>
        <v>0</v>
      </c>
      <c r="R112">
        <f>ROUND(P112*I112, 2)</f>
        <v>0</v>
      </c>
      <c r="S112">
        <f>Source!AE145*IF(Source!BS145&lt;&gt; 0, Source!BS145, 1)</f>
        <v>0</v>
      </c>
      <c r="T112">
        <f>ROUND(S112*I112, 2)</f>
        <v>0</v>
      </c>
      <c r="U112">
        <v>3</v>
      </c>
      <c r="Z112">
        <f>Source!GF145</f>
        <v>1666791963</v>
      </c>
      <c r="AA112">
        <v>2122997628</v>
      </c>
      <c r="AB112">
        <v>-1881440541</v>
      </c>
    </row>
    <row r="113" spans="1:28" x14ac:dyDescent="0.2">
      <c r="A113">
        <f>Source!A146</f>
        <v>18</v>
      </c>
      <c r="B113">
        <v>146</v>
      </c>
      <c r="C113">
        <v>3</v>
      </c>
      <c r="D113">
        <f>Source!BI146</f>
        <v>4</v>
      </c>
      <c r="E113">
        <f>Source!FS146</f>
        <v>0</v>
      </c>
      <c r="F113" t="str">
        <f>Source!F146</f>
        <v>2513110000</v>
      </c>
      <c r="G113" t="str">
        <f>Source!G146</f>
        <v>Клей</v>
      </c>
      <c r="H113" t="str">
        <f>Source!H146</f>
        <v>л</v>
      </c>
      <c r="I113">
        <f>Source!I146</f>
        <v>0</v>
      </c>
      <c r="J113">
        <v>1</v>
      </c>
      <c r="K113">
        <f>Source!AC146</f>
        <v>0</v>
      </c>
      <c r="M113">
        <f>ROUND(K113*I113, 2)</f>
        <v>0</v>
      </c>
      <c r="N113">
        <f>Source!AC146*IF(Source!BC146&lt;&gt; 0, Source!BC146, 1)</f>
        <v>0</v>
      </c>
      <c r="O113">
        <f>ROUND(N113*I113, 2)</f>
        <v>0</v>
      </c>
      <c r="P113">
        <f>Source!AE146</f>
        <v>0</v>
      </c>
      <c r="R113">
        <f>ROUND(P113*I113, 2)</f>
        <v>0</v>
      </c>
      <c r="S113">
        <f>Source!AE146*IF(Source!BS146&lt;&gt; 0, Source!BS146, 1)</f>
        <v>0</v>
      </c>
      <c r="T113">
        <f>ROUND(S113*I113, 2)</f>
        <v>0</v>
      </c>
      <c r="U113">
        <v>3</v>
      </c>
      <c r="Z113">
        <f>Source!GF146</f>
        <v>708018180</v>
      </c>
      <c r="AA113">
        <v>144610647</v>
      </c>
      <c r="AB113">
        <v>-1044329056</v>
      </c>
    </row>
    <row r="114" spans="1:28" x14ac:dyDescent="0.2">
      <c r="A114">
        <v>999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Q89"/>
  <sheetViews>
    <sheetView workbookViewId="0"/>
  </sheetViews>
  <sheetFormatPr defaultRowHeight="12.75" x14ac:dyDescent="0.2"/>
  <cols>
    <col min="1" max="1" width="18.7109375" customWidth="1"/>
    <col min="2" max="2" width="40.7109375" customWidth="1"/>
    <col min="3" max="7" width="12.7109375" customWidth="1"/>
    <col min="15" max="15" width="60.5703125" hidden="1" customWidth="1"/>
    <col min="16" max="18" width="0" hidden="1" customWidth="1"/>
  </cols>
  <sheetData>
    <row r="2" spans="1:17" ht="16.5" x14ac:dyDescent="0.2">
      <c r="A2" s="98" t="s">
        <v>459</v>
      </c>
      <c r="B2" s="99"/>
      <c r="C2" s="99"/>
      <c r="D2" s="99"/>
      <c r="E2" s="99"/>
      <c r="F2" s="99"/>
      <c r="G2" s="99"/>
    </row>
    <row r="3" spans="1:17" ht="33" x14ac:dyDescent="0.2">
      <c r="A3" s="98" t="str">
        <f>CONCATENATE("Объект: ",IF(Source!G238&lt;&gt;"Новый объект", Source!G238, ""))</f>
        <v>Объект: 920_Перовская 24. ТР-2024_(ГВС/ХВС) (СН-2012 Выпуск №2 (в ценах на 01.01.2025 г))</v>
      </c>
      <c r="B3" s="99"/>
      <c r="C3" s="99"/>
      <c r="D3" s="99"/>
      <c r="E3" s="99"/>
      <c r="F3" s="99"/>
      <c r="G3" s="99"/>
      <c r="O3" s="48" t="s">
        <v>460</v>
      </c>
    </row>
    <row r="4" spans="1:17" x14ac:dyDescent="0.2">
      <c r="A4" s="78" t="s">
        <v>461</v>
      </c>
      <c r="B4" s="78" t="s">
        <v>462</v>
      </c>
      <c r="C4" s="78" t="s">
        <v>383</v>
      </c>
      <c r="D4" s="78" t="s">
        <v>463</v>
      </c>
      <c r="E4" s="101" t="s">
        <v>464</v>
      </c>
      <c r="F4" s="102"/>
      <c r="G4" s="78" t="s">
        <v>467</v>
      </c>
    </row>
    <row r="5" spans="1:17" x14ac:dyDescent="0.2">
      <c r="A5" s="79"/>
      <c r="B5" s="79"/>
      <c r="C5" s="79"/>
      <c r="D5" s="79"/>
      <c r="E5" s="103"/>
      <c r="F5" s="104"/>
      <c r="G5" s="79"/>
    </row>
    <row r="6" spans="1:17" ht="14.25" x14ac:dyDescent="0.2">
      <c r="A6" s="100"/>
      <c r="B6" s="100"/>
      <c r="C6" s="100"/>
      <c r="D6" s="100"/>
      <c r="E6" s="19" t="s">
        <v>465</v>
      </c>
      <c r="F6" s="19" t="s">
        <v>466</v>
      </c>
      <c r="G6" s="100"/>
    </row>
    <row r="7" spans="1:17" ht="14.25" x14ac:dyDescent="0.2">
      <c r="A7" s="19">
        <v>1</v>
      </c>
      <c r="B7" s="19">
        <v>2</v>
      </c>
      <c r="C7" s="19">
        <v>3</v>
      </c>
      <c r="D7" s="19">
        <v>4</v>
      </c>
      <c r="E7" s="19">
        <v>5</v>
      </c>
      <c r="F7" s="19">
        <v>6</v>
      </c>
      <c r="G7" s="19">
        <v>7</v>
      </c>
    </row>
    <row r="8" spans="1:17" ht="16.5" x14ac:dyDescent="0.2">
      <c r="A8" s="98" t="str">
        <f>CONCATENATE("Локальная смета: ",IF(Source!G22&lt;&gt;"Новая локальная смета", Source!G22, ""))</f>
        <v xml:space="preserve">Локальная смета: </v>
      </c>
      <c r="B8" s="99"/>
      <c r="C8" s="99"/>
      <c r="D8" s="99"/>
      <c r="E8" s="99"/>
      <c r="F8" s="99"/>
      <c r="G8" s="99"/>
    </row>
    <row r="9" spans="1:17" ht="16.5" x14ac:dyDescent="0.2">
      <c r="A9" s="98" t="str">
        <f>CONCATENATE("Раздел: ",IF(Source!G26&lt;&gt;"Новый раздел", Source!G26, ""))</f>
        <v>Раздел: 2 эт. Санузел</v>
      </c>
      <c r="B9" s="99"/>
      <c r="C9" s="99"/>
      <c r="D9" s="99"/>
      <c r="E9" s="99"/>
      <c r="F9" s="99"/>
      <c r="G9" s="99"/>
    </row>
    <row r="10" spans="1:17" ht="16.5" x14ac:dyDescent="0.2">
      <c r="A10" s="98" t="str">
        <f>CONCATENATE("Подраздел: ",IF(Source!G30&lt;&gt;"Новый подраздел", Source!G30, ""))</f>
        <v>Подраздел: ГВС/ХВС</v>
      </c>
      <c r="B10" s="99"/>
      <c r="C10" s="99"/>
      <c r="D10" s="99"/>
      <c r="E10" s="99"/>
      <c r="F10" s="99"/>
      <c r="G10" s="99"/>
    </row>
    <row r="11" spans="1:17" ht="14.25" x14ac:dyDescent="0.2">
      <c r="A11" s="96" t="s">
        <v>468</v>
      </c>
      <c r="B11" s="97"/>
      <c r="C11" s="97"/>
      <c r="D11" s="97"/>
      <c r="E11" s="97"/>
      <c r="F11" s="97"/>
      <c r="G11" s="97"/>
    </row>
    <row r="12" spans="1:17" ht="28.5" x14ac:dyDescent="0.2">
      <c r="A12" s="49" t="s">
        <v>285</v>
      </c>
      <c r="B12" s="41" t="s">
        <v>287</v>
      </c>
      <c r="C12" s="41" t="s">
        <v>260</v>
      </c>
      <c r="D12" s="42">
        <f>ROUND(SUMIF(RV_DATA!AB9:AB61, 1995334730, RV_DATA!I9:I61), 6)</f>
        <v>0</v>
      </c>
      <c r="E12" s="50">
        <f>ROUND(RV_DATA!K31, 6)</f>
        <v>68.260000000000005</v>
      </c>
      <c r="F12" s="50">
        <f>ROUND(SUMIF(RV_DATA!AB9:AB61, 1995334730, RV_DATA!M9:M61), 6)</f>
        <v>0</v>
      </c>
      <c r="G12" s="50">
        <f>ROUND(SUMIF(RV_DATA!AB9:AB61, 1995334730, RV_DATA!O9:O61), 6)</f>
        <v>0</v>
      </c>
      <c r="Q12">
        <v>2</v>
      </c>
    </row>
    <row r="13" spans="1:17" ht="28.5" x14ac:dyDescent="0.2">
      <c r="A13" s="49" t="s">
        <v>257</v>
      </c>
      <c r="B13" s="41" t="s">
        <v>259</v>
      </c>
      <c r="C13" s="41" t="s">
        <v>260</v>
      </c>
      <c r="D13" s="42">
        <f>ROUND(SUMIF(RV_DATA!AB9:AB61, 1365080743, RV_DATA!I9:I61), 6)</f>
        <v>0</v>
      </c>
      <c r="E13" s="50">
        <f>ROUND(RV_DATA!K16, 6)</f>
        <v>1369.82</v>
      </c>
      <c r="F13" s="50">
        <f>ROUND(SUMIF(RV_DATA!AB9:AB61, 1365080743, RV_DATA!M9:M61), 6)</f>
        <v>0</v>
      </c>
      <c r="G13" s="50">
        <f>ROUND(SUMIF(RV_DATA!AB9:AB61, 1365080743, RV_DATA!O9:O61), 6)</f>
        <v>0</v>
      </c>
      <c r="Q13">
        <v>2</v>
      </c>
    </row>
    <row r="14" spans="1:17" ht="28.5" x14ac:dyDescent="0.2">
      <c r="A14" s="49" t="s">
        <v>313</v>
      </c>
      <c r="B14" s="41" t="s">
        <v>315</v>
      </c>
      <c r="C14" s="41" t="s">
        <v>260</v>
      </c>
      <c r="D14" s="42">
        <f>ROUND(SUMIF(RV_DATA!AB9:AB61, -239416640, RV_DATA!I9:I61), 6)</f>
        <v>0.72</v>
      </c>
      <c r="E14" s="50">
        <f>ROUND(RV_DATA!K49, 6)</f>
        <v>34.270000000000003</v>
      </c>
      <c r="F14" s="50">
        <f>ROUND(SUMIF(RV_DATA!AB9:AB61, -239416640, RV_DATA!M9:M61), 6)</f>
        <v>24.67</v>
      </c>
      <c r="G14" s="50">
        <f>ROUND(SUMIF(RV_DATA!AB9:AB61, -239416640, RV_DATA!O9:O61), 6)</f>
        <v>24.67</v>
      </c>
      <c r="Q14">
        <v>2</v>
      </c>
    </row>
    <row r="15" spans="1:17" ht="15" x14ac:dyDescent="0.25">
      <c r="A15" s="94" t="s">
        <v>469</v>
      </c>
      <c r="B15" s="94"/>
      <c r="C15" s="94"/>
      <c r="D15" s="94"/>
      <c r="E15" s="95">
        <f>SUMIF(Q12:Q14, 2, F12:F14)</f>
        <v>24.67</v>
      </c>
      <c r="F15" s="95"/>
      <c r="G15" s="51"/>
    </row>
    <row r="16" spans="1:17" ht="14.25" x14ac:dyDescent="0.2">
      <c r="A16" s="96" t="s">
        <v>470</v>
      </c>
      <c r="B16" s="97"/>
      <c r="C16" s="97"/>
      <c r="D16" s="97"/>
      <c r="E16" s="97"/>
      <c r="F16" s="97"/>
      <c r="G16" s="97"/>
    </row>
    <row r="17" spans="1:17" ht="14.25" x14ac:dyDescent="0.2">
      <c r="A17" s="49" t="s">
        <v>27</v>
      </c>
      <c r="B17" s="41" t="s">
        <v>28</v>
      </c>
      <c r="C17" s="41" t="s">
        <v>29</v>
      </c>
      <c r="D17" s="42">
        <f>ROUND(SUMIF(RV_DATA!AB9:AB61, 1360976382, RV_DATA!I9:I61), 6)</f>
        <v>0</v>
      </c>
      <c r="E17" s="50">
        <f>ROUND(RV_DATA!K17, 6)</f>
        <v>0</v>
      </c>
      <c r="F17" s="50">
        <f>ROUND(SUMIF(RV_DATA!AB9:AB61, 1360976382, RV_DATA!M9:M61), 6)</f>
        <v>0</v>
      </c>
      <c r="G17" s="50">
        <f>ROUND(SUMIF(RV_DATA!AB9:AB61, 1360976382, RV_DATA!O9:O61), 6)</f>
        <v>0</v>
      </c>
      <c r="Q17">
        <v>3</v>
      </c>
    </row>
    <row r="18" spans="1:17" ht="57" x14ac:dyDescent="0.2">
      <c r="A18" s="49" t="s">
        <v>261</v>
      </c>
      <c r="B18" s="41" t="s">
        <v>263</v>
      </c>
      <c r="C18" s="41" t="s">
        <v>264</v>
      </c>
      <c r="D18" s="42">
        <f>ROUND(SUMIF(RV_DATA!AB9:AB61, 1444829627, RV_DATA!I9:I61), 6)</f>
        <v>0</v>
      </c>
      <c r="E18" s="50">
        <f>ROUND(RV_DATA!K15, 6)</f>
        <v>261.27999999999997</v>
      </c>
      <c r="F18" s="50">
        <f>ROUND(SUMIF(RV_DATA!AB9:AB61, 1444829627, RV_DATA!M9:M61), 6)</f>
        <v>0</v>
      </c>
      <c r="G18" s="50">
        <f>ROUND(SUMIF(RV_DATA!AB9:AB61, 1444829627, RV_DATA!O9:O61), 6)</f>
        <v>0</v>
      </c>
      <c r="Q18">
        <v>3</v>
      </c>
    </row>
    <row r="19" spans="1:17" ht="14.25" x14ac:dyDescent="0.2">
      <c r="A19" s="49" t="s">
        <v>265</v>
      </c>
      <c r="B19" s="41" t="s">
        <v>267</v>
      </c>
      <c r="C19" s="41" t="s">
        <v>200</v>
      </c>
      <c r="D19" s="42">
        <f>ROUND(SUMIF(RV_DATA!AB9:AB61, -79849415, RV_DATA!I9:I61), 6)</f>
        <v>0</v>
      </c>
      <c r="E19" s="50">
        <f>ROUND(RV_DATA!K14, 6)</f>
        <v>233970.16</v>
      </c>
      <c r="F19" s="50">
        <f>ROUND(SUMIF(RV_DATA!AB9:AB61, -79849415, RV_DATA!M9:M61), 6)</f>
        <v>0</v>
      </c>
      <c r="G19" s="50">
        <f>ROUND(SUMIF(RV_DATA!AB9:AB61, -79849415, RV_DATA!O9:O61), 6)</f>
        <v>0</v>
      </c>
      <c r="Q19">
        <v>3</v>
      </c>
    </row>
    <row r="20" spans="1:17" ht="14.25" x14ac:dyDescent="0.2">
      <c r="A20" s="49" t="s">
        <v>268</v>
      </c>
      <c r="B20" s="41" t="s">
        <v>270</v>
      </c>
      <c r="C20" s="41" t="s">
        <v>271</v>
      </c>
      <c r="D20" s="42">
        <f>ROUND(SUMIF(RV_DATA!AB9:AB61, 1314847519, RV_DATA!I9:I61), 6)</f>
        <v>0</v>
      </c>
      <c r="E20" s="50">
        <f>ROUND(RV_DATA!K13, 6)</f>
        <v>1151.6600000000001</v>
      </c>
      <c r="F20" s="50">
        <f>ROUND(SUMIF(RV_DATA!AB9:AB61, 1314847519, RV_DATA!M9:M61), 6)</f>
        <v>0</v>
      </c>
      <c r="G20" s="50">
        <f>ROUND(SUMIF(RV_DATA!AB9:AB61, 1314847519, RV_DATA!O9:O61), 6)</f>
        <v>0</v>
      </c>
      <c r="Q20">
        <v>3</v>
      </c>
    </row>
    <row r="21" spans="1:17" ht="14.25" x14ac:dyDescent="0.2">
      <c r="A21" s="49" t="s">
        <v>272</v>
      </c>
      <c r="B21" s="41" t="s">
        <v>274</v>
      </c>
      <c r="C21" s="41" t="s">
        <v>264</v>
      </c>
      <c r="D21" s="42">
        <f>ROUND(SUMIF(RV_DATA!AB9:AB61, 1094326589, RV_DATA!I9:I61), 6)</f>
        <v>0</v>
      </c>
      <c r="E21" s="50">
        <f>ROUND(RV_DATA!K12, 6)</f>
        <v>97.56</v>
      </c>
      <c r="F21" s="50">
        <f>ROUND(SUMIF(RV_DATA!AB9:AB61, 1094326589, RV_DATA!M9:M61), 6)</f>
        <v>0</v>
      </c>
      <c r="G21" s="50">
        <f>ROUND(SUMIF(RV_DATA!AB9:AB61, 1094326589, RV_DATA!O9:O61), 6)</f>
        <v>0</v>
      </c>
      <c r="Q21">
        <v>3</v>
      </c>
    </row>
    <row r="22" spans="1:17" ht="14.25" x14ac:dyDescent="0.2">
      <c r="A22" s="49" t="s">
        <v>275</v>
      </c>
      <c r="B22" s="41" t="s">
        <v>277</v>
      </c>
      <c r="C22" s="41" t="s">
        <v>200</v>
      </c>
      <c r="D22" s="42">
        <f>ROUND(SUMIF(RV_DATA!AB9:AB61, 1539201696, RV_DATA!I9:I61), 6)</f>
        <v>0</v>
      </c>
      <c r="E22" s="50">
        <f>ROUND(RV_DATA!K11, 6)</f>
        <v>67221.42</v>
      </c>
      <c r="F22" s="50">
        <f>ROUND(SUMIF(RV_DATA!AB9:AB61, 1539201696, RV_DATA!M9:M61), 6)</f>
        <v>0</v>
      </c>
      <c r="G22" s="50">
        <f>ROUND(SUMIF(RV_DATA!AB9:AB61, 1539201696, RV_DATA!O9:O61), 6)</f>
        <v>0</v>
      </c>
      <c r="Q22">
        <v>3</v>
      </c>
    </row>
    <row r="23" spans="1:17" ht="42.75" x14ac:dyDescent="0.2">
      <c r="A23" s="49" t="s">
        <v>288</v>
      </c>
      <c r="B23" s="41" t="s">
        <v>290</v>
      </c>
      <c r="C23" s="41" t="s">
        <v>291</v>
      </c>
      <c r="D23" s="42">
        <f>ROUND(SUMIF(RV_DATA!AB9:AB61, 385212888, RV_DATA!I9:I61), 6)</f>
        <v>0</v>
      </c>
      <c r="E23" s="50">
        <f>ROUND(RV_DATA!K29, 6)</f>
        <v>43480.06</v>
      </c>
      <c r="F23" s="50">
        <f>ROUND(SUMIF(RV_DATA!AB9:AB61, 385212888, RV_DATA!M9:M61), 6)</f>
        <v>0</v>
      </c>
      <c r="G23" s="50">
        <f>ROUND(SUMIF(RV_DATA!AB9:AB61, 385212888, RV_DATA!O9:O61), 6)</f>
        <v>0</v>
      </c>
      <c r="Q23">
        <v>3</v>
      </c>
    </row>
    <row r="24" spans="1:17" ht="42.75" x14ac:dyDescent="0.2">
      <c r="A24" s="49" t="s">
        <v>68</v>
      </c>
      <c r="B24" s="41" t="s">
        <v>69</v>
      </c>
      <c r="C24" s="41" t="s">
        <v>29</v>
      </c>
      <c r="D24" s="42">
        <f>ROUND(SUMIF(RV_DATA!AB9:AB61, -1486614306, RV_DATA!I9:I61), 6)</f>
        <v>0</v>
      </c>
      <c r="E24" s="50">
        <f>ROUND(RV_DATA!K47, 6)</f>
        <v>369.5</v>
      </c>
      <c r="F24" s="50">
        <f>ROUND(SUMIF(RV_DATA!AB9:AB61, -1486614306, RV_DATA!M9:M61), 6)</f>
        <v>0</v>
      </c>
      <c r="G24" s="50">
        <f>ROUND(SUMIF(RV_DATA!AB9:AB61, -1486614306, RV_DATA!O9:O61), 6)</f>
        <v>0</v>
      </c>
      <c r="Q24">
        <v>3</v>
      </c>
    </row>
    <row r="25" spans="1:17" ht="57" x14ac:dyDescent="0.2">
      <c r="A25" s="49" t="s">
        <v>292</v>
      </c>
      <c r="B25" s="41" t="s">
        <v>294</v>
      </c>
      <c r="C25" s="41" t="s">
        <v>33</v>
      </c>
      <c r="D25" s="42">
        <f>ROUND(SUMIF(RV_DATA!AB9:AB61, -1257753535, RV_DATA!I9:I61), 6)</f>
        <v>0</v>
      </c>
      <c r="E25" s="50">
        <f>ROUND(RV_DATA!K28, 6)</f>
        <v>425.36</v>
      </c>
      <c r="F25" s="50">
        <f>ROUND(SUMIF(RV_DATA!AB9:AB61, -1257753535, RV_DATA!M9:M61), 6)</f>
        <v>0</v>
      </c>
      <c r="G25" s="50">
        <f>ROUND(SUMIF(RV_DATA!AB9:AB61, -1257753535, RV_DATA!O9:O61), 6)</f>
        <v>0</v>
      </c>
      <c r="Q25">
        <v>3</v>
      </c>
    </row>
    <row r="26" spans="1:17" ht="28.5" x14ac:dyDescent="0.2">
      <c r="A26" s="49" t="s">
        <v>295</v>
      </c>
      <c r="B26" s="41" t="s">
        <v>297</v>
      </c>
      <c r="C26" s="41" t="s">
        <v>200</v>
      </c>
      <c r="D26" s="42">
        <f>ROUND(SUMIF(RV_DATA!AB9:AB61, -1638417647, RV_DATA!I9:I61), 6)</f>
        <v>0</v>
      </c>
      <c r="E26" s="50">
        <f>ROUND(RV_DATA!K27, 6)</f>
        <v>107698.04</v>
      </c>
      <c r="F26" s="50">
        <f>ROUND(SUMIF(RV_DATA!AB9:AB61, -1638417647, RV_DATA!M9:M61), 6)</f>
        <v>0</v>
      </c>
      <c r="G26" s="50">
        <f>ROUND(SUMIF(RV_DATA!AB9:AB61, -1638417647, RV_DATA!O9:O61), 6)</f>
        <v>0</v>
      </c>
      <c r="Q26">
        <v>3</v>
      </c>
    </row>
    <row r="27" spans="1:17" ht="28.5" x14ac:dyDescent="0.2">
      <c r="A27" s="49" t="s">
        <v>316</v>
      </c>
      <c r="B27" s="41" t="s">
        <v>318</v>
      </c>
      <c r="C27" s="41" t="s">
        <v>200</v>
      </c>
      <c r="D27" s="42">
        <f>ROUND(SUMIF(RV_DATA!AB9:AB61, -1022481529, RV_DATA!I9:I61), 6)</f>
        <v>0</v>
      </c>
      <c r="E27" s="50">
        <f>ROUND(RV_DATA!K48, 6)</f>
        <v>106831.32</v>
      </c>
      <c r="F27" s="50">
        <f>ROUND(SUMIF(RV_DATA!AB9:AB61, -1022481529, RV_DATA!M9:M61), 6)</f>
        <v>0</v>
      </c>
      <c r="G27" s="50">
        <f>ROUND(SUMIF(RV_DATA!AB9:AB61, -1022481529, RV_DATA!O9:O61), 6)</f>
        <v>0</v>
      </c>
      <c r="Q27">
        <v>3</v>
      </c>
    </row>
    <row r="28" spans="1:17" ht="28.5" x14ac:dyDescent="0.2">
      <c r="A28" s="49" t="s">
        <v>316</v>
      </c>
      <c r="B28" s="41" t="s">
        <v>318</v>
      </c>
      <c r="C28" s="41" t="s">
        <v>200</v>
      </c>
      <c r="D28" s="42">
        <f>ROUND(SUMIF(RV_DATA!AB9:AB61, -1276368308, RV_DATA!I9:I61), 6)</f>
        <v>1.3999999999999999E-4</v>
      </c>
      <c r="E28" s="50">
        <f>ROUND(RV_DATA!K54, 6)</f>
        <v>106831.32</v>
      </c>
      <c r="F28" s="50">
        <f>ROUND(SUMIF(RV_DATA!AB9:AB61, -1276368308, RV_DATA!M9:M61), 6)</f>
        <v>14.96</v>
      </c>
      <c r="G28" s="50">
        <f>ROUND(SUMIF(RV_DATA!AB9:AB61, -1276368308, RV_DATA!O9:O61), 6)</f>
        <v>14.96</v>
      </c>
      <c r="Q28">
        <v>3</v>
      </c>
    </row>
    <row r="29" spans="1:17" ht="14.25" x14ac:dyDescent="0.2">
      <c r="A29" s="49" t="s">
        <v>278</v>
      </c>
      <c r="B29" s="41" t="s">
        <v>280</v>
      </c>
      <c r="C29" s="41" t="s">
        <v>281</v>
      </c>
      <c r="D29" s="42">
        <f>ROUND(SUMIF(RV_DATA!AB9:AB61, -1079220036, RV_DATA!I9:I61), 6)</f>
        <v>0</v>
      </c>
      <c r="E29" s="50">
        <f>ROUND(RV_DATA!K10, 6)</f>
        <v>49.83</v>
      </c>
      <c r="F29" s="50">
        <f>ROUND(SUMIF(RV_DATA!AB9:AB61, -1079220036, RV_DATA!M9:M61), 6)</f>
        <v>0</v>
      </c>
      <c r="G29" s="50">
        <f>ROUND(SUMIF(RV_DATA!AB9:AB61, -1079220036, RV_DATA!O9:O61), 6)</f>
        <v>0</v>
      </c>
      <c r="Q29">
        <v>3</v>
      </c>
    </row>
    <row r="30" spans="1:17" ht="42.75" x14ac:dyDescent="0.2">
      <c r="A30" s="49" t="s">
        <v>51</v>
      </c>
      <c r="B30" s="41" t="s">
        <v>52</v>
      </c>
      <c r="C30" s="41" t="s">
        <v>33</v>
      </c>
      <c r="D30" s="42">
        <f>ROUND(SUMIF(RV_DATA!AB9:AB61, 1133087441, RV_DATA!I9:I61), 6)</f>
        <v>0</v>
      </c>
      <c r="E30" s="50">
        <f>ROUND(RV_DATA!K42, 6)</f>
        <v>30.32</v>
      </c>
      <c r="F30" s="50">
        <f>ROUND(SUMIF(RV_DATA!AB9:AB61, 1133087441, RV_DATA!M9:M61), 6)</f>
        <v>0</v>
      </c>
      <c r="G30" s="50">
        <f>ROUND(SUMIF(RV_DATA!AB9:AB61, 1133087441, RV_DATA!O9:O61), 6)</f>
        <v>0</v>
      </c>
      <c r="Q30">
        <v>3</v>
      </c>
    </row>
    <row r="31" spans="1:17" ht="42.75" x14ac:dyDescent="0.2">
      <c r="A31" s="49" t="s">
        <v>298</v>
      </c>
      <c r="B31" s="41" t="s">
        <v>300</v>
      </c>
      <c r="C31" s="41" t="s">
        <v>264</v>
      </c>
      <c r="D31" s="42">
        <f>ROUND(SUMIF(RV_DATA!AB9:AB61, -1295179831, RV_DATA!I9:I61), 6)</f>
        <v>0</v>
      </c>
      <c r="E31" s="50">
        <f>ROUND(RV_DATA!K25, 6)</f>
        <v>745.17</v>
      </c>
      <c r="F31" s="50">
        <f>ROUND(SUMIF(RV_DATA!AB9:AB61, -1295179831, RV_DATA!M9:M61), 6)</f>
        <v>0</v>
      </c>
      <c r="G31" s="50">
        <f>ROUND(SUMIF(RV_DATA!AB9:AB61, -1295179831, RV_DATA!O9:O61), 6)</f>
        <v>0</v>
      </c>
      <c r="Q31">
        <v>3</v>
      </c>
    </row>
    <row r="32" spans="1:17" ht="42.75" x14ac:dyDescent="0.2">
      <c r="A32" s="49" t="s">
        <v>298</v>
      </c>
      <c r="B32" s="41" t="s">
        <v>300</v>
      </c>
      <c r="C32" s="41" t="s">
        <v>264</v>
      </c>
      <c r="D32" s="42">
        <f>ROUND(SUMIF(RV_DATA!AB9:AB61, 555785405, RV_DATA!I9:I61), 6)</f>
        <v>1.26E-2</v>
      </c>
      <c r="E32" s="50">
        <f>ROUND(RV_DATA!K60, 6)</f>
        <v>745.17</v>
      </c>
      <c r="F32" s="50">
        <f>ROUND(SUMIF(RV_DATA!AB9:AB61, 555785405, RV_DATA!M9:M61), 6)</f>
        <v>9.39</v>
      </c>
      <c r="G32" s="50">
        <f>ROUND(SUMIF(RV_DATA!AB9:AB61, 555785405, RV_DATA!O9:O61), 6)</f>
        <v>9.39</v>
      </c>
      <c r="Q32">
        <v>3</v>
      </c>
    </row>
    <row r="33" spans="1:17" ht="42.75" x14ac:dyDescent="0.2">
      <c r="A33" s="49" t="s">
        <v>55</v>
      </c>
      <c r="B33" s="41" t="s">
        <v>56</v>
      </c>
      <c r="C33" s="41" t="s">
        <v>33</v>
      </c>
      <c r="D33" s="42">
        <f>ROUND(SUMIF(RV_DATA!AB9:AB61, -763742453, RV_DATA!I9:I61), 6)</f>
        <v>0</v>
      </c>
      <c r="E33" s="50">
        <f>ROUND(RV_DATA!K43, 6)</f>
        <v>42.39</v>
      </c>
      <c r="F33" s="50">
        <f>ROUND(SUMIF(RV_DATA!AB9:AB61, -763742453, RV_DATA!M9:M61), 6)</f>
        <v>0</v>
      </c>
      <c r="G33" s="50">
        <f>ROUND(SUMIF(RV_DATA!AB9:AB61, -763742453, RV_DATA!O9:O61), 6)</f>
        <v>0</v>
      </c>
      <c r="Q33">
        <v>3</v>
      </c>
    </row>
    <row r="34" spans="1:17" ht="57" x14ac:dyDescent="0.2">
      <c r="A34" s="49" t="s">
        <v>64</v>
      </c>
      <c r="B34" s="41" t="s">
        <v>65</v>
      </c>
      <c r="C34" s="41" t="s">
        <v>29</v>
      </c>
      <c r="D34" s="42">
        <f>ROUND(SUMIF(RV_DATA!AB9:AB61, -422280581, RV_DATA!I9:I61), 6)</f>
        <v>0</v>
      </c>
      <c r="E34" s="50">
        <f>ROUND(RV_DATA!K46, 6)</f>
        <v>159.86000000000001</v>
      </c>
      <c r="F34" s="50">
        <f>ROUND(SUMIF(RV_DATA!AB9:AB61, -422280581, RV_DATA!M9:M61), 6)</f>
        <v>0</v>
      </c>
      <c r="G34" s="50">
        <f>ROUND(SUMIF(RV_DATA!AB9:AB61, -422280581, RV_DATA!O9:O61), 6)</f>
        <v>0</v>
      </c>
      <c r="Q34">
        <v>3</v>
      </c>
    </row>
    <row r="35" spans="1:17" ht="57" x14ac:dyDescent="0.2">
      <c r="A35" s="49" t="s">
        <v>59</v>
      </c>
      <c r="B35" s="41" t="s">
        <v>60</v>
      </c>
      <c r="C35" s="41" t="s">
        <v>29</v>
      </c>
      <c r="D35" s="42">
        <f>ROUND(SUMIF(RV_DATA!AB9:AB61, 1473452591, RV_DATA!I9:I61), 6)</f>
        <v>0</v>
      </c>
      <c r="E35" s="50">
        <f>ROUND(RV_DATA!K44, 6)</f>
        <v>207.07</v>
      </c>
      <c r="F35" s="50">
        <f>ROUND(SUMIF(RV_DATA!AB9:AB61, 1473452591, RV_DATA!M9:M61), 6)</f>
        <v>0</v>
      </c>
      <c r="G35" s="50">
        <f>ROUND(SUMIF(RV_DATA!AB9:AB61, 1473452591, RV_DATA!O9:O61), 6)</f>
        <v>0</v>
      </c>
      <c r="Q35">
        <v>3</v>
      </c>
    </row>
    <row r="36" spans="1:17" ht="14.25" x14ac:dyDescent="0.2">
      <c r="A36" s="49" t="s">
        <v>282</v>
      </c>
      <c r="B36" s="41" t="s">
        <v>284</v>
      </c>
      <c r="C36" s="41" t="s">
        <v>264</v>
      </c>
      <c r="D36" s="42">
        <f>ROUND(SUMIF(RV_DATA!AB9:AB61, -641998656, RV_DATA!I9:I61), 6)</f>
        <v>0</v>
      </c>
      <c r="E36" s="50">
        <f>ROUND(RV_DATA!K9, 6)</f>
        <v>495.12</v>
      </c>
      <c r="F36" s="50">
        <f>ROUND(SUMIF(RV_DATA!AB9:AB61, -641998656, RV_DATA!M9:M61), 6)</f>
        <v>0</v>
      </c>
      <c r="G36" s="50">
        <f>ROUND(SUMIF(RV_DATA!AB9:AB61, -641998656, RV_DATA!O9:O61), 6)</f>
        <v>0</v>
      </c>
      <c r="Q36">
        <v>3</v>
      </c>
    </row>
    <row r="37" spans="1:17" ht="71.25" x14ac:dyDescent="0.2">
      <c r="A37" s="49" t="s">
        <v>94</v>
      </c>
      <c r="B37" s="41" t="s">
        <v>95</v>
      </c>
      <c r="C37" s="41" t="s">
        <v>29</v>
      </c>
      <c r="D37" s="42">
        <f>ROUND(SUMIF(RV_DATA!AB9:AB61, 1422903812, RV_DATA!I9:I61), 6)</f>
        <v>2</v>
      </c>
      <c r="E37" s="50">
        <f>ROUND(RV_DATA!K61, 6)</f>
        <v>6110.12</v>
      </c>
      <c r="F37" s="50">
        <f>ROUND(SUMIF(RV_DATA!AB9:AB61, 1422903812, RV_DATA!M9:M61), 6)</f>
        <v>12220.24</v>
      </c>
      <c r="G37" s="50">
        <f>ROUND(SUMIF(RV_DATA!AB9:AB61, 1422903812, RV_DATA!O9:O61), 6)</f>
        <v>12220.24</v>
      </c>
      <c r="Q37">
        <v>3</v>
      </c>
    </row>
    <row r="38" spans="1:17" ht="42.75" x14ac:dyDescent="0.2">
      <c r="A38" s="49" t="s">
        <v>45</v>
      </c>
      <c r="B38" s="41" t="s">
        <v>46</v>
      </c>
      <c r="C38" s="41" t="s">
        <v>29</v>
      </c>
      <c r="D38" s="42">
        <f>ROUND(SUMIF(RV_DATA!AB9:AB61, 699391955, RV_DATA!I9:I61), 6)</f>
        <v>0</v>
      </c>
      <c r="E38" s="50">
        <f>ROUND(RV_DATA!K32, 6)</f>
        <v>148.13999999999999</v>
      </c>
      <c r="F38" s="50">
        <f>ROUND(SUMIF(RV_DATA!AB9:AB61, 699391955, RV_DATA!M9:M61), 6)</f>
        <v>0</v>
      </c>
      <c r="G38" s="50">
        <f>ROUND(SUMIF(RV_DATA!AB9:AB61, 699391955, RV_DATA!O9:O61), 6)</f>
        <v>0</v>
      </c>
      <c r="Q38">
        <v>3</v>
      </c>
    </row>
    <row r="39" spans="1:17" ht="14.25" x14ac:dyDescent="0.2">
      <c r="A39" s="49" t="s">
        <v>301</v>
      </c>
      <c r="B39" s="41" t="s">
        <v>303</v>
      </c>
      <c r="C39" s="41" t="s">
        <v>281</v>
      </c>
      <c r="D39" s="42">
        <f>ROUND(SUMIF(RV_DATA!AB9:AB61, -592995783, RV_DATA!I9:I61), 6)</f>
        <v>0</v>
      </c>
      <c r="E39" s="50">
        <f>ROUND(RV_DATA!K24, 6)</f>
        <v>89.3</v>
      </c>
      <c r="F39" s="50">
        <f>ROUND(SUMIF(RV_DATA!AB9:AB61, -592995783, RV_DATA!M9:M61), 6)</f>
        <v>0</v>
      </c>
      <c r="G39" s="50">
        <f>ROUND(SUMIF(RV_DATA!AB9:AB61, -592995783, RV_DATA!O9:O61), 6)</f>
        <v>0</v>
      </c>
      <c r="Q39">
        <v>3</v>
      </c>
    </row>
    <row r="40" spans="1:17" ht="14.25" x14ac:dyDescent="0.2">
      <c r="A40" s="49" t="s">
        <v>304</v>
      </c>
      <c r="B40" s="41" t="s">
        <v>306</v>
      </c>
      <c r="C40" s="41" t="s">
        <v>281</v>
      </c>
      <c r="D40" s="42">
        <f>ROUND(SUMIF(RV_DATA!AB9:AB61, -43975899, RV_DATA!I9:I61), 6)</f>
        <v>0</v>
      </c>
      <c r="E40" s="50">
        <f>ROUND(RV_DATA!K23, 6)</f>
        <v>698.15</v>
      </c>
      <c r="F40" s="50">
        <f>ROUND(SUMIF(RV_DATA!AB9:AB61, -43975899, RV_DATA!M9:M61), 6)</f>
        <v>0</v>
      </c>
      <c r="G40" s="50">
        <f>ROUND(SUMIF(RV_DATA!AB9:AB61, -43975899, RV_DATA!O9:O61), 6)</f>
        <v>0</v>
      </c>
      <c r="Q40">
        <v>3</v>
      </c>
    </row>
    <row r="41" spans="1:17" ht="71.25" x14ac:dyDescent="0.2">
      <c r="A41" s="49" t="s">
        <v>307</v>
      </c>
      <c r="B41" s="41" t="s">
        <v>309</v>
      </c>
      <c r="C41" s="41" t="s">
        <v>200</v>
      </c>
      <c r="D41" s="42">
        <f>ROUND(SUMIF(RV_DATA!AB9:AB61, -1682720140, RV_DATA!I9:I61), 6)</f>
        <v>0</v>
      </c>
      <c r="E41" s="50">
        <f>ROUND(RV_DATA!K22, 6)</f>
        <v>115885.91</v>
      </c>
      <c r="F41" s="50">
        <f>ROUND(SUMIF(RV_DATA!AB9:AB61, -1682720140, RV_DATA!M9:M61), 6)</f>
        <v>0</v>
      </c>
      <c r="G41" s="50">
        <f>ROUND(SUMIF(RV_DATA!AB9:AB61, -1682720140, RV_DATA!O9:O61), 6)</f>
        <v>0</v>
      </c>
      <c r="Q41">
        <v>3</v>
      </c>
    </row>
    <row r="42" spans="1:17" ht="71.25" x14ac:dyDescent="0.2">
      <c r="A42" s="49" t="s">
        <v>307</v>
      </c>
      <c r="B42" s="41" t="s">
        <v>309</v>
      </c>
      <c r="C42" s="41" t="s">
        <v>200</v>
      </c>
      <c r="D42" s="42">
        <f>ROUND(SUMIF(RV_DATA!AB9:AB61, 774362928, RV_DATA!I9:I61), 6)</f>
        <v>2.5999999999999998E-5</v>
      </c>
      <c r="E42" s="50">
        <f>ROUND(RV_DATA!K59, 6)</f>
        <v>115885.91</v>
      </c>
      <c r="F42" s="50">
        <f>ROUND(SUMIF(RV_DATA!AB9:AB61, 774362928, RV_DATA!M9:M61), 6)</f>
        <v>3.01</v>
      </c>
      <c r="G42" s="50">
        <f>ROUND(SUMIF(RV_DATA!AB9:AB61, 774362928, RV_DATA!O9:O61), 6)</f>
        <v>3.01</v>
      </c>
      <c r="Q42">
        <v>3</v>
      </c>
    </row>
    <row r="43" spans="1:17" ht="28.5" x14ac:dyDescent="0.2">
      <c r="A43" s="49" t="s">
        <v>310</v>
      </c>
      <c r="B43" s="41" t="s">
        <v>312</v>
      </c>
      <c r="C43" s="41" t="s">
        <v>264</v>
      </c>
      <c r="D43" s="42">
        <f>ROUND(SUMIF(RV_DATA!AB9:AB61, -438707420, RV_DATA!I9:I61), 6)</f>
        <v>0</v>
      </c>
      <c r="E43" s="50">
        <f>ROUND(RV_DATA!K21, 6)</f>
        <v>92.85</v>
      </c>
      <c r="F43" s="50">
        <f>ROUND(SUMIF(RV_DATA!AB9:AB61, -438707420, RV_DATA!M9:M61), 6)</f>
        <v>0</v>
      </c>
      <c r="G43" s="50">
        <f>ROUND(SUMIF(RV_DATA!AB9:AB61, -438707420, RV_DATA!O9:O61), 6)</f>
        <v>0</v>
      </c>
      <c r="Q43">
        <v>3</v>
      </c>
    </row>
    <row r="44" spans="1:17" ht="28.5" x14ac:dyDescent="0.2">
      <c r="A44" s="49" t="s">
        <v>310</v>
      </c>
      <c r="B44" s="41" t="s">
        <v>312</v>
      </c>
      <c r="C44" s="41" t="s">
        <v>264</v>
      </c>
      <c r="D44" s="42">
        <f>ROUND(SUMIF(RV_DATA!AB9:AB61, -1715327862, RV_DATA!I9:I61), 6)</f>
        <v>1.26E-2</v>
      </c>
      <c r="E44" s="50">
        <f>ROUND(RV_DATA!K58, 6)</f>
        <v>92.85</v>
      </c>
      <c r="F44" s="50">
        <f>ROUND(SUMIF(RV_DATA!AB9:AB61, -1715327862, RV_DATA!M9:M61), 6)</f>
        <v>1.17</v>
      </c>
      <c r="G44" s="50">
        <f>ROUND(SUMIF(RV_DATA!AB9:AB61, -1715327862, RV_DATA!O9:O61), 6)</f>
        <v>1.17</v>
      </c>
      <c r="Q44">
        <v>3</v>
      </c>
    </row>
    <row r="45" spans="1:17" ht="85.5" x14ac:dyDescent="0.2">
      <c r="A45" s="49" t="s">
        <v>89</v>
      </c>
      <c r="B45" s="41" t="s">
        <v>90</v>
      </c>
      <c r="C45" s="41" t="s">
        <v>29</v>
      </c>
      <c r="D45" s="42">
        <f>ROUND(SUMIF(RV_DATA!AB9:AB61, -321931583, RV_DATA!I9:I61), 6)</f>
        <v>2</v>
      </c>
      <c r="E45" s="50">
        <f>ROUND(RV_DATA!K57, 6)</f>
        <v>4266.3599999999997</v>
      </c>
      <c r="F45" s="50">
        <f>ROUND(SUMIF(RV_DATA!AB9:AB61, -321931583, RV_DATA!M9:M61), 6)</f>
        <v>8532.7199999999993</v>
      </c>
      <c r="G45" s="50">
        <f>ROUND(SUMIF(RV_DATA!AB9:AB61, -321931583, RV_DATA!O9:O61), 6)</f>
        <v>8532.7199999999993</v>
      </c>
      <c r="Q45">
        <v>3</v>
      </c>
    </row>
    <row r="46" spans="1:17" ht="85.5" x14ac:dyDescent="0.2">
      <c r="A46" s="49" t="s">
        <v>85</v>
      </c>
      <c r="B46" s="41" t="s">
        <v>86</v>
      </c>
      <c r="C46" s="41" t="s">
        <v>29</v>
      </c>
      <c r="D46" s="42">
        <f>ROUND(SUMIF(RV_DATA!AB9:AB61, 1853022116, RV_DATA!I9:I61), 6)</f>
        <v>0</v>
      </c>
      <c r="E46" s="50">
        <f>ROUND(RV_DATA!K56, 6)</f>
        <v>6016.31</v>
      </c>
      <c r="F46" s="50">
        <f>ROUND(SUMIF(RV_DATA!AB9:AB61, 1853022116, RV_DATA!M9:M61), 6)</f>
        <v>0</v>
      </c>
      <c r="G46" s="50">
        <f>ROUND(SUMIF(RV_DATA!AB9:AB61, 1853022116, RV_DATA!O9:O61), 6)</f>
        <v>0</v>
      </c>
      <c r="Q46">
        <v>3</v>
      </c>
    </row>
    <row r="47" spans="1:17" ht="14.25" x14ac:dyDescent="0.2">
      <c r="A47" s="49" t="s">
        <v>31</v>
      </c>
      <c r="B47" s="41" t="s">
        <v>32</v>
      </c>
      <c r="C47" s="41" t="s">
        <v>33</v>
      </c>
      <c r="D47" s="42">
        <f>ROUND(SUMIF(RV_DATA!AB9:AB61, -628598438, RV_DATA!I9:I61), 6)</f>
        <v>0</v>
      </c>
      <c r="E47" s="50">
        <f>ROUND(RV_DATA!K18, 6)</f>
        <v>0</v>
      </c>
      <c r="F47" s="50">
        <f>ROUND(SUMIF(RV_DATA!AB9:AB61, -628598438, RV_DATA!M9:M61), 6)</f>
        <v>0</v>
      </c>
      <c r="G47" s="50">
        <f>ROUND(SUMIF(RV_DATA!AB9:AB61, -628598438, RV_DATA!O9:O61), 6)</f>
        <v>0</v>
      </c>
      <c r="Q47">
        <v>3</v>
      </c>
    </row>
    <row r="48" spans="1:17" ht="42.75" x14ac:dyDescent="0.2">
      <c r="A48" s="49" t="s">
        <v>35</v>
      </c>
      <c r="B48" s="41" t="s">
        <v>36</v>
      </c>
      <c r="C48" s="41" t="s">
        <v>29</v>
      </c>
      <c r="D48" s="42">
        <f>ROUND(SUMIF(RV_DATA!AB9:AB61, 2028549029, RV_DATA!I9:I61), 6)</f>
        <v>0</v>
      </c>
      <c r="E48" s="50">
        <f>ROUND(RV_DATA!K19, 6)</f>
        <v>0</v>
      </c>
      <c r="F48" s="50">
        <f>ROUND(SUMIF(RV_DATA!AB9:AB61, 2028549029, RV_DATA!M9:M61), 6)</f>
        <v>0</v>
      </c>
      <c r="G48" s="50">
        <f>ROUND(SUMIF(RV_DATA!AB9:AB61, 2028549029, RV_DATA!O9:O61), 6)</f>
        <v>0</v>
      </c>
      <c r="Q48">
        <v>3</v>
      </c>
    </row>
    <row r="49" spans="1:17" ht="14.25" x14ac:dyDescent="0.2">
      <c r="A49" s="49" t="s">
        <v>76</v>
      </c>
      <c r="B49" s="41" t="s">
        <v>77</v>
      </c>
      <c r="C49" s="41" t="s">
        <v>29</v>
      </c>
      <c r="D49" s="42">
        <f>ROUND(SUMIF(RV_DATA!AB9:AB61, 840670005, RV_DATA!I9:I61), 6)</f>
        <v>0</v>
      </c>
      <c r="E49" s="50">
        <f>ROUND(RV_DATA!K50, 6)</f>
        <v>0</v>
      </c>
      <c r="F49" s="50">
        <f>ROUND(SUMIF(RV_DATA!AB9:AB61, 840670005, RV_DATA!M9:M61), 6)</f>
        <v>0</v>
      </c>
      <c r="G49" s="50">
        <f>ROUND(SUMIF(RV_DATA!AB9:AB61, 840670005, RV_DATA!O9:O61), 6)</f>
        <v>0</v>
      </c>
      <c r="Q49">
        <v>3</v>
      </c>
    </row>
    <row r="50" spans="1:17" ht="14.25" x14ac:dyDescent="0.2">
      <c r="A50" s="49" t="s">
        <v>38</v>
      </c>
      <c r="B50" s="41" t="s">
        <v>39</v>
      </c>
      <c r="C50" s="41" t="s">
        <v>29</v>
      </c>
      <c r="D50" s="42">
        <f>ROUND(SUMIF(RV_DATA!AB9:AB61, 1931255850, RV_DATA!I9:I61), 6)</f>
        <v>0</v>
      </c>
      <c r="E50" s="50">
        <f>ROUND(RV_DATA!K20, 6)</f>
        <v>0</v>
      </c>
      <c r="F50" s="50">
        <f>ROUND(SUMIF(RV_DATA!AB9:AB61, 1931255850, RV_DATA!M9:M61), 6)</f>
        <v>0</v>
      </c>
      <c r="G50" s="50">
        <f>ROUND(SUMIF(RV_DATA!AB9:AB61, 1931255850, RV_DATA!O9:O61), 6)</f>
        <v>0</v>
      </c>
      <c r="Q50">
        <v>3</v>
      </c>
    </row>
    <row r="51" spans="1:17" ht="15" x14ac:dyDescent="0.25">
      <c r="A51" s="94" t="s">
        <v>471</v>
      </c>
      <c r="B51" s="94"/>
      <c r="C51" s="94"/>
      <c r="D51" s="94"/>
      <c r="E51" s="95">
        <f>SUMIF(Q17:Q50, 3, F17:F50)</f>
        <v>20781.489999999998</v>
      </c>
      <c r="F51" s="95"/>
      <c r="G51" s="51"/>
    </row>
    <row r="52" spans="1:17" ht="16.5" x14ac:dyDescent="0.2">
      <c r="A52" s="98" t="str">
        <f>CONCATENATE("Раздел: ",IF(Source!G118&lt;&gt;"Новый раздел", Source!G118, ""))</f>
        <v>Раздел: Подвал</v>
      </c>
      <c r="B52" s="99"/>
      <c r="C52" s="99"/>
      <c r="D52" s="99"/>
      <c r="E52" s="99"/>
      <c r="F52" s="99"/>
      <c r="G52" s="99"/>
    </row>
    <row r="53" spans="1:17" ht="16.5" x14ac:dyDescent="0.2">
      <c r="A53" s="98" t="str">
        <f>CONCATENATE("Подраздел: ",IF(Source!G122&lt;&gt;"Новый подраздел", Source!G122, ""))</f>
        <v>Подраздел: ХВС</v>
      </c>
      <c r="B53" s="99"/>
      <c r="C53" s="99"/>
      <c r="D53" s="99"/>
      <c r="E53" s="99"/>
      <c r="F53" s="99"/>
      <c r="G53" s="99"/>
    </row>
    <row r="54" spans="1:17" ht="14.25" x14ac:dyDescent="0.2">
      <c r="A54" s="96" t="s">
        <v>468</v>
      </c>
      <c r="B54" s="97"/>
      <c r="C54" s="97"/>
      <c r="D54" s="97"/>
      <c r="E54" s="97"/>
      <c r="F54" s="97"/>
      <c r="G54" s="97"/>
    </row>
    <row r="55" spans="1:17" ht="28.5" x14ac:dyDescent="0.2">
      <c r="A55" s="49" t="s">
        <v>285</v>
      </c>
      <c r="B55" s="41" t="s">
        <v>287</v>
      </c>
      <c r="C55" s="41" t="s">
        <v>260</v>
      </c>
      <c r="D55" s="42">
        <f>ROUND(SUMIF(RV_DATA!AB64:AB113, 1995334730, RV_DATA!I64:I113), 6)</f>
        <v>0</v>
      </c>
      <c r="E55" s="50">
        <f>ROUND(RV_DATA!K95, 6)</f>
        <v>68.260000000000005</v>
      </c>
      <c r="F55" s="50">
        <f>ROUND(SUMIF(RV_DATA!AB64:AB113, 1995334730, RV_DATA!M64:M113), 6)</f>
        <v>0</v>
      </c>
      <c r="G55" s="50">
        <f>ROUND(SUMIF(RV_DATA!AB64:AB113, 1995334730, RV_DATA!O64:O113), 6)</f>
        <v>0</v>
      </c>
      <c r="Q55">
        <v>2</v>
      </c>
    </row>
    <row r="56" spans="1:17" ht="28.5" x14ac:dyDescent="0.2">
      <c r="A56" s="49" t="s">
        <v>285</v>
      </c>
      <c r="B56" s="41" t="s">
        <v>287</v>
      </c>
      <c r="C56" s="41" t="s">
        <v>260</v>
      </c>
      <c r="D56" s="42">
        <f>ROUND(SUMIF(RV_DATA!AB64:AB113, -1583094156, RV_DATA!I64:I113), 6)</f>
        <v>7.2</v>
      </c>
      <c r="E56" s="50">
        <f>ROUND(RV_DATA!K105, 6)</f>
        <v>68.260000000000005</v>
      </c>
      <c r="F56" s="50">
        <f>ROUND(SUMIF(RV_DATA!AB64:AB113, -1583094156, RV_DATA!M64:M113), 6)</f>
        <v>491.52</v>
      </c>
      <c r="G56" s="50">
        <f>ROUND(SUMIF(RV_DATA!AB64:AB113, -1583094156, RV_DATA!O64:O113), 6)</f>
        <v>491.52</v>
      </c>
      <c r="Q56">
        <v>2</v>
      </c>
    </row>
    <row r="57" spans="1:17" ht="14.25" x14ac:dyDescent="0.2">
      <c r="A57" s="49" t="s">
        <v>319</v>
      </c>
      <c r="B57" s="41" t="s">
        <v>321</v>
      </c>
      <c r="C57" s="41" t="s">
        <v>260</v>
      </c>
      <c r="D57" s="42">
        <f>ROUND(SUMIF(RV_DATA!AB64:AB113, -2067489824, RV_DATA!I64:I113), 6)</f>
        <v>4.0949999999999998</v>
      </c>
      <c r="E57" s="50">
        <f>ROUND(RV_DATA!K65, 6)</f>
        <v>485.7</v>
      </c>
      <c r="F57" s="50">
        <f>ROUND(SUMIF(RV_DATA!AB64:AB113, -2067489824, RV_DATA!M64:M113), 6)</f>
        <v>1988.94</v>
      </c>
      <c r="G57" s="50">
        <f>ROUND(SUMIF(RV_DATA!AB64:AB113, -2067489824, RV_DATA!O64:O113), 6)</f>
        <v>1988.94</v>
      </c>
      <c r="Q57">
        <v>2</v>
      </c>
    </row>
    <row r="58" spans="1:17" ht="14.25" x14ac:dyDescent="0.2">
      <c r="A58" s="49" t="s">
        <v>324</v>
      </c>
      <c r="B58" s="41" t="s">
        <v>326</v>
      </c>
      <c r="C58" s="41" t="s">
        <v>260</v>
      </c>
      <c r="D58" s="42">
        <f>ROUND(SUMIF(RV_DATA!AB64:AB113, -171391457, RV_DATA!I64:I113), 6)</f>
        <v>44.536499999999997</v>
      </c>
      <c r="E58" s="50">
        <f>ROUND(RV_DATA!K68, 6)</f>
        <v>7.29</v>
      </c>
      <c r="F58" s="50">
        <f>ROUND(SUMIF(RV_DATA!AB64:AB113, -171391457, RV_DATA!M64:M113), 6)</f>
        <v>324.67</v>
      </c>
      <c r="G58" s="50">
        <f>ROUND(SUMIF(RV_DATA!AB64:AB113, -171391457, RV_DATA!O64:O113), 6)</f>
        <v>324.67</v>
      </c>
      <c r="Q58">
        <v>2</v>
      </c>
    </row>
    <row r="59" spans="1:17" ht="15" x14ac:dyDescent="0.25">
      <c r="A59" s="94" t="s">
        <v>469</v>
      </c>
      <c r="B59" s="94"/>
      <c r="C59" s="94"/>
      <c r="D59" s="94"/>
      <c r="E59" s="95">
        <f>SUMIF(Q55:Q58, 2, F55:F58)</f>
        <v>2805.13</v>
      </c>
      <c r="F59" s="95"/>
      <c r="G59" s="51"/>
    </row>
    <row r="60" spans="1:17" ht="14.25" x14ac:dyDescent="0.2">
      <c r="A60" s="96" t="s">
        <v>470</v>
      </c>
      <c r="B60" s="97"/>
      <c r="C60" s="97"/>
      <c r="D60" s="97"/>
      <c r="E60" s="97"/>
      <c r="F60" s="97"/>
      <c r="G60" s="97"/>
    </row>
    <row r="61" spans="1:17" ht="14.25" x14ac:dyDescent="0.2">
      <c r="A61" s="49" t="s">
        <v>336</v>
      </c>
      <c r="B61" s="41" t="s">
        <v>338</v>
      </c>
      <c r="C61" s="41" t="s">
        <v>29</v>
      </c>
      <c r="D61" s="42">
        <f>ROUND(SUMIF(RV_DATA!AB64:AB113, 333056548, RV_DATA!I64:I113), 6)</f>
        <v>39.6</v>
      </c>
      <c r="E61" s="50">
        <f>ROUND(RV_DATA!K108, 6)</f>
        <v>2.67</v>
      </c>
      <c r="F61" s="50">
        <f>ROUND(SUMIF(RV_DATA!AB64:AB113, 333056548, RV_DATA!M64:M113), 6)</f>
        <v>105.73</v>
      </c>
      <c r="G61" s="50">
        <f>ROUND(SUMIF(RV_DATA!AB64:AB113, 333056548, RV_DATA!O64:O113), 6)</f>
        <v>105.73</v>
      </c>
      <c r="Q61">
        <v>3</v>
      </c>
    </row>
    <row r="62" spans="1:17" ht="71.25" x14ac:dyDescent="0.2">
      <c r="A62" s="49" t="s">
        <v>236</v>
      </c>
      <c r="B62" s="41" t="s">
        <v>237</v>
      </c>
      <c r="C62" s="41" t="s">
        <v>33</v>
      </c>
      <c r="D62" s="42">
        <f>ROUND(SUMIF(RV_DATA!AB64:AB113, 1587843966, RV_DATA!I64:I113), 6)</f>
        <v>72.45</v>
      </c>
      <c r="E62" s="50">
        <f>ROUND(RV_DATA!K111, 6)</f>
        <v>220.82</v>
      </c>
      <c r="F62" s="50">
        <f>ROUND(SUMIF(RV_DATA!AB64:AB113, 1587843966, RV_DATA!M64:M113), 6)</f>
        <v>15998.41</v>
      </c>
      <c r="G62" s="50">
        <f>ROUND(SUMIF(RV_DATA!AB64:AB113, 1587843966, RV_DATA!O64:O113), 6)</f>
        <v>15998.41</v>
      </c>
      <c r="Q62">
        <v>3</v>
      </c>
    </row>
    <row r="63" spans="1:17" ht="71.25" x14ac:dyDescent="0.2">
      <c r="A63" s="49" t="s">
        <v>240</v>
      </c>
      <c r="B63" s="41" t="s">
        <v>241</v>
      </c>
      <c r="C63" s="41" t="s">
        <v>33</v>
      </c>
      <c r="D63" s="42">
        <f>ROUND(SUMIF(RV_DATA!AB64:AB113, -1881440541, RV_DATA!I64:I113), 6)</f>
        <v>66.150000000000006</v>
      </c>
      <c r="E63" s="50">
        <f>ROUND(RV_DATA!K112, 6)</f>
        <v>112.71</v>
      </c>
      <c r="F63" s="50">
        <f>ROUND(SUMIF(RV_DATA!AB64:AB113, -1881440541, RV_DATA!M64:M113), 6)</f>
        <v>7455.77</v>
      </c>
      <c r="G63" s="50">
        <f>ROUND(SUMIF(RV_DATA!AB64:AB113, -1881440541, RV_DATA!O64:O113), 6)</f>
        <v>7455.77</v>
      </c>
      <c r="Q63">
        <v>3</v>
      </c>
    </row>
    <row r="64" spans="1:17" ht="14.25" x14ac:dyDescent="0.2">
      <c r="A64" s="49" t="s">
        <v>275</v>
      </c>
      <c r="B64" s="41" t="s">
        <v>277</v>
      </c>
      <c r="C64" s="41" t="s">
        <v>264</v>
      </c>
      <c r="D64" s="42">
        <f>ROUND(SUMIF(RV_DATA!AB64:AB113, 349078931, RV_DATA!I64:I113), 6)</f>
        <v>2.7777E-2</v>
      </c>
      <c r="E64" s="50">
        <f>ROUND(RV_DATA!K74, 6)</f>
        <v>67.221419999999995</v>
      </c>
      <c r="F64" s="50">
        <f>ROUND(SUMIF(RV_DATA!AB64:AB113, 349078931, RV_DATA!M64:M113), 6)</f>
        <v>1.88</v>
      </c>
      <c r="G64" s="50">
        <f>ROUND(SUMIF(RV_DATA!AB64:AB113, 349078931, RV_DATA!O64:O113), 6)</f>
        <v>1.88</v>
      </c>
      <c r="Q64">
        <v>3</v>
      </c>
    </row>
    <row r="65" spans="1:17" ht="14.25" x14ac:dyDescent="0.2">
      <c r="A65" s="49" t="s">
        <v>275</v>
      </c>
      <c r="B65" s="41" t="s">
        <v>277</v>
      </c>
      <c r="C65" s="41" t="s">
        <v>200</v>
      </c>
      <c r="D65" s="42">
        <f>ROUND(SUMIF(RV_DATA!AB64:AB113, 1539201696, RV_DATA!I64:I113), 6)</f>
        <v>0</v>
      </c>
      <c r="E65" s="50">
        <f>ROUND(RV_DATA!K94, 6)</f>
        <v>67221.42</v>
      </c>
      <c r="F65" s="50">
        <f>ROUND(SUMIF(RV_DATA!AB64:AB113, 1539201696, RV_DATA!M64:M113), 6)</f>
        <v>0</v>
      </c>
      <c r="G65" s="50">
        <f>ROUND(SUMIF(RV_DATA!AB64:AB113, 1539201696, RV_DATA!O64:O113), 6)</f>
        <v>0</v>
      </c>
      <c r="Q65">
        <v>3</v>
      </c>
    </row>
    <row r="66" spans="1:17" ht="42.75" x14ac:dyDescent="0.2">
      <c r="A66" s="49" t="s">
        <v>288</v>
      </c>
      <c r="B66" s="41" t="s">
        <v>290</v>
      </c>
      <c r="C66" s="41" t="s">
        <v>291</v>
      </c>
      <c r="D66" s="42">
        <f>ROUND(SUMIF(RV_DATA!AB64:AB113, 385212888, RV_DATA!I64:I113), 6)</f>
        <v>0</v>
      </c>
      <c r="E66" s="50">
        <f>ROUND(RV_DATA!K93, 6)</f>
        <v>43480.06</v>
      </c>
      <c r="F66" s="50">
        <f>ROUND(SUMIF(RV_DATA!AB64:AB113, 385212888, RV_DATA!M64:M113), 6)</f>
        <v>0</v>
      </c>
      <c r="G66" s="50">
        <f>ROUND(SUMIF(RV_DATA!AB64:AB113, 385212888, RV_DATA!O64:O113), 6)</f>
        <v>0</v>
      </c>
      <c r="Q66">
        <v>3</v>
      </c>
    </row>
    <row r="67" spans="1:17" ht="57" x14ac:dyDescent="0.2">
      <c r="A67" s="49" t="s">
        <v>333</v>
      </c>
      <c r="B67" s="41" t="s">
        <v>335</v>
      </c>
      <c r="C67" s="41" t="s">
        <v>291</v>
      </c>
      <c r="D67" s="42">
        <f>ROUND(SUMIF(RV_DATA!AB64:AB113, 1779409435, RV_DATA!I64:I113), 6)</f>
        <v>0</v>
      </c>
      <c r="E67" s="50">
        <f>ROUND(RV_DATA!K102, 6)</f>
        <v>72726.41</v>
      </c>
      <c r="F67" s="50">
        <f>ROUND(SUMIF(RV_DATA!AB64:AB113, 1779409435, RV_DATA!M64:M113), 6)</f>
        <v>0</v>
      </c>
      <c r="G67" s="50">
        <f>ROUND(SUMIF(RV_DATA!AB64:AB113, 1779409435, RV_DATA!O64:O113), 6)</f>
        <v>0</v>
      </c>
      <c r="Q67">
        <v>3</v>
      </c>
    </row>
    <row r="68" spans="1:17" ht="57" x14ac:dyDescent="0.2">
      <c r="A68" s="49" t="s">
        <v>166</v>
      </c>
      <c r="B68" s="41" t="s">
        <v>167</v>
      </c>
      <c r="C68" s="41" t="s">
        <v>33</v>
      </c>
      <c r="D68" s="42">
        <f>ROUND(SUMIF(RV_DATA!AB64:AB113, -687878730, RV_DATA!I64:I113), 6)</f>
        <v>63</v>
      </c>
      <c r="E68" s="50">
        <f>ROUND(RV_DATA!K76, 6)</f>
        <v>765.86</v>
      </c>
      <c r="F68" s="50">
        <f>ROUND(SUMIF(RV_DATA!AB64:AB113, -687878730, RV_DATA!M64:M113), 6)</f>
        <v>48249.18</v>
      </c>
      <c r="G68" s="50">
        <f>ROUND(SUMIF(RV_DATA!AB64:AB113, -687878730, RV_DATA!O64:O113), 6)</f>
        <v>48249.18</v>
      </c>
      <c r="Q68">
        <v>3</v>
      </c>
    </row>
    <row r="69" spans="1:17" ht="57" x14ac:dyDescent="0.2">
      <c r="A69" s="49" t="s">
        <v>166</v>
      </c>
      <c r="B69" s="41" t="s">
        <v>167</v>
      </c>
      <c r="C69" s="41" t="s">
        <v>33</v>
      </c>
      <c r="D69" s="42">
        <f>ROUND(SUMIF(RV_DATA!AB64:AB113, 1372982119, RV_DATA!I64:I113), 6)</f>
        <v>0</v>
      </c>
      <c r="E69" s="50">
        <f>ROUND(RV_DATA!K92, 6)</f>
        <v>765.86</v>
      </c>
      <c r="F69" s="50">
        <f>ROUND(SUMIF(RV_DATA!AB64:AB113, 1372982119, RV_DATA!M64:M113), 6)</f>
        <v>0</v>
      </c>
      <c r="G69" s="50">
        <f>ROUND(SUMIF(RV_DATA!AB64:AB113, 1372982119, RV_DATA!O64:O113), 6)</f>
        <v>0</v>
      </c>
      <c r="Q69">
        <v>3</v>
      </c>
    </row>
    <row r="70" spans="1:17" ht="57" x14ac:dyDescent="0.2">
      <c r="A70" s="49" t="s">
        <v>178</v>
      </c>
      <c r="B70" s="41" t="s">
        <v>179</v>
      </c>
      <c r="C70" s="41" t="s">
        <v>33</v>
      </c>
      <c r="D70" s="42">
        <f>ROUND(SUMIF(RV_DATA!AB64:AB113, 221030832, RV_DATA!I64:I113), 6)</f>
        <v>69</v>
      </c>
      <c r="E70" s="50">
        <f>ROUND(RV_DATA!K84, 6)</f>
        <v>1896.47</v>
      </c>
      <c r="F70" s="50">
        <f>ROUND(SUMIF(RV_DATA!AB64:AB113, 221030832, RV_DATA!M64:M113), 6)</f>
        <v>130856.43</v>
      </c>
      <c r="G70" s="50">
        <f>ROUND(SUMIF(RV_DATA!AB64:AB113, 221030832, RV_DATA!O64:O113), 6)</f>
        <v>130856.43</v>
      </c>
      <c r="Q70">
        <v>3</v>
      </c>
    </row>
    <row r="71" spans="1:17" ht="57" x14ac:dyDescent="0.2">
      <c r="A71" s="49" t="s">
        <v>178</v>
      </c>
      <c r="B71" s="41" t="s">
        <v>179</v>
      </c>
      <c r="C71" s="41" t="s">
        <v>33</v>
      </c>
      <c r="D71" s="42">
        <f>ROUND(SUMIF(RV_DATA!AB64:AB113, -1283664131, RV_DATA!I64:I113), 6)</f>
        <v>0</v>
      </c>
      <c r="E71" s="50">
        <f>ROUND(RV_DATA!K101, 6)</f>
        <v>1896.47</v>
      </c>
      <c r="F71" s="50">
        <f>ROUND(SUMIF(RV_DATA!AB64:AB113, -1283664131, RV_DATA!M64:M113), 6)</f>
        <v>0</v>
      </c>
      <c r="G71" s="50">
        <f>ROUND(SUMIF(RV_DATA!AB64:AB113, -1283664131, RV_DATA!O64:O113), 6)</f>
        <v>0</v>
      </c>
      <c r="Q71">
        <v>3</v>
      </c>
    </row>
    <row r="72" spans="1:17" ht="28.5" x14ac:dyDescent="0.2">
      <c r="A72" s="49" t="s">
        <v>327</v>
      </c>
      <c r="B72" s="41" t="s">
        <v>329</v>
      </c>
      <c r="C72" s="41" t="s">
        <v>264</v>
      </c>
      <c r="D72" s="42">
        <f>ROUND(SUMIF(RV_DATA!AB64:AB113, 2084596214, RV_DATA!I64:I113), 6)</f>
        <v>5.3399999999999997E-4</v>
      </c>
      <c r="E72" s="50">
        <f>ROUND(RV_DATA!K73, 6)</f>
        <v>168.83</v>
      </c>
      <c r="F72" s="50">
        <f>ROUND(SUMIF(RV_DATA!AB64:AB113, 2084596214, RV_DATA!M64:M113), 6)</f>
        <v>0.09</v>
      </c>
      <c r="G72" s="50">
        <f>ROUND(SUMIF(RV_DATA!AB64:AB113, 2084596214, RV_DATA!O64:O113), 6)</f>
        <v>0.09</v>
      </c>
      <c r="Q72">
        <v>3</v>
      </c>
    </row>
    <row r="73" spans="1:17" ht="28.5" x14ac:dyDescent="0.2">
      <c r="A73" s="49" t="s">
        <v>295</v>
      </c>
      <c r="B73" s="41" t="s">
        <v>297</v>
      </c>
      <c r="C73" s="41" t="s">
        <v>200</v>
      </c>
      <c r="D73" s="42">
        <f>ROUND(SUMIF(RV_DATA!AB64:AB113, -1638417647, RV_DATA!I64:I113), 6)</f>
        <v>0</v>
      </c>
      <c r="E73" s="50">
        <f>ROUND(RV_DATA!K91, 6)</f>
        <v>107698.04</v>
      </c>
      <c r="F73" s="50">
        <f>ROUND(SUMIF(RV_DATA!AB64:AB113, -1638417647, RV_DATA!M64:M113), 6)</f>
        <v>0</v>
      </c>
      <c r="G73" s="50">
        <f>ROUND(SUMIF(RV_DATA!AB64:AB113, -1638417647, RV_DATA!O64:O113), 6)</f>
        <v>0</v>
      </c>
      <c r="Q73">
        <v>3</v>
      </c>
    </row>
    <row r="74" spans="1:17" ht="14.25" x14ac:dyDescent="0.2">
      <c r="A74" s="49" t="s">
        <v>278</v>
      </c>
      <c r="B74" s="41" t="s">
        <v>280</v>
      </c>
      <c r="C74" s="41" t="s">
        <v>281</v>
      </c>
      <c r="D74" s="42">
        <f>ROUND(SUMIF(RV_DATA!AB64:AB113, -1097784124, RV_DATA!I64:I113), 6)</f>
        <v>11.0259</v>
      </c>
      <c r="E74" s="50">
        <f>ROUND(RV_DATA!K72, 6)</f>
        <v>49.83</v>
      </c>
      <c r="F74" s="50">
        <f>ROUND(SUMIF(RV_DATA!AB64:AB113, -1097784124, RV_DATA!M64:M113), 6)</f>
        <v>549.41</v>
      </c>
      <c r="G74" s="50">
        <f>ROUND(SUMIF(RV_DATA!AB64:AB113, -1097784124, RV_DATA!O64:O113), 6)</f>
        <v>549.41</v>
      </c>
      <c r="Q74">
        <v>3</v>
      </c>
    </row>
    <row r="75" spans="1:17" ht="14.25" x14ac:dyDescent="0.2">
      <c r="A75" s="49" t="s">
        <v>278</v>
      </c>
      <c r="B75" s="41" t="s">
        <v>280</v>
      </c>
      <c r="C75" s="41" t="s">
        <v>281</v>
      </c>
      <c r="D75" s="42">
        <f>ROUND(SUMIF(RV_DATA!AB64:AB113, -1079220036, RV_DATA!I64:I113), 6)</f>
        <v>0</v>
      </c>
      <c r="E75" s="50">
        <f>ROUND(RV_DATA!K90, 6)</f>
        <v>49.83</v>
      </c>
      <c r="F75" s="50">
        <f>ROUND(SUMIF(RV_DATA!AB64:AB113, -1079220036, RV_DATA!M64:M113), 6)</f>
        <v>0</v>
      </c>
      <c r="G75" s="50">
        <f>ROUND(SUMIF(RV_DATA!AB64:AB113, -1079220036, RV_DATA!O64:O113), 6)</f>
        <v>0</v>
      </c>
      <c r="Q75">
        <v>3</v>
      </c>
    </row>
    <row r="76" spans="1:17" ht="42.75" x14ac:dyDescent="0.2">
      <c r="A76" s="49" t="s">
        <v>298</v>
      </c>
      <c r="B76" s="41" t="s">
        <v>300</v>
      </c>
      <c r="C76" s="41" t="s">
        <v>264</v>
      </c>
      <c r="D76" s="42">
        <f>ROUND(SUMIF(RV_DATA!AB64:AB113, -1295179831, RV_DATA!I64:I113), 6)</f>
        <v>0</v>
      </c>
      <c r="E76" s="50">
        <f>ROUND(RV_DATA!K89, 6)</f>
        <v>745.17</v>
      </c>
      <c r="F76" s="50">
        <f>ROUND(SUMIF(RV_DATA!AB64:AB113, -1295179831, RV_DATA!M64:M113), 6)</f>
        <v>0</v>
      </c>
      <c r="G76" s="50">
        <f>ROUND(SUMIF(RV_DATA!AB64:AB113, -1295179831, RV_DATA!O64:O113), 6)</f>
        <v>0</v>
      </c>
      <c r="Q76">
        <v>3</v>
      </c>
    </row>
    <row r="77" spans="1:17" ht="28.5" x14ac:dyDescent="0.2">
      <c r="A77" s="49" t="s">
        <v>228</v>
      </c>
      <c r="B77" s="41" t="s">
        <v>229</v>
      </c>
      <c r="C77" s="41" t="s">
        <v>33</v>
      </c>
      <c r="D77" s="42">
        <f>ROUND(SUMIF(RV_DATA!AB64:AB113, -1270084335, RV_DATA!I64:I113), 6)</f>
        <v>138.6</v>
      </c>
      <c r="E77" s="50">
        <f>ROUND(RV_DATA!K109, 6)</f>
        <v>77.56</v>
      </c>
      <c r="F77" s="50">
        <f>ROUND(SUMIF(RV_DATA!AB64:AB113, -1270084335, RV_DATA!M64:M113), 6)</f>
        <v>10749.82</v>
      </c>
      <c r="G77" s="50">
        <f>ROUND(SUMIF(RV_DATA!AB64:AB113, -1270084335, RV_DATA!O64:O113), 6)</f>
        <v>10749.82</v>
      </c>
      <c r="Q77">
        <v>3</v>
      </c>
    </row>
    <row r="78" spans="1:17" ht="14.25" x14ac:dyDescent="0.2">
      <c r="A78" s="49" t="s">
        <v>301</v>
      </c>
      <c r="B78" s="41" t="s">
        <v>303</v>
      </c>
      <c r="C78" s="41" t="s">
        <v>281</v>
      </c>
      <c r="D78" s="42">
        <f>ROUND(SUMIF(RV_DATA!AB64:AB113, 1071009136, RV_DATA!I64:I113), 6)</f>
        <v>1.7946</v>
      </c>
      <c r="E78" s="50">
        <f>ROUND(RV_DATA!K67, 6)</f>
        <v>89.3</v>
      </c>
      <c r="F78" s="50">
        <f>ROUND(SUMIF(RV_DATA!AB64:AB113, 1071009136, RV_DATA!M64:M113), 6)</f>
        <v>160.26</v>
      </c>
      <c r="G78" s="50">
        <f>ROUND(SUMIF(RV_DATA!AB64:AB113, 1071009136, RV_DATA!O64:O113), 6)</f>
        <v>160.26</v>
      </c>
      <c r="Q78">
        <v>3</v>
      </c>
    </row>
    <row r="79" spans="1:17" ht="14.25" x14ac:dyDescent="0.2">
      <c r="A79" s="49" t="s">
        <v>301</v>
      </c>
      <c r="B79" s="41" t="s">
        <v>303</v>
      </c>
      <c r="C79" s="41" t="s">
        <v>281</v>
      </c>
      <c r="D79" s="42">
        <f>ROUND(SUMIF(RV_DATA!AB64:AB113, -592995783, RV_DATA!I64:I113), 6)</f>
        <v>0</v>
      </c>
      <c r="E79" s="50">
        <f>ROUND(RV_DATA!K88, 6)</f>
        <v>89.3</v>
      </c>
      <c r="F79" s="50">
        <f>ROUND(SUMIF(RV_DATA!AB64:AB113, -592995783, RV_DATA!M64:M113), 6)</f>
        <v>0</v>
      </c>
      <c r="G79" s="50">
        <f>ROUND(SUMIF(RV_DATA!AB64:AB113, -592995783, RV_DATA!O64:O113), 6)</f>
        <v>0</v>
      </c>
      <c r="Q79">
        <v>3</v>
      </c>
    </row>
    <row r="80" spans="1:17" ht="14.25" x14ac:dyDescent="0.2">
      <c r="A80" s="49" t="s">
        <v>304</v>
      </c>
      <c r="B80" s="41" t="s">
        <v>306</v>
      </c>
      <c r="C80" s="41" t="s">
        <v>281</v>
      </c>
      <c r="D80" s="42">
        <f>ROUND(SUMIF(RV_DATA!AB64:AB113, -898340418, RV_DATA!I64:I113), 6)</f>
        <v>0.90690000000000004</v>
      </c>
      <c r="E80" s="50">
        <f>ROUND(RV_DATA!K66, 6)</f>
        <v>698.15</v>
      </c>
      <c r="F80" s="50">
        <f>ROUND(SUMIF(RV_DATA!AB64:AB113, -898340418, RV_DATA!M64:M113), 6)</f>
        <v>633.15</v>
      </c>
      <c r="G80" s="50">
        <f>ROUND(SUMIF(RV_DATA!AB64:AB113, -898340418, RV_DATA!O64:O113), 6)</f>
        <v>633.15</v>
      </c>
      <c r="Q80">
        <v>3</v>
      </c>
    </row>
    <row r="81" spans="1:17" ht="14.25" x14ac:dyDescent="0.2">
      <c r="A81" s="49" t="s">
        <v>304</v>
      </c>
      <c r="B81" s="41" t="s">
        <v>306</v>
      </c>
      <c r="C81" s="41" t="s">
        <v>281</v>
      </c>
      <c r="D81" s="42">
        <f>ROUND(SUMIF(RV_DATA!AB64:AB113, -43975899, RV_DATA!I64:I113), 6)</f>
        <v>0</v>
      </c>
      <c r="E81" s="50">
        <f>ROUND(RV_DATA!K87, 6)</f>
        <v>698.15</v>
      </c>
      <c r="F81" s="50">
        <f>ROUND(SUMIF(RV_DATA!AB64:AB113, -43975899, RV_DATA!M64:M113), 6)</f>
        <v>0</v>
      </c>
      <c r="G81" s="50">
        <f>ROUND(SUMIF(RV_DATA!AB64:AB113, -43975899, RV_DATA!O64:O113), 6)</f>
        <v>0</v>
      </c>
      <c r="Q81">
        <v>3</v>
      </c>
    </row>
    <row r="82" spans="1:17" ht="71.25" x14ac:dyDescent="0.2">
      <c r="A82" s="49" t="s">
        <v>307</v>
      </c>
      <c r="B82" s="41" t="s">
        <v>309</v>
      </c>
      <c r="C82" s="41" t="s">
        <v>200</v>
      </c>
      <c r="D82" s="42">
        <f>ROUND(SUMIF(RV_DATA!AB64:AB113, -1682720140, RV_DATA!I64:I113), 6)</f>
        <v>0</v>
      </c>
      <c r="E82" s="50">
        <f>ROUND(RV_DATA!K86, 6)</f>
        <v>115885.91</v>
      </c>
      <c r="F82" s="50">
        <f>ROUND(SUMIF(RV_DATA!AB64:AB113, -1682720140, RV_DATA!M64:M113), 6)</f>
        <v>0</v>
      </c>
      <c r="G82" s="50">
        <f>ROUND(SUMIF(RV_DATA!AB64:AB113, -1682720140, RV_DATA!O64:O113), 6)</f>
        <v>0</v>
      </c>
      <c r="Q82">
        <v>3</v>
      </c>
    </row>
    <row r="83" spans="1:17" ht="28.5" x14ac:dyDescent="0.2">
      <c r="A83" s="49" t="s">
        <v>310</v>
      </c>
      <c r="B83" s="41" t="s">
        <v>312</v>
      </c>
      <c r="C83" s="41" t="s">
        <v>264</v>
      </c>
      <c r="D83" s="42">
        <f>ROUND(SUMIF(RV_DATA!AB64:AB113, -438707420, RV_DATA!I64:I113), 6)</f>
        <v>0</v>
      </c>
      <c r="E83" s="50">
        <f>ROUND(RV_DATA!K85, 6)</f>
        <v>92.85</v>
      </c>
      <c r="F83" s="50">
        <f>ROUND(SUMIF(RV_DATA!AB64:AB113, -438707420, RV_DATA!M64:M113), 6)</f>
        <v>0</v>
      </c>
      <c r="G83" s="50">
        <f>ROUND(SUMIF(RV_DATA!AB64:AB113, -438707420, RV_DATA!O64:O113), 6)</f>
        <v>0</v>
      </c>
      <c r="Q83">
        <v>3</v>
      </c>
    </row>
    <row r="84" spans="1:17" ht="14.25" x14ac:dyDescent="0.2">
      <c r="A84" s="49" t="s">
        <v>330</v>
      </c>
      <c r="B84" s="41" t="s">
        <v>332</v>
      </c>
      <c r="C84" s="41" t="s">
        <v>281</v>
      </c>
      <c r="D84" s="42">
        <f>ROUND(SUMIF(RV_DATA!AB64:AB113, -158112489, RV_DATA!I64:I113), 6)</f>
        <v>1.89E-2</v>
      </c>
      <c r="E84" s="50">
        <f>ROUND(RV_DATA!K69, 6)</f>
        <v>4969.8599999999997</v>
      </c>
      <c r="F84" s="50">
        <f>ROUND(SUMIF(RV_DATA!AB64:AB113, -158112489, RV_DATA!M64:M113), 6)</f>
        <v>93.94</v>
      </c>
      <c r="G84" s="50">
        <f>ROUND(SUMIF(RV_DATA!AB64:AB113, -158112489, RV_DATA!O64:O113), 6)</f>
        <v>93.94</v>
      </c>
      <c r="Q84">
        <v>3</v>
      </c>
    </row>
    <row r="85" spans="1:17" ht="14.25" x14ac:dyDescent="0.2">
      <c r="A85" s="49" t="s">
        <v>330</v>
      </c>
      <c r="B85" s="41" t="s">
        <v>332</v>
      </c>
      <c r="C85" s="41" t="s">
        <v>281</v>
      </c>
      <c r="D85" s="42">
        <f>ROUND(SUMIF(RV_DATA!AB64:AB113, 996503298, RV_DATA!I64:I113), 6)</f>
        <v>0</v>
      </c>
      <c r="E85" s="50">
        <f>ROUND(RV_DATA!K96, 6)</f>
        <v>4969.8599999999997</v>
      </c>
      <c r="F85" s="50">
        <f>ROUND(SUMIF(RV_DATA!AB64:AB113, 996503298, RV_DATA!M64:M113), 6)</f>
        <v>0</v>
      </c>
      <c r="G85" s="50">
        <f>ROUND(SUMIF(RV_DATA!AB64:AB113, 996503298, RV_DATA!O64:O113), 6)</f>
        <v>0</v>
      </c>
      <c r="Q85">
        <v>3</v>
      </c>
    </row>
    <row r="86" spans="1:17" ht="28.5" x14ac:dyDescent="0.2">
      <c r="A86" s="49" t="s">
        <v>232</v>
      </c>
      <c r="B86" s="41" t="s">
        <v>233</v>
      </c>
      <c r="C86" s="41" t="s">
        <v>234</v>
      </c>
      <c r="D86" s="42">
        <f>ROUND(SUMIF(RV_DATA!AB64:AB113, 1399589192, RV_DATA!I64:I113), 6)</f>
        <v>3.3</v>
      </c>
      <c r="E86" s="50">
        <f>ROUND(RV_DATA!K110, 6)</f>
        <v>0</v>
      </c>
      <c r="F86" s="50">
        <f>ROUND(SUMIF(RV_DATA!AB64:AB113, 1399589192, RV_DATA!M64:M113), 6)</f>
        <v>0</v>
      </c>
      <c r="G86" s="50">
        <f>ROUND(SUMIF(RV_DATA!AB64:AB113, 1399589192, RV_DATA!O64:O113), 6)</f>
        <v>0</v>
      </c>
      <c r="Q86">
        <v>3</v>
      </c>
    </row>
    <row r="87" spans="1:17" ht="14.25" x14ac:dyDescent="0.2">
      <c r="A87" s="49" t="s">
        <v>244</v>
      </c>
      <c r="B87" s="41" t="s">
        <v>245</v>
      </c>
      <c r="C87" s="41" t="s">
        <v>246</v>
      </c>
      <c r="D87" s="42">
        <f>ROUND(SUMIF(RV_DATA!AB64:AB113, -1044329056, RV_DATA!I64:I113), 6)</f>
        <v>0</v>
      </c>
      <c r="E87" s="50">
        <f>ROUND(RV_DATA!K113, 6)</f>
        <v>0</v>
      </c>
      <c r="F87" s="50">
        <f>ROUND(SUMIF(RV_DATA!AB64:AB113, -1044329056, RV_DATA!M64:M113), 6)</f>
        <v>0</v>
      </c>
      <c r="G87" s="50">
        <f>ROUND(SUMIF(RV_DATA!AB64:AB113, -1044329056, RV_DATA!O64:O113), 6)</f>
        <v>0</v>
      </c>
      <c r="Q87">
        <v>3</v>
      </c>
    </row>
    <row r="88" spans="1:17" ht="14.25" x14ac:dyDescent="0.2">
      <c r="A88" s="49" t="s">
        <v>322</v>
      </c>
      <c r="B88" s="41" t="s">
        <v>323</v>
      </c>
      <c r="C88" s="41" t="s">
        <v>200</v>
      </c>
      <c r="D88" s="42">
        <f>ROUND(SUMIF(RV_DATA!AB64:AB113, -883491509, RV_DATA!I64:I113), 6)</f>
        <v>0.26585999999999999</v>
      </c>
      <c r="E88" s="50">
        <f>ROUND(RV_DATA!K64, 6)</f>
        <v>0</v>
      </c>
      <c r="F88" s="50">
        <f>ROUND(SUMIF(RV_DATA!AB64:AB113, -883491509, RV_DATA!M64:M113), 6)</f>
        <v>0</v>
      </c>
      <c r="G88" s="50">
        <f>ROUND(SUMIF(RV_DATA!AB64:AB113, -883491509, RV_DATA!O64:O113), 6)</f>
        <v>0</v>
      </c>
      <c r="Q88">
        <v>3</v>
      </c>
    </row>
    <row r="89" spans="1:17" ht="15" x14ac:dyDescent="0.25">
      <c r="A89" s="94" t="s">
        <v>471</v>
      </c>
      <c r="B89" s="94"/>
      <c r="C89" s="94"/>
      <c r="D89" s="94"/>
      <c r="E89" s="95">
        <f>SUMIF(Q61:Q88, 3, F61:F88)</f>
        <v>214854.07</v>
      </c>
      <c r="F89" s="95"/>
      <c r="G89" s="51"/>
    </row>
  </sheetData>
  <sortState ref="A61:R88">
    <sortCondition ref="A61"/>
  </sortState>
  <mergeCells count="25">
    <mergeCell ref="A2:G2"/>
    <mergeCell ref="A3:G3"/>
    <mergeCell ref="A4:A6"/>
    <mergeCell ref="B4:B6"/>
    <mergeCell ref="C4:C6"/>
    <mergeCell ref="D4:D6"/>
    <mergeCell ref="E4:F5"/>
    <mergeCell ref="G4:G6"/>
    <mergeCell ref="A54:G54"/>
    <mergeCell ref="A8:G8"/>
    <mergeCell ref="A9:G9"/>
    <mergeCell ref="A10:G10"/>
    <mergeCell ref="A11:G11"/>
    <mergeCell ref="A15:D15"/>
    <mergeCell ref="E15:F15"/>
    <mergeCell ref="A16:G16"/>
    <mergeCell ref="A51:D51"/>
    <mergeCell ref="E51:F51"/>
    <mergeCell ref="A52:G52"/>
    <mergeCell ref="A53:G53"/>
    <mergeCell ref="A59:D59"/>
    <mergeCell ref="E59:F59"/>
    <mergeCell ref="A60:G60"/>
    <mergeCell ref="A89:D89"/>
    <mergeCell ref="E89:F89"/>
  </mergeCells>
  <pageMargins left="0.6" right="0.4" top="0.65" bottom="0.4" header="0.4" footer="0.4"/>
  <pageSetup paperSize="9" scale="76" fitToHeight="0" orientation="portrait" horizontalDpi="0" verticalDpi="0" r:id="rId1"/>
  <headerFooter>
    <oddHeader>&amp;C&amp;P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K280"/>
  <sheetViews>
    <sheetView workbookViewId="0">
      <selection activeCell="A276" sqref="A276:O276"/>
    </sheetView>
  </sheetViews>
  <sheetFormatPr defaultColWidth="9.140625" defaultRowHeight="12.75" x14ac:dyDescent="0.2"/>
  <cols>
    <col min="1" max="256" width="9.140625" customWidth="1"/>
  </cols>
  <sheetData>
    <row r="1" spans="1:133" x14ac:dyDescent="0.2">
      <c r="A1">
        <v>0</v>
      </c>
      <c r="B1" t="s">
        <v>0</v>
      </c>
      <c r="D1" t="s">
        <v>1</v>
      </c>
      <c r="F1">
        <v>0</v>
      </c>
      <c r="G1">
        <v>0</v>
      </c>
      <c r="H1">
        <v>0</v>
      </c>
      <c r="I1" t="s">
        <v>2</v>
      </c>
      <c r="J1" t="s">
        <v>3</v>
      </c>
      <c r="K1">
        <v>0</v>
      </c>
      <c r="L1">
        <v>31353</v>
      </c>
      <c r="M1">
        <v>10</v>
      </c>
      <c r="N1">
        <v>11</v>
      </c>
      <c r="O1">
        <v>11</v>
      </c>
      <c r="P1">
        <v>0</v>
      </c>
      <c r="Q1">
        <v>3</v>
      </c>
    </row>
    <row r="12" spans="1:133" x14ac:dyDescent="0.2">
      <c r="A12" s="1">
        <v>1</v>
      </c>
      <c r="B12" s="1">
        <v>276</v>
      </c>
      <c r="C12" s="1">
        <v>0</v>
      </c>
      <c r="D12" s="1">
        <f>ROW(A238)</f>
        <v>238</v>
      </c>
      <c r="E12" s="1">
        <v>0</v>
      </c>
      <c r="F12" s="1" t="s">
        <v>3</v>
      </c>
      <c r="G12" s="1" t="s">
        <v>4</v>
      </c>
      <c r="H12" s="1" t="s">
        <v>3</v>
      </c>
      <c r="I12" s="1">
        <v>0</v>
      </c>
      <c r="J12" s="1" t="s">
        <v>3</v>
      </c>
      <c r="K12" s="1">
        <v>0</v>
      </c>
      <c r="L12" s="1">
        <v>0</v>
      </c>
      <c r="M12" s="1">
        <v>2</v>
      </c>
      <c r="N12" s="1"/>
      <c r="O12" s="1">
        <v>0</v>
      </c>
      <c r="P12" s="1">
        <v>0</v>
      </c>
      <c r="Q12" s="1">
        <v>0</v>
      </c>
      <c r="R12" s="1">
        <v>160</v>
      </c>
      <c r="S12" s="1"/>
      <c r="T12" s="1">
        <v>1</v>
      </c>
      <c r="U12" s="1" t="s">
        <v>3</v>
      </c>
      <c r="V12" s="1">
        <v>0</v>
      </c>
      <c r="W12" s="1" t="s">
        <v>3</v>
      </c>
      <c r="X12" s="1" t="s">
        <v>3</v>
      </c>
      <c r="Y12" s="1" t="s">
        <v>3</v>
      </c>
      <c r="Z12" s="1" t="s">
        <v>3</v>
      </c>
      <c r="AA12" s="1" t="s">
        <v>3</v>
      </c>
      <c r="AB12" s="1" t="s">
        <v>3</v>
      </c>
      <c r="AC12" s="1" t="s">
        <v>3</v>
      </c>
      <c r="AD12" s="1" t="s">
        <v>3</v>
      </c>
      <c r="AE12" s="1" t="s">
        <v>3</v>
      </c>
      <c r="AF12" s="1" t="s">
        <v>3</v>
      </c>
      <c r="AG12" s="1" t="s">
        <v>3</v>
      </c>
      <c r="AH12" s="1" t="s">
        <v>3</v>
      </c>
      <c r="AI12" s="1" t="s">
        <v>3</v>
      </c>
      <c r="AJ12" s="1" t="s">
        <v>3</v>
      </c>
      <c r="AK12" s="1"/>
      <c r="AL12" s="1" t="s">
        <v>3</v>
      </c>
      <c r="AM12" s="1" t="s">
        <v>3</v>
      </c>
      <c r="AN12" s="1" t="s">
        <v>3</v>
      </c>
      <c r="AO12" s="1"/>
      <c r="AP12" s="1" t="s">
        <v>3</v>
      </c>
      <c r="AQ12" s="1" t="s">
        <v>3</v>
      </c>
      <c r="AR12" s="1" t="s">
        <v>3</v>
      </c>
      <c r="AS12" s="1"/>
      <c r="AT12" s="1"/>
      <c r="AU12" s="1"/>
      <c r="AV12" s="1"/>
      <c r="AW12" s="1"/>
      <c r="AX12" s="1" t="s">
        <v>3</v>
      </c>
      <c r="AY12" s="1" t="s">
        <v>3</v>
      </c>
      <c r="AZ12" s="1" t="s">
        <v>3</v>
      </c>
      <c r="BA12" s="1"/>
      <c r="BB12" s="1">
        <v>0</v>
      </c>
      <c r="BC12" s="1"/>
      <c r="BD12" s="1"/>
      <c r="BE12" s="1"/>
      <c r="BF12" s="1"/>
      <c r="BG12" s="1"/>
      <c r="BH12" s="1" t="s">
        <v>5</v>
      </c>
      <c r="BI12" s="1" t="s">
        <v>6</v>
      </c>
      <c r="BJ12" s="1">
        <v>1</v>
      </c>
      <c r="BK12" s="1">
        <v>1</v>
      </c>
      <c r="BL12" s="1">
        <v>0</v>
      </c>
      <c r="BM12" s="1">
        <v>0</v>
      </c>
      <c r="BN12" s="1">
        <v>1</v>
      </c>
      <c r="BO12" s="1">
        <v>0</v>
      </c>
      <c r="BP12" s="1">
        <v>6</v>
      </c>
      <c r="BQ12" s="1">
        <v>2</v>
      </c>
      <c r="BR12" s="1">
        <v>1</v>
      </c>
      <c r="BS12" s="1">
        <v>1</v>
      </c>
      <c r="BT12" s="1">
        <v>1</v>
      </c>
      <c r="BU12" s="1">
        <v>0</v>
      </c>
      <c r="BV12" s="1">
        <v>1</v>
      </c>
      <c r="BW12" s="1">
        <v>1</v>
      </c>
      <c r="BX12" s="1">
        <v>0</v>
      </c>
      <c r="BY12" s="1" t="s">
        <v>7</v>
      </c>
      <c r="BZ12" s="1" t="s">
        <v>8</v>
      </c>
      <c r="CA12" s="1" t="s">
        <v>9</v>
      </c>
      <c r="CB12" s="1" t="s">
        <v>9</v>
      </c>
      <c r="CC12" s="1" t="s">
        <v>9</v>
      </c>
      <c r="CD12" s="1" t="s">
        <v>9</v>
      </c>
      <c r="CE12" s="1" t="s">
        <v>10</v>
      </c>
      <c r="CF12" s="1">
        <v>0</v>
      </c>
      <c r="CG12" s="1">
        <v>0</v>
      </c>
      <c r="CH12" s="1">
        <v>10</v>
      </c>
      <c r="CI12" s="1" t="s">
        <v>3</v>
      </c>
      <c r="CJ12" s="1" t="s">
        <v>3</v>
      </c>
      <c r="CK12" s="1">
        <v>0</v>
      </c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>
        <v>0</v>
      </c>
      <c r="CZ12" s="1" t="s">
        <v>3</v>
      </c>
      <c r="DA12" s="1" t="s">
        <v>3</v>
      </c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>
        <v>0</v>
      </c>
    </row>
    <row r="15" spans="1:133" x14ac:dyDescent="0.2">
      <c r="A15" s="1">
        <v>15</v>
      </c>
      <c r="B15" s="1">
        <v>1</v>
      </c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</row>
    <row r="18" spans="1:245" x14ac:dyDescent="0.2">
      <c r="A18" s="2">
        <v>52</v>
      </c>
      <c r="B18" s="2">
        <f t="shared" ref="B18:G18" si="0">B238</f>
        <v>276</v>
      </c>
      <c r="C18" s="2">
        <f t="shared" si="0"/>
        <v>1</v>
      </c>
      <c r="D18" s="2">
        <f t="shared" si="0"/>
        <v>12</v>
      </c>
      <c r="E18" s="2">
        <f t="shared" si="0"/>
        <v>0</v>
      </c>
      <c r="F18" s="2" t="str">
        <f t="shared" si="0"/>
        <v/>
      </c>
      <c r="G18" s="2" t="str">
        <f t="shared" si="0"/>
        <v>920_Перовская 24. ТР-2024_(ГВС/ХВС) (СН-2012 Выпуск №2 (в ценах на 01.01.2025 г))</v>
      </c>
      <c r="H18" s="2"/>
      <c r="I18" s="2"/>
      <c r="J18" s="2"/>
      <c r="K18" s="2"/>
      <c r="L18" s="2"/>
      <c r="M18" s="2"/>
      <c r="N18" s="2"/>
      <c r="O18" s="2">
        <f t="shared" ref="O18:AT18" si="1">O238</f>
        <v>362707.98</v>
      </c>
      <c r="P18" s="2">
        <f t="shared" si="1"/>
        <v>236050.61</v>
      </c>
      <c r="Q18" s="2">
        <f t="shared" si="1"/>
        <v>707.11</v>
      </c>
      <c r="R18" s="2">
        <f t="shared" si="1"/>
        <v>19.64</v>
      </c>
      <c r="S18" s="2">
        <f t="shared" si="1"/>
        <v>125950.26</v>
      </c>
      <c r="T18" s="2">
        <f t="shared" si="1"/>
        <v>0</v>
      </c>
      <c r="U18" s="2">
        <f t="shared" si="1"/>
        <v>299.18309999999997</v>
      </c>
      <c r="V18" s="2">
        <f t="shared" si="1"/>
        <v>0</v>
      </c>
      <c r="W18" s="2">
        <f t="shared" si="1"/>
        <v>0</v>
      </c>
      <c r="X18" s="2">
        <f t="shared" si="1"/>
        <v>88165.18</v>
      </c>
      <c r="Y18" s="2">
        <f t="shared" si="1"/>
        <v>12595.03</v>
      </c>
      <c r="Z18" s="2">
        <f t="shared" si="1"/>
        <v>0</v>
      </c>
      <c r="AA18" s="2">
        <f t="shared" si="1"/>
        <v>0</v>
      </c>
      <c r="AB18" s="2">
        <f t="shared" si="1"/>
        <v>0</v>
      </c>
      <c r="AC18" s="2">
        <f t="shared" si="1"/>
        <v>0</v>
      </c>
      <c r="AD18" s="2">
        <f t="shared" si="1"/>
        <v>0</v>
      </c>
      <c r="AE18" s="2">
        <f t="shared" si="1"/>
        <v>0</v>
      </c>
      <c r="AF18" s="2">
        <f t="shared" si="1"/>
        <v>0</v>
      </c>
      <c r="AG18" s="2">
        <f t="shared" si="1"/>
        <v>0</v>
      </c>
      <c r="AH18" s="2">
        <f t="shared" si="1"/>
        <v>0</v>
      </c>
      <c r="AI18" s="2">
        <f t="shared" si="1"/>
        <v>0</v>
      </c>
      <c r="AJ18" s="2">
        <f t="shared" si="1"/>
        <v>0</v>
      </c>
      <c r="AK18" s="2">
        <f t="shared" si="1"/>
        <v>0</v>
      </c>
      <c r="AL18" s="2">
        <f t="shared" si="1"/>
        <v>0</v>
      </c>
      <c r="AM18" s="2">
        <f t="shared" si="1"/>
        <v>0</v>
      </c>
      <c r="AN18" s="2">
        <f t="shared" si="1"/>
        <v>0</v>
      </c>
      <c r="AO18" s="2">
        <f t="shared" si="1"/>
        <v>0</v>
      </c>
      <c r="AP18" s="2">
        <f t="shared" si="1"/>
        <v>0</v>
      </c>
      <c r="AQ18" s="2">
        <f t="shared" si="1"/>
        <v>0</v>
      </c>
      <c r="AR18" s="2">
        <f t="shared" si="1"/>
        <v>463499.61</v>
      </c>
      <c r="AS18" s="2">
        <f t="shared" si="1"/>
        <v>0</v>
      </c>
      <c r="AT18" s="2">
        <f t="shared" si="1"/>
        <v>0</v>
      </c>
      <c r="AU18" s="2">
        <f t="shared" ref="AU18:BZ18" si="2">AU238</f>
        <v>463499.61</v>
      </c>
      <c r="AV18" s="2">
        <f t="shared" si="2"/>
        <v>236050.61</v>
      </c>
      <c r="AW18" s="2">
        <f t="shared" si="2"/>
        <v>236050.61</v>
      </c>
      <c r="AX18" s="2">
        <f t="shared" si="2"/>
        <v>0</v>
      </c>
      <c r="AY18" s="2">
        <f t="shared" si="2"/>
        <v>236050.61</v>
      </c>
      <c r="AZ18" s="2">
        <f t="shared" si="2"/>
        <v>0</v>
      </c>
      <c r="BA18" s="2">
        <f t="shared" si="2"/>
        <v>0</v>
      </c>
      <c r="BB18" s="2">
        <f t="shared" si="2"/>
        <v>0</v>
      </c>
      <c r="BC18" s="2">
        <f t="shared" si="2"/>
        <v>0</v>
      </c>
      <c r="BD18" s="2">
        <f t="shared" si="2"/>
        <v>0</v>
      </c>
      <c r="BE18" s="2">
        <f t="shared" si="2"/>
        <v>0</v>
      </c>
      <c r="BF18" s="2">
        <f t="shared" si="2"/>
        <v>0</v>
      </c>
      <c r="BG18" s="2">
        <f t="shared" si="2"/>
        <v>0</v>
      </c>
      <c r="BH18" s="2">
        <f t="shared" si="2"/>
        <v>0</v>
      </c>
      <c r="BI18" s="2">
        <f t="shared" si="2"/>
        <v>0</v>
      </c>
      <c r="BJ18" s="2">
        <f t="shared" si="2"/>
        <v>0</v>
      </c>
      <c r="BK18" s="2">
        <f t="shared" si="2"/>
        <v>0</v>
      </c>
      <c r="BL18" s="2">
        <f t="shared" si="2"/>
        <v>0</v>
      </c>
      <c r="BM18" s="2">
        <f t="shared" si="2"/>
        <v>0</v>
      </c>
      <c r="BN18" s="2">
        <f t="shared" si="2"/>
        <v>0</v>
      </c>
      <c r="BO18" s="2">
        <f t="shared" si="2"/>
        <v>0</v>
      </c>
      <c r="BP18" s="2">
        <f t="shared" si="2"/>
        <v>0</v>
      </c>
      <c r="BQ18" s="2">
        <f t="shared" si="2"/>
        <v>0</v>
      </c>
      <c r="BR18" s="2">
        <f t="shared" si="2"/>
        <v>0</v>
      </c>
      <c r="BS18" s="2">
        <f t="shared" si="2"/>
        <v>0</v>
      </c>
      <c r="BT18" s="2">
        <f t="shared" si="2"/>
        <v>0</v>
      </c>
      <c r="BU18" s="2">
        <f t="shared" si="2"/>
        <v>0</v>
      </c>
      <c r="BV18" s="2">
        <f t="shared" si="2"/>
        <v>0</v>
      </c>
      <c r="BW18" s="2">
        <f t="shared" si="2"/>
        <v>0</v>
      </c>
      <c r="BX18" s="2">
        <f t="shared" si="2"/>
        <v>0</v>
      </c>
      <c r="BY18" s="2">
        <f t="shared" si="2"/>
        <v>0</v>
      </c>
      <c r="BZ18" s="2">
        <f t="shared" si="2"/>
        <v>0</v>
      </c>
      <c r="CA18" s="2">
        <f t="shared" ref="CA18:DF18" si="3">CA238</f>
        <v>0</v>
      </c>
      <c r="CB18" s="2">
        <f t="shared" si="3"/>
        <v>0</v>
      </c>
      <c r="CC18" s="2">
        <f t="shared" si="3"/>
        <v>0</v>
      </c>
      <c r="CD18" s="2">
        <f t="shared" si="3"/>
        <v>0</v>
      </c>
      <c r="CE18" s="2">
        <f t="shared" si="3"/>
        <v>0</v>
      </c>
      <c r="CF18" s="2">
        <f t="shared" si="3"/>
        <v>0</v>
      </c>
      <c r="CG18" s="2">
        <f t="shared" si="3"/>
        <v>0</v>
      </c>
      <c r="CH18" s="2">
        <f t="shared" si="3"/>
        <v>0</v>
      </c>
      <c r="CI18" s="2">
        <f t="shared" si="3"/>
        <v>0</v>
      </c>
      <c r="CJ18" s="2">
        <f t="shared" si="3"/>
        <v>0</v>
      </c>
      <c r="CK18" s="2">
        <f t="shared" si="3"/>
        <v>0</v>
      </c>
      <c r="CL18" s="2">
        <f t="shared" si="3"/>
        <v>0</v>
      </c>
      <c r="CM18" s="2">
        <f t="shared" si="3"/>
        <v>0</v>
      </c>
      <c r="CN18" s="2">
        <f t="shared" si="3"/>
        <v>0</v>
      </c>
      <c r="CO18" s="2">
        <f t="shared" si="3"/>
        <v>0</v>
      </c>
      <c r="CP18" s="2">
        <f t="shared" si="3"/>
        <v>0</v>
      </c>
      <c r="CQ18" s="2">
        <f t="shared" si="3"/>
        <v>0</v>
      </c>
      <c r="CR18" s="2">
        <f t="shared" si="3"/>
        <v>0</v>
      </c>
      <c r="CS18" s="2">
        <f t="shared" si="3"/>
        <v>0</v>
      </c>
      <c r="CT18" s="2">
        <f t="shared" si="3"/>
        <v>0</v>
      </c>
      <c r="CU18" s="2">
        <f t="shared" si="3"/>
        <v>0</v>
      </c>
      <c r="CV18" s="2">
        <f t="shared" si="3"/>
        <v>0</v>
      </c>
      <c r="CW18" s="2">
        <f t="shared" si="3"/>
        <v>0</v>
      </c>
      <c r="CX18" s="2">
        <f t="shared" si="3"/>
        <v>0</v>
      </c>
      <c r="CY18" s="2">
        <f t="shared" si="3"/>
        <v>0</v>
      </c>
      <c r="CZ18" s="2">
        <f t="shared" si="3"/>
        <v>0</v>
      </c>
      <c r="DA18" s="2">
        <f t="shared" si="3"/>
        <v>0</v>
      </c>
      <c r="DB18" s="2">
        <f t="shared" si="3"/>
        <v>0</v>
      </c>
      <c r="DC18" s="2">
        <f t="shared" si="3"/>
        <v>0</v>
      </c>
      <c r="DD18" s="2">
        <f t="shared" si="3"/>
        <v>0</v>
      </c>
      <c r="DE18" s="2">
        <f t="shared" si="3"/>
        <v>0</v>
      </c>
      <c r="DF18" s="2">
        <f t="shared" si="3"/>
        <v>0</v>
      </c>
      <c r="DG18" s="3">
        <f t="shared" ref="DG18:EL18" si="4">DG238</f>
        <v>0</v>
      </c>
      <c r="DH18" s="3">
        <f t="shared" si="4"/>
        <v>0</v>
      </c>
      <c r="DI18" s="3">
        <f t="shared" si="4"/>
        <v>0</v>
      </c>
      <c r="DJ18" s="3">
        <f t="shared" si="4"/>
        <v>0</v>
      </c>
      <c r="DK18" s="3">
        <f t="shared" si="4"/>
        <v>0</v>
      </c>
      <c r="DL18" s="3">
        <f t="shared" si="4"/>
        <v>0</v>
      </c>
      <c r="DM18" s="3">
        <f t="shared" si="4"/>
        <v>0</v>
      </c>
      <c r="DN18" s="3">
        <f t="shared" si="4"/>
        <v>0</v>
      </c>
      <c r="DO18" s="3">
        <f t="shared" si="4"/>
        <v>0</v>
      </c>
      <c r="DP18" s="3">
        <f t="shared" si="4"/>
        <v>0</v>
      </c>
      <c r="DQ18" s="3">
        <f t="shared" si="4"/>
        <v>0</v>
      </c>
      <c r="DR18" s="3">
        <f t="shared" si="4"/>
        <v>0</v>
      </c>
      <c r="DS18" s="3">
        <f t="shared" si="4"/>
        <v>0</v>
      </c>
      <c r="DT18" s="3">
        <f t="shared" si="4"/>
        <v>0</v>
      </c>
      <c r="DU18" s="3">
        <f t="shared" si="4"/>
        <v>0</v>
      </c>
      <c r="DV18" s="3">
        <f t="shared" si="4"/>
        <v>0</v>
      </c>
      <c r="DW18" s="3">
        <f t="shared" si="4"/>
        <v>0</v>
      </c>
      <c r="DX18" s="3">
        <f t="shared" si="4"/>
        <v>0</v>
      </c>
      <c r="DY18" s="3">
        <f t="shared" si="4"/>
        <v>0</v>
      </c>
      <c r="DZ18" s="3">
        <f t="shared" si="4"/>
        <v>0</v>
      </c>
      <c r="EA18" s="3">
        <f t="shared" si="4"/>
        <v>0</v>
      </c>
      <c r="EB18" s="3">
        <f t="shared" si="4"/>
        <v>0</v>
      </c>
      <c r="EC18" s="3">
        <f t="shared" si="4"/>
        <v>0</v>
      </c>
      <c r="ED18" s="3">
        <f t="shared" si="4"/>
        <v>0</v>
      </c>
      <c r="EE18" s="3">
        <f t="shared" si="4"/>
        <v>0</v>
      </c>
      <c r="EF18" s="3">
        <f t="shared" si="4"/>
        <v>0</v>
      </c>
      <c r="EG18" s="3">
        <f t="shared" si="4"/>
        <v>0</v>
      </c>
      <c r="EH18" s="3">
        <f t="shared" si="4"/>
        <v>0</v>
      </c>
      <c r="EI18" s="3">
        <f t="shared" si="4"/>
        <v>0</v>
      </c>
      <c r="EJ18" s="3">
        <f t="shared" si="4"/>
        <v>0</v>
      </c>
      <c r="EK18" s="3">
        <f t="shared" si="4"/>
        <v>0</v>
      </c>
      <c r="EL18" s="3">
        <f t="shared" si="4"/>
        <v>0</v>
      </c>
      <c r="EM18" s="3">
        <f t="shared" ref="EM18:FR18" si="5">EM238</f>
        <v>0</v>
      </c>
      <c r="EN18" s="3">
        <f t="shared" si="5"/>
        <v>0</v>
      </c>
      <c r="EO18" s="3">
        <f t="shared" si="5"/>
        <v>0</v>
      </c>
      <c r="EP18" s="3">
        <f t="shared" si="5"/>
        <v>0</v>
      </c>
      <c r="EQ18" s="3">
        <f t="shared" si="5"/>
        <v>0</v>
      </c>
      <c r="ER18" s="3">
        <f t="shared" si="5"/>
        <v>0</v>
      </c>
      <c r="ES18" s="3">
        <f t="shared" si="5"/>
        <v>0</v>
      </c>
      <c r="ET18" s="3">
        <f t="shared" si="5"/>
        <v>0</v>
      </c>
      <c r="EU18" s="3">
        <f t="shared" si="5"/>
        <v>0</v>
      </c>
      <c r="EV18" s="3">
        <f t="shared" si="5"/>
        <v>0</v>
      </c>
      <c r="EW18" s="3">
        <f t="shared" si="5"/>
        <v>0</v>
      </c>
      <c r="EX18" s="3">
        <f t="shared" si="5"/>
        <v>0</v>
      </c>
      <c r="EY18" s="3">
        <f t="shared" si="5"/>
        <v>0</v>
      </c>
      <c r="EZ18" s="3">
        <f t="shared" si="5"/>
        <v>0</v>
      </c>
      <c r="FA18" s="3">
        <f t="shared" si="5"/>
        <v>0</v>
      </c>
      <c r="FB18" s="3">
        <f t="shared" si="5"/>
        <v>0</v>
      </c>
      <c r="FC18" s="3">
        <f t="shared" si="5"/>
        <v>0</v>
      </c>
      <c r="FD18" s="3">
        <f t="shared" si="5"/>
        <v>0</v>
      </c>
      <c r="FE18" s="3">
        <f t="shared" si="5"/>
        <v>0</v>
      </c>
      <c r="FF18" s="3">
        <f t="shared" si="5"/>
        <v>0</v>
      </c>
      <c r="FG18" s="3">
        <f t="shared" si="5"/>
        <v>0</v>
      </c>
      <c r="FH18" s="3">
        <f t="shared" si="5"/>
        <v>0</v>
      </c>
      <c r="FI18" s="3">
        <f t="shared" si="5"/>
        <v>0</v>
      </c>
      <c r="FJ18" s="3">
        <f t="shared" si="5"/>
        <v>0</v>
      </c>
      <c r="FK18" s="3">
        <f t="shared" si="5"/>
        <v>0</v>
      </c>
      <c r="FL18" s="3">
        <f t="shared" si="5"/>
        <v>0</v>
      </c>
      <c r="FM18" s="3">
        <f t="shared" si="5"/>
        <v>0</v>
      </c>
      <c r="FN18" s="3">
        <f t="shared" si="5"/>
        <v>0</v>
      </c>
      <c r="FO18" s="3">
        <f t="shared" si="5"/>
        <v>0</v>
      </c>
      <c r="FP18" s="3">
        <f t="shared" si="5"/>
        <v>0</v>
      </c>
      <c r="FQ18" s="3">
        <f t="shared" si="5"/>
        <v>0</v>
      </c>
      <c r="FR18" s="3">
        <f t="shared" si="5"/>
        <v>0</v>
      </c>
      <c r="FS18" s="3">
        <f t="shared" ref="FS18:GX18" si="6">FS238</f>
        <v>0</v>
      </c>
      <c r="FT18" s="3">
        <f t="shared" si="6"/>
        <v>0</v>
      </c>
      <c r="FU18" s="3">
        <f t="shared" si="6"/>
        <v>0</v>
      </c>
      <c r="FV18" s="3">
        <f t="shared" si="6"/>
        <v>0</v>
      </c>
      <c r="FW18" s="3">
        <f t="shared" si="6"/>
        <v>0</v>
      </c>
      <c r="FX18" s="3">
        <f t="shared" si="6"/>
        <v>0</v>
      </c>
      <c r="FY18" s="3">
        <f t="shared" si="6"/>
        <v>0</v>
      </c>
      <c r="FZ18" s="3">
        <f t="shared" si="6"/>
        <v>0</v>
      </c>
      <c r="GA18" s="3">
        <f t="shared" si="6"/>
        <v>0</v>
      </c>
      <c r="GB18" s="3">
        <f t="shared" si="6"/>
        <v>0</v>
      </c>
      <c r="GC18" s="3">
        <f t="shared" si="6"/>
        <v>0</v>
      </c>
      <c r="GD18" s="3">
        <f t="shared" si="6"/>
        <v>0</v>
      </c>
      <c r="GE18" s="3">
        <f t="shared" si="6"/>
        <v>0</v>
      </c>
      <c r="GF18" s="3">
        <f t="shared" si="6"/>
        <v>0</v>
      </c>
      <c r="GG18" s="3">
        <f t="shared" si="6"/>
        <v>0</v>
      </c>
      <c r="GH18" s="3">
        <f t="shared" si="6"/>
        <v>0</v>
      </c>
      <c r="GI18" s="3">
        <f t="shared" si="6"/>
        <v>0</v>
      </c>
      <c r="GJ18" s="3">
        <f t="shared" si="6"/>
        <v>0</v>
      </c>
      <c r="GK18" s="3">
        <f t="shared" si="6"/>
        <v>0</v>
      </c>
      <c r="GL18" s="3">
        <f t="shared" si="6"/>
        <v>0</v>
      </c>
      <c r="GM18" s="3">
        <f t="shared" si="6"/>
        <v>0</v>
      </c>
      <c r="GN18" s="3">
        <f t="shared" si="6"/>
        <v>0</v>
      </c>
      <c r="GO18" s="3">
        <f t="shared" si="6"/>
        <v>0</v>
      </c>
      <c r="GP18" s="3">
        <f t="shared" si="6"/>
        <v>0</v>
      </c>
      <c r="GQ18" s="3">
        <f t="shared" si="6"/>
        <v>0</v>
      </c>
      <c r="GR18" s="3">
        <f t="shared" si="6"/>
        <v>0</v>
      </c>
      <c r="GS18" s="3">
        <f t="shared" si="6"/>
        <v>0</v>
      </c>
      <c r="GT18" s="3">
        <f t="shared" si="6"/>
        <v>0</v>
      </c>
      <c r="GU18" s="3">
        <f t="shared" si="6"/>
        <v>0</v>
      </c>
      <c r="GV18" s="3">
        <f t="shared" si="6"/>
        <v>0</v>
      </c>
      <c r="GW18" s="3">
        <f t="shared" si="6"/>
        <v>0</v>
      </c>
      <c r="GX18" s="3">
        <f t="shared" si="6"/>
        <v>0</v>
      </c>
    </row>
    <row r="20" spans="1:245" x14ac:dyDescent="0.2">
      <c r="A20" s="1">
        <v>3</v>
      </c>
      <c r="B20" s="1">
        <v>1</v>
      </c>
      <c r="C20" s="1"/>
      <c r="D20" s="1">
        <f>ROW(A208)</f>
        <v>208</v>
      </c>
      <c r="E20" s="1"/>
      <c r="F20" s="1" t="s">
        <v>3</v>
      </c>
      <c r="G20" s="1" t="s">
        <v>11</v>
      </c>
      <c r="H20" s="1" t="s">
        <v>3</v>
      </c>
      <c r="I20" s="1">
        <v>0</v>
      </c>
      <c r="J20" s="1" t="s">
        <v>3</v>
      </c>
      <c r="K20" s="1">
        <v>0</v>
      </c>
      <c r="L20" s="1" t="s">
        <v>11</v>
      </c>
      <c r="M20" s="1" t="s">
        <v>3</v>
      </c>
      <c r="N20" s="1"/>
      <c r="O20" s="1"/>
      <c r="P20" s="1"/>
      <c r="Q20" s="1"/>
      <c r="R20" s="1"/>
      <c r="S20" s="1">
        <v>0</v>
      </c>
      <c r="T20" s="1"/>
      <c r="U20" s="1" t="s">
        <v>3</v>
      </c>
      <c r="V20" s="1">
        <v>0</v>
      </c>
      <c r="W20" s="1"/>
      <c r="X20" s="1"/>
      <c r="Y20" s="1"/>
      <c r="Z20" s="1"/>
      <c r="AA20" s="1"/>
      <c r="AB20" s="1" t="s">
        <v>3</v>
      </c>
      <c r="AC20" s="1" t="s">
        <v>3</v>
      </c>
      <c r="AD20" s="1" t="s">
        <v>3</v>
      </c>
      <c r="AE20" s="1" t="s">
        <v>3</v>
      </c>
      <c r="AF20" s="1" t="s">
        <v>3</v>
      </c>
      <c r="AG20" s="1" t="s">
        <v>3</v>
      </c>
      <c r="AH20" s="1"/>
      <c r="AI20" s="1"/>
      <c r="AJ20" s="1"/>
      <c r="AK20" s="1"/>
      <c r="AL20" s="1"/>
      <c r="AM20" s="1"/>
      <c r="AN20" s="1"/>
      <c r="AO20" s="1"/>
      <c r="AP20" s="1" t="s">
        <v>3</v>
      </c>
      <c r="AQ20" s="1" t="s">
        <v>3</v>
      </c>
      <c r="AR20" s="1" t="s">
        <v>3</v>
      </c>
      <c r="AS20" s="1"/>
      <c r="AT20" s="1"/>
      <c r="AU20" s="1"/>
      <c r="AV20" s="1"/>
      <c r="AW20" s="1"/>
      <c r="AX20" s="1"/>
      <c r="AY20" s="1"/>
      <c r="AZ20" s="1" t="s">
        <v>3</v>
      </c>
      <c r="BA20" s="1"/>
      <c r="BB20" s="1" t="s">
        <v>3</v>
      </c>
      <c r="BC20" s="1" t="s">
        <v>3</v>
      </c>
      <c r="BD20" s="1" t="s">
        <v>3</v>
      </c>
      <c r="BE20" s="1" t="s">
        <v>3</v>
      </c>
      <c r="BF20" s="1" t="s">
        <v>3</v>
      </c>
      <c r="BG20" s="1" t="s">
        <v>3</v>
      </c>
      <c r="BH20" s="1" t="s">
        <v>3</v>
      </c>
      <c r="BI20" s="1" t="s">
        <v>3</v>
      </c>
      <c r="BJ20" s="1" t="s">
        <v>3</v>
      </c>
      <c r="BK20" s="1" t="s">
        <v>3</v>
      </c>
      <c r="BL20" s="1" t="s">
        <v>3</v>
      </c>
      <c r="BM20" s="1" t="s">
        <v>3</v>
      </c>
      <c r="BN20" s="1" t="s">
        <v>3</v>
      </c>
      <c r="BO20" s="1" t="s">
        <v>3</v>
      </c>
      <c r="BP20" s="1" t="s">
        <v>3</v>
      </c>
      <c r="BQ20" s="1"/>
      <c r="BR20" s="1"/>
      <c r="BS20" s="1"/>
      <c r="BT20" s="1"/>
      <c r="BU20" s="1"/>
      <c r="BV20" s="1"/>
      <c r="BW20" s="1"/>
      <c r="BX20" s="1">
        <v>0</v>
      </c>
      <c r="BY20" s="1"/>
      <c r="BZ20" s="1"/>
      <c r="CA20" s="1"/>
      <c r="CB20" s="1"/>
      <c r="CC20" s="1"/>
      <c r="CD20" s="1"/>
      <c r="CE20" s="1"/>
      <c r="CF20" s="1">
        <v>0</v>
      </c>
      <c r="CG20" s="1">
        <v>0</v>
      </c>
      <c r="CH20" s="1"/>
      <c r="CI20" s="1" t="s">
        <v>3</v>
      </c>
      <c r="CJ20" s="1" t="s">
        <v>3</v>
      </c>
      <c r="CK20" t="s">
        <v>3</v>
      </c>
      <c r="CL20" t="s">
        <v>3</v>
      </c>
      <c r="CM20" t="s">
        <v>3</v>
      </c>
      <c r="CN20" t="s">
        <v>3</v>
      </c>
      <c r="CO20" t="s">
        <v>3</v>
      </c>
      <c r="CP20" t="s">
        <v>3</v>
      </c>
      <c r="CQ20" t="s">
        <v>3</v>
      </c>
    </row>
    <row r="22" spans="1:245" x14ac:dyDescent="0.2">
      <c r="A22" s="2">
        <v>52</v>
      </c>
      <c r="B22" s="2">
        <f t="shared" ref="B22:G22" si="7">B208</f>
        <v>1</v>
      </c>
      <c r="C22" s="2">
        <f t="shared" si="7"/>
        <v>3</v>
      </c>
      <c r="D22" s="2">
        <f t="shared" si="7"/>
        <v>20</v>
      </c>
      <c r="E22" s="2">
        <f t="shared" si="7"/>
        <v>0</v>
      </c>
      <c r="F22" s="2" t="str">
        <f t="shared" si="7"/>
        <v/>
      </c>
      <c r="G22" s="2" t="str">
        <f t="shared" si="7"/>
        <v>Новая локальная смета</v>
      </c>
      <c r="H22" s="2"/>
      <c r="I22" s="2"/>
      <c r="J22" s="2"/>
      <c r="K22" s="2"/>
      <c r="L22" s="2"/>
      <c r="M22" s="2"/>
      <c r="N22" s="2"/>
      <c r="O22" s="2">
        <f t="shared" ref="O22:AT22" si="8">O208</f>
        <v>362707.98</v>
      </c>
      <c r="P22" s="2">
        <f t="shared" si="8"/>
        <v>236050.61</v>
      </c>
      <c r="Q22" s="2">
        <f t="shared" si="8"/>
        <v>707.11</v>
      </c>
      <c r="R22" s="2">
        <f t="shared" si="8"/>
        <v>19.64</v>
      </c>
      <c r="S22" s="2">
        <f t="shared" si="8"/>
        <v>125950.26</v>
      </c>
      <c r="T22" s="2">
        <f t="shared" si="8"/>
        <v>0</v>
      </c>
      <c r="U22" s="2">
        <f t="shared" si="8"/>
        <v>299.18309999999997</v>
      </c>
      <c r="V22" s="2">
        <f t="shared" si="8"/>
        <v>0</v>
      </c>
      <c r="W22" s="2">
        <f t="shared" si="8"/>
        <v>0</v>
      </c>
      <c r="X22" s="2">
        <f t="shared" si="8"/>
        <v>88165.18</v>
      </c>
      <c r="Y22" s="2">
        <f t="shared" si="8"/>
        <v>12595.03</v>
      </c>
      <c r="Z22" s="2">
        <f t="shared" si="8"/>
        <v>0</v>
      </c>
      <c r="AA22" s="2">
        <f t="shared" si="8"/>
        <v>0</v>
      </c>
      <c r="AB22" s="2">
        <f t="shared" si="8"/>
        <v>0</v>
      </c>
      <c r="AC22" s="2">
        <f t="shared" si="8"/>
        <v>0</v>
      </c>
      <c r="AD22" s="2">
        <f t="shared" si="8"/>
        <v>0</v>
      </c>
      <c r="AE22" s="2">
        <f t="shared" si="8"/>
        <v>0</v>
      </c>
      <c r="AF22" s="2">
        <f t="shared" si="8"/>
        <v>0</v>
      </c>
      <c r="AG22" s="2">
        <f t="shared" si="8"/>
        <v>0</v>
      </c>
      <c r="AH22" s="2">
        <f t="shared" si="8"/>
        <v>0</v>
      </c>
      <c r="AI22" s="2">
        <f t="shared" si="8"/>
        <v>0</v>
      </c>
      <c r="AJ22" s="2">
        <f t="shared" si="8"/>
        <v>0</v>
      </c>
      <c r="AK22" s="2">
        <f t="shared" si="8"/>
        <v>0</v>
      </c>
      <c r="AL22" s="2">
        <f t="shared" si="8"/>
        <v>0</v>
      </c>
      <c r="AM22" s="2">
        <f t="shared" si="8"/>
        <v>0</v>
      </c>
      <c r="AN22" s="2">
        <f t="shared" si="8"/>
        <v>0</v>
      </c>
      <c r="AO22" s="2">
        <f t="shared" si="8"/>
        <v>0</v>
      </c>
      <c r="AP22" s="2">
        <f t="shared" si="8"/>
        <v>0</v>
      </c>
      <c r="AQ22" s="2">
        <f t="shared" si="8"/>
        <v>0</v>
      </c>
      <c r="AR22" s="2">
        <f t="shared" si="8"/>
        <v>463499.61</v>
      </c>
      <c r="AS22" s="2">
        <f t="shared" si="8"/>
        <v>0</v>
      </c>
      <c r="AT22" s="2">
        <f t="shared" si="8"/>
        <v>0</v>
      </c>
      <c r="AU22" s="2">
        <f t="shared" ref="AU22:BZ22" si="9">AU208</f>
        <v>463499.61</v>
      </c>
      <c r="AV22" s="2">
        <f t="shared" si="9"/>
        <v>236050.61</v>
      </c>
      <c r="AW22" s="2">
        <f t="shared" si="9"/>
        <v>236050.61</v>
      </c>
      <c r="AX22" s="2">
        <f t="shared" si="9"/>
        <v>0</v>
      </c>
      <c r="AY22" s="2">
        <f t="shared" si="9"/>
        <v>236050.61</v>
      </c>
      <c r="AZ22" s="2">
        <f t="shared" si="9"/>
        <v>0</v>
      </c>
      <c r="BA22" s="2">
        <f t="shared" si="9"/>
        <v>0</v>
      </c>
      <c r="BB22" s="2">
        <f t="shared" si="9"/>
        <v>0</v>
      </c>
      <c r="BC22" s="2">
        <f t="shared" si="9"/>
        <v>0</v>
      </c>
      <c r="BD22" s="2">
        <f t="shared" si="9"/>
        <v>0</v>
      </c>
      <c r="BE22" s="2">
        <f t="shared" si="9"/>
        <v>0</v>
      </c>
      <c r="BF22" s="2">
        <f t="shared" si="9"/>
        <v>0</v>
      </c>
      <c r="BG22" s="2">
        <f t="shared" si="9"/>
        <v>0</v>
      </c>
      <c r="BH22" s="2">
        <f t="shared" si="9"/>
        <v>0</v>
      </c>
      <c r="BI22" s="2">
        <f t="shared" si="9"/>
        <v>0</v>
      </c>
      <c r="BJ22" s="2">
        <f t="shared" si="9"/>
        <v>0</v>
      </c>
      <c r="BK22" s="2">
        <f t="shared" si="9"/>
        <v>0</v>
      </c>
      <c r="BL22" s="2">
        <f t="shared" si="9"/>
        <v>0</v>
      </c>
      <c r="BM22" s="2">
        <f t="shared" si="9"/>
        <v>0</v>
      </c>
      <c r="BN22" s="2">
        <f t="shared" si="9"/>
        <v>0</v>
      </c>
      <c r="BO22" s="2">
        <f t="shared" si="9"/>
        <v>0</v>
      </c>
      <c r="BP22" s="2">
        <f t="shared" si="9"/>
        <v>0</v>
      </c>
      <c r="BQ22" s="2">
        <f t="shared" si="9"/>
        <v>0</v>
      </c>
      <c r="BR22" s="2">
        <f t="shared" si="9"/>
        <v>0</v>
      </c>
      <c r="BS22" s="2">
        <f t="shared" si="9"/>
        <v>0</v>
      </c>
      <c r="BT22" s="2">
        <f t="shared" si="9"/>
        <v>0</v>
      </c>
      <c r="BU22" s="2">
        <f t="shared" si="9"/>
        <v>0</v>
      </c>
      <c r="BV22" s="2">
        <f t="shared" si="9"/>
        <v>0</v>
      </c>
      <c r="BW22" s="2">
        <f t="shared" si="9"/>
        <v>0</v>
      </c>
      <c r="BX22" s="2">
        <f t="shared" si="9"/>
        <v>0</v>
      </c>
      <c r="BY22" s="2">
        <f t="shared" si="9"/>
        <v>0</v>
      </c>
      <c r="BZ22" s="2">
        <f t="shared" si="9"/>
        <v>0</v>
      </c>
      <c r="CA22" s="2">
        <f t="shared" ref="CA22:DF22" si="10">CA208</f>
        <v>0</v>
      </c>
      <c r="CB22" s="2">
        <f t="shared" si="10"/>
        <v>0</v>
      </c>
      <c r="CC22" s="2">
        <f t="shared" si="10"/>
        <v>0</v>
      </c>
      <c r="CD22" s="2">
        <f t="shared" si="10"/>
        <v>0</v>
      </c>
      <c r="CE22" s="2">
        <f t="shared" si="10"/>
        <v>0</v>
      </c>
      <c r="CF22" s="2">
        <f t="shared" si="10"/>
        <v>0</v>
      </c>
      <c r="CG22" s="2">
        <f t="shared" si="10"/>
        <v>0</v>
      </c>
      <c r="CH22" s="2">
        <f t="shared" si="10"/>
        <v>0</v>
      </c>
      <c r="CI22" s="2">
        <f t="shared" si="10"/>
        <v>0</v>
      </c>
      <c r="CJ22" s="2">
        <f t="shared" si="10"/>
        <v>0</v>
      </c>
      <c r="CK22" s="2">
        <f t="shared" si="10"/>
        <v>0</v>
      </c>
      <c r="CL22" s="2">
        <f t="shared" si="10"/>
        <v>0</v>
      </c>
      <c r="CM22" s="2">
        <f t="shared" si="10"/>
        <v>0</v>
      </c>
      <c r="CN22" s="2">
        <f t="shared" si="10"/>
        <v>0</v>
      </c>
      <c r="CO22" s="2">
        <f t="shared" si="10"/>
        <v>0</v>
      </c>
      <c r="CP22" s="2">
        <f t="shared" si="10"/>
        <v>0</v>
      </c>
      <c r="CQ22" s="2">
        <f t="shared" si="10"/>
        <v>0</v>
      </c>
      <c r="CR22" s="2">
        <f t="shared" si="10"/>
        <v>0</v>
      </c>
      <c r="CS22" s="2">
        <f t="shared" si="10"/>
        <v>0</v>
      </c>
      <c r="CT22" s="2">
        <f t="shared" si="10"/>
        <v>0</v>
      </c>
      <c r="CU22" s="2">
        <f t="shared" si="10"/>
        <v>0</v>
      </c>
      <c r="CV22" s="2">
        <f t="shared" si="10"/>
        <v>0</v>
      </c>
      <c r="CW22" s="2">
        <f t="shared" si="10"/>
        <v>0</v>
      </c>
      <c r="CX22" s="2">
        <f t="shared" si="10"/>
        <v>0</v>
      </c>
      <c r="CY22" s="2">
        <f t="shared" si="10"/>
        <v>0</v>
      </c>
      <c r="CZ22" s="2">
        <f t="shared" si="10"/>
        <v>0</v>
      </c>
      <c r="DA22" s="2">
        <f t="shared" si="10"/>
        <v>0</v>
      </c>
      <c r="DB22" s="2">
        <f t="shared" si="10"/>
        <v>0</v>
      </c>
      <c r="DC22" s="2">
        <f t="shared" si="10"/>
        <v>0</v>
      </c>
      <c r="DD22" s="2">
        <f t="shared" si="10"/>
        <v>0</v>
      </c>
      <c r="DE22" s="2">
        <f t="shared" si="10"/>
        <v>0</v>
      </c>
      <c r="DF22" s="2">
        <f t="shared" si="10"/>
        <v>0</v>
      </c>
      <c r="DG22" s="3">
        <f t="shared" ref="DG22:EL22" si="11">DG208</f>
        <v>0</v>
      </c>
      <c r="DH22" s="3">
        <f t="shared" si="11"/>
        <v>0</v>
      </c>
      <c r="DI22" s="3">
        <f t="shared" si="11"/>
        <v>0</v>
      </c>
      <c r="DJ22" s="3">
        <f t="shared" si="11"/>
        <v>0</v>
      </c>
      <c r="DK22" s="3">
        <f t="shared" si="11"/>
        <v>0</v>
      </c>
      <c r="DL22" s="3">
        <f t="shared" si="11"/>
        <v>0</v>
      </c>
      <c r="DM22" s="3">
        <f t="shared" si="11"/>
        <v>0</v>
      </c>
      <c r="DN22" s="3">
        <f t="shared" si="11"/>
        <v>0</v>
      </c>
      <c r="DO22" s="3">
        <f t="shared" si="11"/>
        <v>0</v>
      </c>
      <c r="DP22" s="3">
        <f t="shared" si="11"/>
        <v>0</v>
      </c>
      <c r="DQ22" s="3">
        <f t="shared" si="11"/>
        <v>0</v>
      </c>
      <c r="DR22" s="3">
        <f t="shared" si="11"/>
        <v>0</v>
      </c>
      <c r="DS22" s="3">
        <f t="shared" si="11"/>
        <v>0</v>
      </c>
      <c r="DT22" s="3">
        <f t="shared" si="11"/>
        <v>0</v>
      </c>
      <c r="DU22" s="3">
        <f t="shared" si="11"/>
        <v>0</v>
      </c>
      <c r="DV22" s="3">
        <f t="shared" si="11"/>
        <v>0</v>
      </c>
      <c r="DW22" s="3">
        <f t="shared" si="11"/>
        <v>0</v>
      </c>
      <c r="DX22" s="3">
        <f t="shared" si="11"/>
        <v>0</v>
      </c>
      <c r="DY22" s="3">
        <f t="shared" si="11"/>
        <v>0</v>
      </c>
      <c r="DZ22" s="3">
        <f t="shared" si="11"/>
        <v>0</v>
      </c>
      <c r="EA22" s="3">
        <f t="shared" si="11"/>
        <v>0</v>
      </c>
      <c r="EB22" s="3">
        <f t="shared" si="11"/>
        <v>0</v>
      </c>
      <c r="EC22" s="3">
        <f t="shared" si="11"/>
        <v>0</v>
      </c>
      <c r="ED22" s="3">
        <f t="shared" si="11"/>
        <v>0</v>
      </c>
      <c r="EE22" s="3">
        <f t="shared" si="11"/>
        <v>0</v>
      </c>
      <c r="EF22" s="3">
        <f t="shared" si="11"/>
        <v>0</v>
      </c>
      <c r="EG22" s="3">
        <f t="shared" si="11"/>
        <v>0</v>
      </c>
      <c r="EH22" s="3">
        <f t="shared" si="11"/>
        <v>0</v>
      </c>
      <c r="EI22" s="3">
        <f t="shared" si="11"/>
        <v>0</v>
      </c>
      <c r="EJ22" s="3">
        <f t="shared" si="11"/>
        <v>0</v>
      </c>
      <c r="EK22" s="3">
        <f t="shared" si="11"/>
        <v>0</v>
      </c>
      <c r="EL22" s="3">
        <f t="shared" si="11"/>
        <v>0</v>
      </c>
      <c r="EM22" s="3">
        <f t="shared" ref="EM22:FR22" si="12">EM208</f>
        <v>0</v>
      </c>
      <c r="EN22" s="3">
        <f t="shared" si="12"/>
        <v>0</v>
      </c>
      <c r="EO22" s="3">
        <f t="shared" si="12"/>
        <v>0</v>
      </c>
      <c r="EP22" s="3">
        <f t="shared" si="12"/>
        <v>0</v>
      </c>
      <c r="EQ22" s="3">
        <f t="shared" si="12"/>
        <v>0</v>
      </c>
      <c r="ER22" s="3">
        <f t="shared" si="12"/>
        <v>0</v>
      </c>
      <c r="ES22" s="3">
        <f t="shared" si="12"/>
        <v>0</v>
      </c>
      <c r="ET22" s="3">
        <f t="shared" si="12"/>
        <v>0</v>
      </c>
      <c r="EU22" s="3">
        <f t="shared" si="12"/>
        <v>0</v>
      </c>
      <c r="EV22" s="3">
        <f t="shared" si="12"/>
        <v>0</v>
      </c>
      <c r="EW22" s="3">
        <f t="shared" si="12"/>
        <v>0</v>
      </c>
      <c r="EX22" s="3">
        <f t="shared" si="12"/>
        <v>0</v>
      </c>
      <c r="EY22" s="3">
        <f t="shared" si="12"/>
        <v>0</v>
      </c>
      <c r="EZ22" s="3">
        <f t="shared" si="12"/>
        <v>0</v>
      </c>
      <c r="FA22" s="3">
        <f t="shared" si="12"/>
        <v>0</v>
      </c>
      <c r="FB22" s="3">
        <f t="shared" si="12"/>
        <v>0</v>
      </c>
      <c r="FC22" s="3">
        <f t="shared" si="12"/>
        <v>0</v>
      </c>
      <c r="FD22" s="3">
        <f t="shared" si="12"/>
        <v>0</v>
      </c>
      <c r="FE22" s="3">
        <f t="shared" si="12"/>
        <v>0</v>
      </c>
      <c r="FF22" s="3">
        <f t="shared" si="12"/>
        <v>0</v>
      </c>
      <c r="FG22" s="3">
        <f t="shared" si="12"/>
        <v>0</v>
      </c>
      <c r="FH22" s="3">
        <f t="shared" si="12"/>
        <v>0</v>
      </c>
      <c r="FI22" s="3">
        <f t="shared" si="12"/>
        <v>0</v>
      </c>
      <c r="FJ22" s="3">
        <f t="shared" si="12"/>
        <v>0</v>
      </c>
      <c r="FK22" s="3">
        <f t="shared" si="12"/>
        <v>0</v>
      </c>
      <c r="FL22" s="3">
        <f t="shared" si="12"/>
        <v>0</v>
      </c>
      <c r="FM22" s="3">
        <f t="shared" si="12"/>
        <v>0</v>
      </c>
      <c r="FN22" s="3">
        <f t="shared" si="12"/>
        <v>0</v>
      </c>
      <c r="FO22" s="3">
        <f t="shared" si="12"/>
        <v>0</v>
      </c>
      <c r="FP22" s="3">
        <f t="shared" si="12"/>
        <v>0</v>
      </c>
      <c r="FQ22" s="3">
        <f t="shared" si="12"/>
        <v>0</v>
      </c>
      <c r="FR22" s="3">
        <f t="shared" si="12"/>
        <v>0</v>
      </c>
      <c r="FS22" s="3">
        <f t="shared" ref="FS22:GX22" si="13">FS208</f>
        <v>0</v>
      </c>
      <c r="FT22" s="3">
        <f t="shared" si="13"/>
        <v>0</v>
      </c>
      <c r="FU22" s="3">
        <f t="shared" si="13"/>
        <v>0</v>
      </c>
      <c r="FV22" s="3">
        <f t="shared" si="13"/>
        <v>0</v>
      </c>
      <c r="FW22" s="3">
        <f t="shared" si="13"/>
        <v>0</v>
      </c>
      <c r="FX22" s="3">
        <f t="shared" si="13"/>
        <v>0</v>
      </c>
      <c r="FY22" s="3">
        <f t="shared" si="13"/>
        <v>0</v>
      </c>
      <c r="FZ22" s="3">
        <f t="shared" si="13"/>
        <v>0</v>
      </c>
      <c r="GA22" s="3">
        <f t="shared" si="13"/>
        <v>0</v>
      </c>
      <c r="GB22" s="3">
        <f t="shared" si="13"/>
        <v>0</v>
      </c>
      <c r="GC22" s="3">
        <f t="shared" si="13"/>
        <v>0</v>
      </c>
      <c r="GD22" s="3">
        <f t="shared" si="13"/>
        <v>0</v>
      </c>
      <c r="GE22" s="3">
        <f t="shared" si="13"/>
        <v>0</v>
      </c>
      <c r="GF22" s="3">
        <f t="shared" si="13"/>
        <v>0</v>
      </c>
      <c r="GG22" s="3">
        <f t="shared" si="13"/>
        <v>0</v>
      </c>
      <c r="GH22" s="3">
        <f t="shared" si="13"/>
        <v>0</v>
      </c>
      <c r="GI22" s="3">
        <f t="shared" si="13"/>
        <v>0</v>
      </c>
      <c r="GJ22" s="3">
        <f t="shared" si="13"/>
        <v>0</v>
      </c>
      <c r="GK22" s="3">
        <f t="shared" si="13"/>
        <v>0</v>
      </c>
      <c r="GL22" s="3">
        <f t="shared" si="13"/>
        <v>0</v>
      </c>
      <c r="GM22" s="3">
        <f t="shared" si="13"/>
        <v>0</v>
      </c>
      <c r="GN22" s="3">
        <f t="shared" si="13"/>
        <v>0</v>
      </c>
      <c r="GO22" s="3">
        <f t="shared" si="13"/>
        <v>0</v>
      </c>
      <c r="GP22" s="3">
        <f t="shared" si="13"/>
        <v>0</v>
      </c>
      <c r="GQ22" s="3">
        <f t="shared" si="13"/>
        <v>0</v>
      </c>
      <c r="GR22" s="3">
        <f t="shared" si="13"/>
        <v>0</v>
      </c>
      <c r="GS22" s="3">
        <f t="shared" si="13"/>
        <v>0</v>
      </c>
      <c r="GT22" s="3">
        <f t="shared" si="13"/>
        <v>0</v>
      </c>
      <c r="GU22" s="3">
        <f t="shared" si="13"/>
        <v>0</v>
      </c>
      <c r="GV22" s="3">
        <f t="shared" si="13"/>
        <v>0</v>
      </c>
      <c r="GW22" s="3">
        <f t="shared" si="13"/>
        <v>0</v>
      </c>
      <c r="GX22" s="3">
        <f t="shared" si="13"/>
        <v>0</v>
      </c>
    </row>
    <row r="24" spans="1:245" x14ac:dyDescent="0.2">
      <c r="A24" s="1">
        <v>4</v>
      </c>
      <c r="B24" s="1">
        <v>1</v>
      </c>
      <c r="C24" s="1"/>
      <c r="D24" s="1">
        <f>ROW(A86)</f>
        <v>86</v>
      </c>
      <c r="E24" s="1"/>
      <c r="F24" s="1" t="s">
        <v>12</v>
      </c>
      <c r="G24" s="1" t="s">
        <v>13</v>
      </c>
      <c r="H24" s="1" t="s">
        <v>3</v>
      </c>
      <c r="I24" s="1">
        <v>0</v>
      </c>
      <c r="J24" s="1"/>
      <c r="K24" s="1">
        <v>0</v>
      </c>
      <c r="L24" s="1"/>
      <c r="M24" s="1" t="s">
        <v>3</v>
      </c>
      <c r="N24" s="1"/>
      <c r="O24" s="1"/>
      <c r="P24" s="1"/>
      <c r="Q24" s="1"/>
      <c r="R24" s="1"/>
      <c r="S24" s="1">
        <v>0</v>
      </c>
      <c r="T24" s="1"/>
      <c r="U24" s="1" t="s">
        <v>3</v>
      </c>
      <c r="V24" s="1">
        <v>0</v>
      </c>
      <c r="W24" s="1"/>
      <c r="X24" s="1"/>
      <c r="Y24" s="1"/>
      <c r="Z24" s="1"/>
      <c r="AA24" s="1"/>
      <c r="AB24" s="1" t="s">
        <v>3</v>
      </c>
      <c r="AC24" s="1" t="s">
        <v>3</v>
      </c>
      <c r="AD24" s="1" t="s">
        <v>3</v>
      </c>
      <c r="AE24" s="1" t="s">
        <v>3</v>
      </c>
      <c r="AF24" s="1" t="s">
        <v>3</v>
      </c>
      <c r="AG24" s="1" t="s">
        <v>3</v>
      </c>
      <c r="AH24" s="1"/>
      <c r="AI24" s="1"/>
      <c r="AJ24" s="1"/>
      <c r="AK24" s="1"/>
      <c r="AL24" s="1"/>
      <c r="AM24" s="1"/>
      <c r="AN24" s="1"/>
      <c r="AO24" s="1"/>
      <c r="AP24" s="1" t="s">
        <v>3</v>
      </c>
      <c r="AQ24" s="1" t="s">
        <v>3</v>
      </c>
      <c r="AR24" s="1" t="s">
        <v>3</v>
      </c>
      <c r="AS24" s="1"/>
      <c r="AT24" s="1"/>
      <c r="AU24" s="1"/>
      <c r="AV24" s="1"/>
      <c r="AW24" s="1"/>
      <c r="AX24" s="1"/>
      <c r="AY24" s="1"/>
      <c r="AZ24" s="1" t="s">
        <v>3</v>
      </c>
      <c r="BA24" s="1"/>
      <c r="BB24" s="1" t="s">
        <v>3</v>
      </c>
      <c r="BC24" s="1" t="s">
        <v>3</v>
      </c>
      <c r="BD24" s="1" t="s">
        <v>3</v>
      </c>
      <c r="BE24" s="1" t="s">
        <v>3</v>
      </c>
      <c r="BF24" s="1" t="s">
        <v>3</v>
      </c>
      <c r="BG24" s="1" t="s">
        <v>3</v>
      </c>
      <c r="BH24" s="1" t="s">
        <v>3</v>
      </c>
      <c r="BI24" s="1" t="s">
        <v>3</v>
      </c>
      <c r="BJ24" s="1" t="s">
        <v>3</v>
      </c>
      <c r="BK24" s="1" t="s">
        <v>3</v>
      </c>
      <c r="BL24" s="1" t="s">
        <v>3</v>
      </c>
      <c r="BM24" s="1" t="s">
        <v>3</v>
      </c>
      <c r="BN24" s="1" t="s">
        <v>3</v>
      </c>
      <c r="BO24" s="1" t="s">
        <v>3</v>
      </c>
      <c r="BP24" s="1" t="s">
        <v>3</v>
      </c>
      <c r="BQ24" s="1"/>
      <c r="BR24" s="1"/>
      <c r="BS24" s="1"/>
      <c r="BT24" s="1"/>
      <c r="BU24" s="1"/>
      <c r="BV24" s="1"/>
      <c r="BW24" s="1"/>
      <c r="BX24" s="1">
        <v>0</v>
      </c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>
        <v>0</v>
      </c>
    </row>
    <row r="26" spans="1:245" x14ac:dyDescent="0.2">
      <c r="A26" s="2">
        <v>52</v>
      </c>
      <c r="B26" s="2">
        <f t="shared" ref="B26:G26" si="14">B86</f>
        <v>1</v>
      </c>
      <c r="C26" s="2">
        <f t="shared" si="14"/>
        <v>4</v>
      </c>
      <c r="D26" s="2">
        <f t="shared" si="14"/>
        <v>24</v>
      </c>
      <c r="E26" s="2">
        <f t="shared" si="14"/>
        <v>0</v>
      </c>
      <c r="F26" s="2" t="str">
        <f t="shared" si="14"/>
        <v>Новый раздел</v>
      </c>
      <c r="G26" s="2" t="str">
        <f t="shared" si="14"/>
        <v>2 эт. Санузел</v>
      </c>
      <c r="H26" s="2"/>
      <c r="I26" s="2"/>
      <c r="J26" s="2"/>
      <c r="K26" s="2"/>
      <c r="L26" s="2"/>
      <c r="M26" s="2"/>
      <c r="N26" s="2"/>
      <c r="O26" s="2">
        <f t="shared" ref="O26:AT26" si="15">O86</f>
        <v>21853.42</v>
      </c>
      <c r="P26" s="2">
        <f t="shared" si="15"/>
        <v>20781.490000000002</v>
      </c>
      <c r="Q26" s="2">
        <f t="shared" si="15"/>
        <v>24.67</v>
      </c>
      <c r="R26" s="2">
        <f t="shared" si="15"/>
        <v>0.17</v>
      </c>
      <c r="S26" s="2">
        <f t="shared" si="15"/>
        <v>1047.26</v>
      </c>
      <c r="T26" s="2">
        <f t="shared" si="15"/>
        <v>0</v>
      </c>
      <c r="U26" s="2">
        <f t="shared" si="15"/>
        <v>2.4767999999999999</v>
      </c>
      <c r="V26" s="2">
        <f t="shared" si="15"/>
        <v>0</v>
      </c>
      <c r="W26" s="2">
        <f t="shared" si="15"/>
        <v>0</v>
      </c>
      <c r="X26" s="2">
        <f t="shared" si="15"/>
        <v>733.08</v>
      </c>
      <c r="Y26" s="2">
        <f t="shared" si="15"/>
        <v>104.73</v>
      </c>
      <c r="Z26" s="2">
        <f t="shared" si="15"/>
        <v>0</v>
      </c>
      <c r="AA26" s="2">
        <f t="shared" si="15"/>
        <v>0</v>
      </c>
      <c r="AB26" s="2">
        <f t="shared" si="15"/>
        <v>0</v>
      </c>
      <c r="AC26" s="2">
        <f t="shared" si="15"/>
        <v>0</v>
      </c>
      <c r="AD26" s="2">
        <f t="shared" si="15"/>
        <v>0</v>
      </c>
      <c r="AE26" s="2">
        <f t="shared" si="15"/>
        <v>0</v>
      </c>
      <c r="AF26" s="2">
        <f t="shared" si="15"/>
        <v>0</v>
      </c>
      <c r="AG26" s="2">
        <f t="shared" si="15"/>
        <v>0</v>
      </c>
      <c r="AH26" s="2">
        <f t="shared" si="15"/>
        <v>0</v>
      </c>
      <c r="AI26" s="2">
        <f t="shared" si="15"/>
        <v>0</v>
      </c>
      <c r="AJ26" s="2">
        <f t="shared" si="15"/>
        <v>0</v>
      </c>
      <c r="AK26" s="2">
        <f t="shared" si="15"/>
        <v>0</v>
      </c>
      <c r="AL26" s="2">
        <f t="shared" si="15"/>
        <v>0</v>
      </c>
      <c r="AM26" s="2">
        <f t="shared" si="15"/>
        <v>0</v>
      </c>
      <c r="AN26" s="2">
        <f t="shared" si="15"/>
        <v>0</v>
      </c>
      <c r="AO26" s="2">
        <f t="shared" si="15"/>
        <v>0</v>
      </c>
      <c r="AP26" s="2">
        <f t="shared" si="15"/>
        <v>0</v>
      </c>
      <c r="AQ26" s="2">
        <f t="shared" si="15"/>
        <v>0</v>
      </c>
      <c r="AR26" s="2">
        <f t="shared" si="15"/>
        <v>22691.5</v>
      </c>
      <c r="AS26" s="2">
        <f t="shared" si="15"/>
        <v>0</v>
      </c>
      <c r="AT26" s="2">
        <f t="shared" si="15"/>
        <v>0</v>
      </c>
      <c r="AU26" s="2">
        <f t="shared" ref="AU26:BZ26" si="16">AU86</f>
        <v>22691.5</v>
      </c>
      <c r="AV26" s="2">
        <f t="shared" si="16"/>
        <v>20781.490000000002</v>
      </c>
      <c r="AW26" s="2">
        <f t="shared" si="16"/>
        <v>20781.490000000002</v>
      </c>
      <c r="AX26" s="2">
        <f t="shared" si="16"/>
        <v>0</v>
      </c>
      <c r="AY26" s="2">
        <f t="shared" si="16"/>
        <v>20781.490000000002</v>
      </c>
      <c r="AZ26" s="2">
        <f t="shared" si="16"/>
        <v>0</v>
      </c>
      <c r="BA26" s="2">
        <f t="shared" si="16"/>
        <v>0</v>
      </c>
      <c r="BB26" s="2">
        <f t="shared" si="16"/>
        <v>0</v>
      </c>
      <c r="BC26" s="2">
        <f t="shared" si="16"/>
        <v>0</v>
      </c>
      <c r="BD26" s="2">
        <f t="shared" si="16"/>
        <v>0</v>
      </c>
      <c r="BE26" s="2">
        <f t="shared" si="16"/>
        <v>0</v>
      </c>
      <c r="BF26" s="2">
        <f t="shared" si="16"/>
        <v>0</v>
      </c>
      <c r="BG26" s="2">
        <f t="shared" si="16"/>
        <v>0</v>
      </c>
      <c r="BH26" s="2">
        <f t="shared" si="16"/>
        <v>0</v>
      </c>
      <c r="BI26" s="2">
        <f t="shared" si="16"/>
        <v>0</v>
      </c>
      <c r="BJ26" s="2">
        <f t="shared" si="16"/>
        <v>0</v>
      </c>
      <c r="BK26" s="2">
        <f t="shared" si="16"/>
        <v>0</v>
      </c>
      <c r="BL26" s="2">
        <f t="shared" si="16"/>
        <v>0</v>
      </c>
      <c r="BM26" s="2">
        <f t="shared" si="16"/>
        <v>0</v>
      </c>
      <c r="BN26" s="2">
        <f t="shared" si="16"/>
        <v>0</v>
      </c>
      <c r="BO26" s="2">
        <f t="shared" si="16"/>
        <v>0</v>
      </c>
      <c r="BP26" s="2">
        <f t="shared" si="16"/>
        <v>0</v>
      </c>
      <c r="BQ26" s="2">
        <f t="shared" si="16"/>
        <v>0</v>
      </c>
      <c r="BR26" s="2">
        <f t="shared" si="16"/>
        <v>0</v>
      </c>
      <c r="BS26" s="2">
        <f t="shared" si="16"/>
        <v>0</v>
      </c>
      <c r="BT26" s="2">
        <f t="shared" si="16"/>
        <v>0</v>
      </c>
      <c r="BU26" s="2">
        <f t="shared" si="16"/>
        <v>0</v>
      </c>
      <c r="BV26" s="2">
        <f t="shared" si="16"/>
        <v>0</v>
      </c>
      <c r="BW26" s="2">
        <f t="shared" si="16"/>
        <v>0</v>
      </c>
      <c r="BX26" s="2">
        <f t="shared" si="16"/>
        <v>0</v>
      </c>
      <c r="BY26" s="2">
        <f t="shared" si="16"/>
        <v>0</v>
      </c>
      <c r="BZ26" s="2">
        <f t="shared" si="16"/>
        <v>0</v>
      </c>
      <c r="CA26" s="2">
        <f t="shared" ref="CA26:DF26" si="17">CA86</f>
        <v>0</v>
      </c>
      <c r="CB26" s="2">
        <f t="shared" si="17"/>
        <v>0</v>
      </c>
      <c r="CC26" s="2">
        <f t="shared" si="17"/>
        <v>0</v>
      </c>
      <c r="CD26" s="2">
        <f t="shared" si="17"/>
        <v>0</v>
      </c>
      <c r="CE26" s="2">
        <f t="shared" si="17"/>
        <v>0</v>
      </c>
      <c r="CF26" s="2">
        <f t="shared" si="17"/>
        <v>0</v>
      </c>
      <c r="CG26" s="2">
        <f t="shared" si="17"/>
        <v>0</v>
      </c>
      <c r="CH26" s="2">
        <f t="shared" si="17"/>
        <v>0</v>
      </c>
      <c r="CI26" s="2">
        <f t="shared" si="17"/>
        <v>0</v>
      </c>
      <c r="CJ26" s="2">
        <f t="shared" si="17"/>
        <v>0</v>
      </c>
      <c r="CK26" s="2">
        <f t="shared" si="17"/>
        <v>0</v>
      </c>
      <c r="CL26" s="2">
        <f t="shared" si="17"/>
        <v>0</v>
      </c>
      <c r="CM26" s="2">
        <f t="shared" si="17"/>
        <v>0</v>
      </c>
      <c r="CN26" s="2">
        <f t="shared" si="17"/>
        <v>0</v>
      </c>
      <c r="CO26" s="2">
        <f t="shared" si="17"/>
        <v>0</v>
      </c>
      <c r="CP26" s="2">
        <f t="shared" si="17"/>
        <v>0</v>
      </c>
      <c r="CQ26" s="2">
        <f t="shared" si="17"/>
        <v>0</v>
      </c>
      <c r="CR26" s="2">
        <f t="shared" si="17"/>
        <v>0</v>
      </c>
      <c r="CS26" s="2">
        <f t="shared" si="17"/>
        <v>0</v>
      </c>
      <c r="CT26" s="2">
        <f t="shared" si="17"/>
        <v>0</v>
      </c>
      <c r="CU26" s="2">
        <f t="shared" si="17"/>
        <v>0</v>
      </c>
      <c r="CV26" s="2">
        <f t="shared" si="17"/>
        <v>0</v>
      </c>
      <c r="CW26" s="2">
        <f t="shared" si="17"/>
        <v>0</v>
      </c>
      <c r="CX26" s="2">
        <f t="shared" si="17"/>
        <v>0</v>
      </c>
      <c r="CY26" s="2">
        <f t="shared" si="17"/>
        <v>0</v>
      </c>
      <c r="CZ26" s="2">
        <f t="shared" si="17"/>
        <v>0</v>
      </c>
      <c r="DA26" s="2">
        <f t="shared" si="17"/>
        <v>0</v>
      </c>
      <c r="DB26" s="2">
        <f t="shared" si="17"/>
        <v>0</v>
      </c>
      <c r="DC26" s="2">
        <f t="shared" si="17"/>
        <v>0</v>
      </c>
      <c r="DD26" s="2">
        <f t="shared" si="17"/>
        <v>0</v>
      </c>
      <c r="DE26" s="2">
        <f t="shared" si="17"/>
        <v>0</v>
      </c>
      <c r="DF26" s="2">
        <f t="shared" si="17"/>
        <v>0</v>
      </c>
      <c r="DG26" s="3">
        <f t="shared" ref="DG26:EL26" si="18">DG86</f>
        <v>0</v>
      </c>
      <c r="DH26" s="3">
        <f t="shared" si="18"/>
        <v>0</v>
      </c>
      <c r="DI26" s="3">
        <f t="shared" si="18"/>
        <v>0</v>
      </c>
      <c r="DJ26" s="3">
        <f t="shared" si="18"/>
        <v>0</v>
      </c>
      <c r="DK26" s="3">
        <f t="shared" si="18"/>
        <v>0</v>
      </c>
      <c r="DL26" s="3">
        <f t="shared" si="18"/>
        <v>0</v>
      </c>
      <c r="DM26" s="3">
        <f t="shared" si="18"/>
        <v>0</v>
      </c>
      <c r="DN26" s="3">
        <f t="shared" si="18"/>
        <v>0</v>
      </c>
      <c r="DO26" s="3">
        <f t="shared" si="18"/>
        <v>0</v>
      </c>
      <c r="DP26" s="3">
        <f t="shared" si="18"/>
        <v>0</v>
      </c>
      <c r="DQ26" s="3">
        <f t="shared" si="18"/>
        <v>0</v>
      </c>
      <c r="DR26" s="3">
        <f t="shared" si="18"/>
        <v>0</v>
      </c>
      <c r="DS26" s="3">
        <f t="shared" si="18"/>
        <v>0</v>
      </c>
      <c r="DT26" s="3">
        <f t="shared" si="18"/>
        <v>0</v>
      </c>
      <c r="DU26" s="3">
        <f t="shared" si="18"/>
        <v>0</v>
      </c>
      <c r="DV26" s="3">
        <f t="shared" si="18"/>
        <v>0</v>
      </c>
      <c r="DW26" s="3">
        <f t="shared" si="18"/>
        <v>0</v>
      </c>
      <c r="DX26" s="3">
        <f t="shared" si="18"/>
        <v>0</v>
      </c>
      <c r="DY26" s="3">
        <f t="shared" si="18"/>
        <v>0</v>
      </c>
      <c r="DZ26" s="3">
        <f t="shared" si="18"/>
        <v>0</v>
      </c>
      <c r="EA26" s="3">
        <f t="shared" si="18"/>
        <v>0</v>
      </c>
      <c r="EB26" s="3">
        <f t="shared" si="18"/>
        <v>0</v>
      </c>
      <c r="EC26" s="3">
        <f t="shared" si="18"/>
        <v>0</v>
      </c>
      <c r="ED26" s="3">
        <f t="shared" si="18"/>
        <v>0</v>
      </c>
      <c r="EE26" s="3">
        <f t="shared" si="18"/>
        <v>0</v>
      </c>
      <c r="EF26" s="3">
        <f t="shared" si="18"/>
        <v>0</v>
      </c>
      <c r="EG26" s="3">
        <f t="shared" si="18"/>
        <v>0</v>
      </c>
      <c r="EH26" s="3">
        <f t="shared" si="18"/>
        <v>0</v>
      </c>
      <c r="EI26" s="3">
        <f t="shared" si="18"/>
        <v>0</v>
      </c>
      <c r="EJ26" s="3">
        <f t="shared" si="18"/>
        <v>0</v>
      </c>
      <c r="EK26" s="3">
        <f t="shared" si="18"/>
        <v>0</v>
      </c>
      <c r="EL26" s="3">
        <f t="shared" si="18"/>
        <v>0</v>
      </c>
      <c r="EM26" s="3">
        <f t="shared" ref="EM26:FR26" si="19">EM86</f>
        <v>0</v>
      </c>
      <c r="EN26" s="3">
        <f t="shared" si="19"/>
        <v>0</v>
      </c>
      <c r="EO26" s="3">
        <f t="shared" si="19"/>
        <v>0</v>
      </c>
      <c r="EP26" s="3">
        <f t="shared" si="19"/>
        <v>0</v>
      </c>
      <c r="EQ26" s="3">
        <f t="shared" si="19"/>
        <v>0</v>
      </c>
      <c r="ER26" s="3">
        <f t="shared" si="19"/>
        <v>0</v>
      </c>
      <c r="ES26" s="3">
        <f t="shared" si="19"/>
        <v>0</v>
      </c>
      <c r="ET26" s="3">
        <f t="shared" si="19"/>
        <v>0</v>
      </c>
      <c r="EU26" s="3">
        <f t="shared" si="19"/>
        <v>0</v>
      </c>
      <c r="EV26" s="3">
        <f t="shared" si="19"/>
        <v>0</v>
      </c>
      <c r="EW26" s="3">
        <f t="shared" si="19"/>
        <v>0</v>
      </c>
      <c r="EX26" s="3">
        <f t="shared" si="19"/>
        <v>0</v>
      </c>
      <c r="EY26" s="3">
        <f t="shared" si="19"/>
        <v>0</v>
      </c>
      <c r="EZ26" s="3">
        <f t="shared" si="19"/>
        <v>0</v>
      </c>
      <c r="FA26" s="3">
        <f t="shared" si="19"/>
        <v>0</v>
      </c>
      <c r="FB26" s="3">
        <f t="shared" si="19"/>
        <v>0</v>
      </c>
      <c r="FC26" s="3">
        <f t="shared" si="19"/>
        <v>0</v>
      </c>
      <c r="FD26" s="3">
        <f t="shared" si="19"/>
        <v>0</v>
      </c>
      <c r="FE26" s="3">
        <f t="shared" si="19"/>
        <v>0</v>
      </c>
      <c r="FF26" s="3">
        <f t="shared" si="19"/>
        <v>0</v>
      </c>
      <c r="FG26" s="3">
        <f t="shared" si="19"/>
        <v>0</v>
      </c>
      <c r="FH26" s="3">
        <f t="shared" si="19"/>
        <v>0</v>
      </c>
      <c r="FI26" s="3">
        <f t="shared" si="19"/>
        <v>0</v>
      </c>
      <c r="FJ26" s="3">
        <f t="shared" si="19"/>
        <v>0</v>
      </c>
      <c r="FK26" s="3">
        <f t="shared" si="19"/>
        <v>0</v>
      </c>
      <c r="FL26" s="3">
        <f t="shared" si="19"/>
        <v>0</v>
      </c>
      <c r="FM26" s="3">
        <f t="shared" si="19"/>
        <v>0</v>
      </c>
      <c r="FN26" s="3">
        <f t="shared" si="19"/>
        <v>0</v>
      </c>
      <c r="FO26" s="3">
        <f t="shared" si="19"/>
        <v>0</v>
      </c>
      <c r="FP26" s="3">
        <f t="shared" si="19"/>
        <v>0</v>
      </c>
      <c r="FQ26" s="3">
        <f t="shared" si="19"/>
        <v>0</v>
      </c>
      <c r="FR26" s="3">
        <f t="shared" si="19"/>
        <v>0</v>
      </c>
      <c r="FS26" s="3">
        <f t="shared" ref="FS26:GX26" si="20">FS86</f>
        <v>0</v>
      </c>
      <c r="FT26" s="3">
        <f t="shared" si="20"/>
        <v>0</v>
      </c>
      <c r="FU26" s="3">
        <f t="shared" si="20"/>
        <v>0</v>
      </c>
      <c r="FV26" s="3">
        <f t="shared" si="20"/>
        <v>0</v>
      </c>
      <c r="FW26" s="3">
        <f t="shared" si="20"/>
        <v>0</v>
      </c>
      <c r="FX26" s="3">
        <f t="shared" si="20"/>
        <v>0</v>
      </c>
      <c r="FY26" s="3">
        <f t="shared" si="20"/>
        <v>0</v>
      </c>
      <c r="FZ26" s="3">
        <f t="shared" si="20"/>
        <v>0</v>
      </c>
      <c r="GA26" s="3">
        <f t="shared" si="20"/>
        <v>0</v>
      </c>
      <c r="GB26" s="3">
        <f t="shared" si="20"/>
        <v>0</v>
      </c>
      <c r="GC26" s="3">
        <f t="shared" si="20"/>
        <v>0</v>
      </c>
      <c r="GD26" s="3">
        <f t="shared" si="20"/>
        <v>0</v>
      </c>
      <c r="GE26" s="3">
        <f t="shared" si="20"/>
        <v>0</v>
      </c>
      <c r="GF26" s="3">
        <f t="shared" si="20"/>
        <v>0</v>
      </c>
      <c r="GG26" s="3">
        <f t="shared" si="20"/>
        <v>0</v>
      </c>
      <c r="GH26" s="3">
        <f t="shared" si="20"/>
        <v>0</v>
      </c>
      <c r="GI26" s="3">
        <f t="shared" si="20"/>
        <v>0</v>
      </c>
      <c r="GJ26" s="3">
        <f t="shared" si="20"/>
        <v>0</v>
      </c>
      <c r="GK26" s="3">
        <f t="shared" si="20"/>
        <v>0</v>
      </c>
      <c r="GL26" s="3">
        <f t="shared" si="20"/>
        <v>0</v>
      </c>
      <c r="GM26" s="3">
        <f t="shared" si="20"/>
        <v>0</v>
      </c>
      <c r="GN26" s="3">
        <f t="shared" si="20"/>
        <v>0</v>
      </c>
      <c r="GO26" s="3">
        <f t="shared" si="20"/>
        <v>0</v>
      </c>
      <c r="GP26" s="3">
        <f t="shared" si="20"/>
        <v>0</v>
      </c>
      <c r="GQ26" s="3">
        <f t="shared" si="20"/>
        <v>0</v>
      </c>
      <c r="GR26" s="3">
        <f t="shared" si="20"/>
        <v>0</v>
      </c>
      <c r="GS26" s="3">
        <f t="shared" si="20"/>
        <v>0</v>
      </c>
      <c r="GT26" s="3">
        <f t="shared" si="20"/>
        <v>0</v>
      </c>
      <c r="GU26" s="3">
        <f t="shared" si="20"/>
        <v>0</v>
      </c>
      <c r="GV26" s="3">
        <f t="shared" si="20"/>
        <v>0</v>
      </c>
      <c r="GW26" s="3">
        <f t="shared" si="20"/>
        <v>0</v>
      </c>
      <c r="GX26" s="3">
        <f t="shared" si="20"/>
        <v>0</v>
      </c>
    </row>
    <row r="28" spans="1:245" x14ac:dyDescent="0.2">
      <c r="A28" s="1">
        <v>5</v>
      </c>
      <c r="B28" s="1">
        <v>1</v>
      </c>
      <c r="C28" s="1"/>
      <c r="D28" s="1">
        <f>ROW(A56)</f>
        <v>56</v>
      </c>
      <c r="E28" s="1"/>
      <c r="F28" s="1" t="s">
        <v>14</v>
      </c>
      <c r="G28" s="1" t="s">
        <v>15</v>
      </c>
      <c r="H28" s="1" t="s">
        <v>3</v>
      </c>
      <c r="I28" s="1">
        <v>0</v>
      </c>
      <c r="J28" s="1"/>
      <c r="K28" s="1">
        <v>-1</v>
      </c>
      <c r="L28" s="1"/>
      <c r="M28" s="1" t="s">
        <v>3</v>
      </c>
      <c r="N28" s="1"/>
      <c r="O28" s="1"/>
      <c r="P28" s="1"/>
      <c r="Q28" s="1"/>
      <c r="R28" s="1"/>
      <c r="S28" s="1">
        <v>0</v>
      </c>
      <c r="T28" s="1"/>
      <c r="U28" s="1" t="s">
        <v>3</v>
      </c>
      <c r="V28" s="1">
        <v>0</v>
      </c>
      <c r="W28" s="1"/>
      <c r="X28" s="1"/>
      <c r="Y28" s="1"/>
      <c r="Z28" s="1"/>
      <c r="AA28" s="1"/>
      <c r="AB28" s="1" t="s">
        <v>3</v>
      </c>
      <c r="AC28" s="1" t="s">
        <v>3</v>
      </c>
      <c r="AD28" s="1" t="s">
        <v>3</v>
      </c>
      <c r="AE28" s="1" t="s">
        <v>3</v>
      </c>
      <c r="AF28" s="1" t="s">
        <v>3</v>
      </c>
      <c r="AG28" s="1" t="s">
        <v>3</v>
      </c>
      <c r="AH28" s="1"/>
      <c r="AI28" s="1"/>
      <c r="AJ28" s="1"/>
      <c r="AK28" s="1"/>
      <c r="AL28" s="1"/>
      <c r="AM28" s="1"/>
      <c r="AN28" s="1"/>
      <c r="AO28" s="1"/>
      <c r="AP28" s="1" t="s">
        <v>3</v>
      </c>
      <c r="AQ28" s="1" t="s">
        <v>3</v>
      </c>
      <c r="AR28" s="1" t="s">
        <v>3</v>
      </c>
      <c r="AS28" s="1"/>
      <c r="AT28" s="1"/>
      <c r="AU28" s="1"/>
      <c r="AV28" s="1"/>
      <c r="AW28" s="1"/>
      <c r="AX28" s="1"/>
      <c r="AY28" s="1"/>
      <c r="AZ28" s="1" t="s">
        <v>3</v>
      </c>
      <c r="BA28" s="1"/>
      <c r="BB28" s="1" t="s">
        <v>3</v>
      </c>
      <c r="BC28" s="1" t="s">
        <v>3</v>
      </c>
      <c r="BD28" s="1" t="s">
        <v>3</v>
      </c>
      <c r="BE28" s="1" t="s">
        <v>3</v>
      </c>
      <c r="BF28" s="1" t="s">
        <v>3</v>
      </c>
      <c r="BG28" s="1" t="s">
        <v>3</v>
      </c>
      <c r="BH28" s="1" t="s">
        <v>3</v>
      </c>
      <c r="BI28" s="1" t="s">
        <v>3</v>
      </c>
      <c r="BJ28" s="1" t="s">
        <v>3</v>
      </c>
      <c r="BK28" s="1" t="s">
        <v>3</v>
      </c>
      <c r="BL28" s="1" t="s">
        <v>3</v>
      </c>
      <c r="BM28" s="1" t="s">
        <v>3</v>
      </c>
      <c r="BN28" s="1" t="s">
        <v>3</v>
      </c>
      <c r="BO28" s="1" t="s">
        <v>3</v>
      </c>
      <c r="BP28" s="1" t="s">
        <v>3</v>
      </c>
      <c r="BQ28" s="1"/>
      <c r="BR28" s="1"/>
      <c r="BS28" s="1"/>
      <c r="BT28" s="1"/>
      <c r="BU28" s="1"/>
      <c r="BV28" s="1"/>
      <c r="BW28" s="1"/>
      <c r="BX28" s="1">
        <v>0</v>
      </c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>
        <v>0</v>
      </c>
    </row>
    <row r="30" spans="1:245" x14ac:dyDescent="0.2">
      <c r="A30" s="2">
        <v>52</v>
      </c>
      <c r="B30" s="2">
        <f t="shared" ref="B30:G30" si="21">B56</f>
        <v>1</v>
      </c>
      <c r="C30" s="2">
        <f t="shared" si="21"/>
        <v>5</v>
      </c>
      <c r="D30" s="2">
        <f t="shared" si="21"/>
        <v>28</v>
      </c>
      <c r="E30" s="2">
        <f t="shared" si="21"/>
        <v>0</v>
      </c>
      <c r="F30" s="2" t="str">
        <f t="shared" si="21"/>
        <v>Новый подраздел</v>
      </c>
      <c r="G30" s="2" t="str">
        <f t="shared" si="21"/>
        <v>ГВС/ХВС</v>
      </c>
      <c r="H30" s="2"/>
      <c r="I30" s="2"/>
      <c r="J30" s="2"/>
      <c r="K30" s="2"/>
      <c r="L30" s="2"/>
      <c r="M30" s="2"/>
      <c r="N30" s="2"/>
      <c r="O30" s="2">
        <f t="shared" ref="O30:AT30" si="22">O56</f>
        <v>21853.42</v>
      </c>
      <c r="P30" s="2">
        <f t="shared" si="22"/>
        <v>20781.490000000002</v>
      </c>
      <c r="Q30" s="2">
        <f t="shared" si="22"/>
        <v>24.67</v>
      </c>
      <c r="R30" s="2">
        <f t="shared" si="22"/>
        <v>0.17</v>
      </c>
      <c r="S30" s="2">
        <f t="shared" si="22"/>
        <v>1047.26</v>
      </c>
      <c r="T30" s="2">
        <f t="shared" si="22"/>
        <v>0</v>
      </c>
      <c r="U30" s="2">
        <f t="shared" si="22"/>
        <v>2.4767999999999999</v>
      </c>
      <c r="V30" s="2">
        <f t="shared" si="22"/>
        <v>0</v>
      </c>
      <c r="W30" s="2">
        <f t="shared" si="22"/>
        <v>0</v>
      </c>
      <c r="X30" s="2">
        <f t="shared" si="22"/>
        <v>733.08</v>
      </c>
      <c r="Y30" s="2">
        <f t="shared" si="22"/>
        <v>104.73</v>
      </c>
      <c r="Z30" s="2">
        <f t="shared" si="22"/>
        <v>0</v>
      </c>
      <c r="AA30" s="2">
        <f t="shared" si="22"/>
        <v>0</v>
      </c>
      <c r="AB30" s="2">
        <f t="shared" si="22"/>
        <v>21853.42</v>
      </c>
      <c r="AC30" s="2">
        <f t="shared" si="22"/>
        <v>20781.490000000002</v>
      </c>
      <c r="AD30" s="2">
        <f t="shared" si="22"/>
        <v>24.67</v>
      </c>
      <c r="AE30" s="2">
        <f t="shared" si="22"/>
        <v>0.17</v>
      </c>
      <c r="AF30" s="2">
        <f t="shared" si="22"/>
        <v>1047.26</v>
      </c>
      <c r="AG30" s="2">
        <f t="shared" si="22"/>
        <v>0</v>
      </c>
      <c r="AH30" s="2">
        <f t="shared" si="22"/>
        <v>2.4767999999999999</v>
      </c>
      <c r="AI30" s="2">
        <f t="shared" si="22"/>
        <v>0</v>
      </c>
      <c r="AJ30" s="2">
        <f t="shared" si="22"/>
        <v>0</v>
      </c>
      <c r="AK30" s="2">
        <f t="shared" si="22"/>
        <v>733.08</v>
      </c>
      <c r="AL30" s="2">
        <f t="shared" si="22"/>
        <v>104.73</v>
      </c>
      <c r="AM30" s="2">
        <f t="shared" si="22"/>
        <v>0</v>
      </c>
      <c r="AN30" s="2">
        <f t="shared" si="22"/>
        <v>0</v>
      </c>
      <c r="AO30" s="2">
        <f t="shared" si="22"/>
        <v>0</v>
      </c>
      <c r="AP30" s="2">
        <f t="shared" si="22"/>
        <v>0</v>
      </c>
      <c r="AQ30" s="2">
        <f t="shared" si="22"/>
        <v>0</v>
      </c>
      <c r="AR30" s="2">
        <f t="shared" si="22"/>
        <v>22691.5</v>
      </c>
      <c r="AS30" s="2">
        <f t="shared" si="22"/>
        <v>0</v>
      </c>
      <c r="AT30" s="2">
        <f t="shared" si="22"/>
        <v>0</v>
      </c>
      <c r="AU30" s="2">
        <f t="shared" ref="AU30:BZ30" si="23">AU56</f>
        <v>22691.5</v>
      </c>
      <c r="AV30" s="2">
        <f t="shared" si="23"/>
        <v>20781.490000000002</v>
      </c>
      <c r="AW30" s="2">
        <f t="shared" si="23"/>
        <v>20781.490000000002</v>
      </c>
      <c r="AX30" s="2">
        <f t="shared" si="23"/>
        <v>0</v>
      </c>
      <c r="AY30" s="2">
        <f t="shared" si="23"/>
        <v>20781.490000000002</v>
      </c>
      <c r="AZ30" s="2">
        <f t="shared" si="23"/>
        <v>0</v>
      </c>
      <c r="BA30" s="2">
        <f t="shared" si="23"/>
        <v>0</v>
      </c>
      <c r="BB30" s="2">
        <f t="shared" si="23"/>
        <v>0</v>
      </c>
      <c r="BC30" s="2">
        <f t="shared" si="23"/>
        <v>0</v>
      </c>
      <c r="BD30" s="2">
        <f t="shared" si="23"/>
        <v>0</v>
      </c>
      <c r="BE30" s="2">
        <f t="shared" si="23"/>
        <v>0</v>
      </c>
      <c r="BF30" s="2">
        <f t="shared" si="23"/>
        <v>0</v>
      </c>
      <c r="BG30" s="2">
        <f t="shared" si="23"/>
        <v>0</v>
      </c>
      <c r="BH30" s="2">
        <f t="shared" si="23"/>
        <v>0</v>
      </c>
      <c r="BI30" s="2">
        <f t="shared" si="23"/>
        <v>0</v>
      </c>
      <c r="BJ30" s="2">
        <f t="shared" si="23"/>
        <v>0</v>
      </c>
      <c r="BK30" s="2">
        <f t="shared" si="23"/>
        <v>0</v>
      </c>
      <c r="BL30" s="2">
        <f t="shared" si="23"/>
        <v>0</v>
      </c>
      <c r="BM30" s="2">
        <f t="shared" si="23"/>
        <v>0</v>
      </c>
      <c r="BN30" s="2">
        <f t="shared" si="23"/>
        <v>0</v>
      </c>
      <c r="BO30" s="2">
        <f t="shared" si="23"/>
        <v>0</v>
      </c>
      <c r="BP30" s="2">
        <f t="shared" si="23"/>
        <v>0</v>
      </c>
      <c r="BQ30" s="2">
        <f t="shared" si="23"/>
        <v>0</v>
      </c>
      <c r="BR30" s="2">
        <f t="shared" si="23"/>
        <v>0</v>
      </c>
      <c r="BS30" s="2">
        <f t="shared" si="23"/>
        <v>0</v>
      </c>
      <c r="BT30" s="2">
        <f t="shared" si="23"/>
        <v>0</v>
      </c>
      <c r="BU30" s="2">
        <f t="shared" si="23"/>
        <v>0</v>
      </c>
      <c r="BV30" s="2">
        <f t="shared" si="23"/>
        <v>0</v>
      </c>
      <c r="BW30" s="2">
        <f t="shared" si="23"/>
        <v>0</v>
      </c>
      <c r="BX30" s="2">
        <f t="shared" si="23"/>
        <v>0</v>
      </c>
      <c r="BY30" s="2">
        <f t="shared" si="23"/>
        <v>0</v>
      </c>
      <c r="BZ30" s="2">
        <f t="shared" si="23"/>
        <v>0</v>
      </c>
      <c r="CA30" s="2">
        <f t="shared" ref="CA30:DF30" si="24">CA56</f>
        <v>22691.5</v>
      </c>
      <c r="CB30" s="2">
        <f t="shared" si="24"/>
        <v>0</v>
      </c>
      <c r="CC30" s="2">
        <f t="shared" si="24"/>
        <v>0</v>
      </c>
      <c r="CD30" s="2">
        <f t="shared" si="24"/>
        <v>22691.5</v>
      </c>
      <c r="CE30" s="2">
        <f t="shared" si="24"/>
        <v>20781.490000000002</v>
      </c>
      <c r="CF30" s="2">
        <f t="shared" si="24"/>
        <v>20781.490000000002</v>
      </c>
      <c r="CG30" s="2">
        <f t="shared" si="24"/>
        <v>0</v>
      </c>
      <c r="CH30" s="2">
        <f t="shared" si="24"/>
        <v>20781.490000000002</v>
      </c>
      <c r="CI30" s="2">
        <f t="shared" si="24"/>
        <v>0</v>
      </c>
      <c r="CJ30" s="2">
        <f t="shared" si="24"/>
        <v>0</v>
      </c>
      <c r="CK30" s="2">
        <f t="shared" si="24"/>
        <v>0</v>
      </c>
      <c r="CL30" s="2">
        <f t="shared" si="24"/>
        <v>0</v>
      </c>
      <c r="CM30" s="2">
        <f t="shared" si="24"/>
        <v>0</v>
      </c>
      <c r="CN30" s="2">
        <f t="shared" si="24"/>
        <v>0</v>
      </c>
      <c r="CO30" s="2">
        <f t="shared" si="24"/>
        <v>0</v>
      </c>
      <c r="CP30" s="2">
        <f t="shared" si="24"/>
        <v>0</v>
      </c>
      <c r="CQ30" s="2">
        <f t="shared" si="24"/>
        <v>0</v>
      </c>
      <c r="CR30" s="2">
        <f t="shared" si="24"/>
        <v>0</v>
      </c>
      <c r="CS30" s="2">
        <f t="shared" si="24"/>
        <v>0</v>
      </c>
      <c r="CT30" s="2">
        <f t="shared" si="24"/>
        <v>0</v>
      </c>
      <c r="CU30" s="2">
        <f t="shared" si="24"/>
        <v>0</v>
      </c>
      <c r="CV30" s="2">
        <f t="shared" si="24"/>
        <v>0</v>
      </c>
      <c r="CW30" s="2">
        <f t="shared" si="24"/>
        <v>0</v>
      </c>
      <c r="CX30" s="2">
        <f t="shared" si="24"/>
        <v>0</v>
      </c>
      <c r="CY30" s="2">
        <f t="shared" si="24"/>
        <v>0</v>
      </c>
      <c r="CZ30" s="2">
        <f t="shared" si="24"/>
        <v>0</v>
      </c>
      <c r="DA30" s="2">
        <f t="shared" si="24"/>
        <v>0</v>
      </c>
      <c r="DB30" s="2">
        <f t="shared" si="24"/>
        <v>0</v>
      </c>
      <c r="DC30" s="2">
        <f t="shared" si="24"/>
        <v>0</v>
      </c>
      <c r="DD30" s="2">
        <f t="shared" si="24"/>
        <v>0</v>
      </c>
      <c r="DE30" s="2">
        <f t="shared" si="24"/>
        <v>0</v>
      </c>
      <c r="DF30" s="2">
        <f t="shared" si="24"/>
        <v>0</v>
      </c>
      <c r="DG30" s="3">
        <f t="shared" ref="DG30:EL30" si="25">DG56</f>
        <v>0</v>
      </c>
      <c r="DH30" s="3">
        <f t="shared" si="25"/>
        <v>0</v>
      </c>
      <c r="DI30" s="3">
        <f t="shared" si="25"/>
        <v>0</v>
      </c>
      <c r="DJ30" s="3">
        <f t="shared" si="25"/>
        <v>0</v>
      </c>
      <c r="DK30" s="3">
        <f t="shared" si="25"/>
        <v>0</v>
      </c>
      <c r="DL30" s="3">
        <f t="shared" si="25"/>
        <v>0</v>
      </c>
      <c r="DM30" s="3">
        <f t="shared" si="25"/>
        <v>0</v>
      </c>
      <c r="DN30" s="3">
        <f t="shared" si="25"/>
        <v>0</v>
      </c>
      <c r="DO30" s="3">
        <f t="shared" si="25"/>
        <v>0</v>
      </c>
      <c r="DP30" s="3">
        <f t="shared" si="25"/>
        <v>0</v>
      </c>
      <c r="DQ30" s="3">
        <f t="shared" si="25"/>
        <v>0</v>
      </c>
      <c r="DR30" s="3">
        <f t="shared" si="25"/>
        <v>0</v>
      </c>
      <c r="DS30" s="3">
        <f t="shared" si="25"/>
        <v>0</v>
      </c>
      <c r="DT30" s="3">
        <f t="shared" si="25"/>
        <v>0</v>
      </c>
      <c r="DU30" s="3">
        <f t="shared" si="25"/>
        <v>0</v>
      </c>
      <c r="DV30" s="3">
        <f t="shared" si="25"/>
        <v>0</v>
      </c>
      <c r="DW30" s="3">
        <f t="shared" si="25"/>
        <v>0</v>
      </c>
      <c r="DX30" s="3">
        <f t="shared" si="25"/>
        <v>0</v>
      </c>
      <c r="DY30" s="3">
        <f t="shared" si="25"/>
        <v>0</v>
      </c>
      <c r="DZ30" s="3">
        <f t="shared" si="25"/>
        <v>0</v>
      </c>
      <c r="EA30" s="3">
        <f t="shared" si="25"/>
        <v>0</v>
      </c>
      <c r="EB30" s="3">
        <f t="shared" si="25"/>
        <v>0</v>
      </c>
      <c r="EC30" s="3">
        <f t="shared" si="25"/>
        <v>0</v>
      </c>
      <c r="ED30" s="3">
        <f t="shared" si="25"/>
        <v>0</v>
      </c>
      <c r="EE30" s="3">
        <f t="shared" si="25"/>
        <v>0</v>
      </c>
      <c r="EF30" s="3">
        <f t="shared" si="25"/>
        <v>0</v>
      </c>
      <c r="EG30" s="3">
        <f t="shared" si="25"/>
        <v>0</v>
      </c>
      <c r="EH30" s="3">
        <f t="shared" si="25"/>
        <v>0</v>
      </c>
      <c r="EI30" s="3">
        <f t="shared" si="25"/>
        <v>0</v>
      </c>
      <c r="EJ30" s="3">
        <f t="shared" si="25"/>
        <v>0</v>
      </c>
      <c r="EK30" s="3">
        <f t="shared" si="25"/>
        <v>0</v>
      </c>
      <c r="EL30" s="3">
        <f t="shared" si="25"/>
        <v>0</v>
      </c>
      <c r="EM30" s="3">
        <f t="shared" ref="EM30:FR30" si="26">EM56</f>
        <v>0</v>
      </c>
      <c r="EN30" s="3">
        <f t="shared" si="26"/>
        <v>0</v>
      </c>
      <c r="EO30" s="3">
        <f t="shared" si="26"/>
        <v>0</v>
      </c>
      <c r="EP30" s="3">
        <f t="shared" si="26"/>
        <v>0</v>
      </c>
      <c r="EQ30" s="3">
        <f t="shared" si="26"/>
        <v>0</v>
      </c>
      <c r="ER30" s="3">
        <f t="shared" si="26"/>
        <v>0</v>
      </c>
      <c r="ES30" s="3">
        <f t="shared" si="26"/>
        <v>0</v>
      </c>
      <c r="ET30" s="3">
        <f t="shared" si="26"/>
        <v>0</v>
      </c>
      <c r="EU30" s="3">
        <f t="shared" si="26"/>
        <v>0</v>
      </c>
      <c r="EV30" s="3">
        <f t="shared" si="26"/>
        <v>0</v>
      </c>
      <c r="EW30" s="3">
        <f t="shared" si="26"/>
        <v>0</v>
      </c>
      <c r="EX30" s="3">
        <f t="shared" si="26"/>
        <v>0</v>
      </c>
      <c r="EY30" s="3">
        <f t="shared" si="26"/>
        <v>0</v>
      </c>
      <c r="EZ30" s="3">
        <f t="shared" si="26"/>
        <v>0</v>
      </c>
      <c r="FA30" s="3">
        <f t="shared" si="26"/>
        <v>0</v>
      </c>
      <c r="FB30" s="3">
        <f t="shared" si="26"/>
        <v>0</v>
      </c>
      <c r="FC30" s="3">
        <f t="shared" si="26"/>
        <v>0</v>
      </c>
      <c r="FD30" s="3">
        <f t="shared" si="26"/>
        <v>0</v>
      </c>
      <c r="FE30" s="3">
        <f t="shared" si="26"/>
        <v>0</v>
      </c>
      <c r="FF30" s="3">
        <f t="shared" si="26"/>
        <v>0</v>
      </c>
      <c r="FG30" s="3">
        <f t="shared" si="26"/>
        <v>0</v>
      </c>
      <c r="FH30" s="3">
        <f t="shared" si="26"/>
        <v>0</v>
      </c>
      <c r="FI30" s="3">
        <f t="shared" si="26"/>
        <v>0</v>
      </c>
      <c r="FJ30" s="3">
        <f t="shared" si="26"/>
        <v>0</v>
      </c>
      <c r="FK30" s="3">
        <f t="shared" si="26"/>
        <v>0</v>
      </c>
      <c r="FL30" s="3">
        <f t="shared" si="26"/>
        <v>0</v>
      </c>
      <c r="FM30" s="3">
        <f t="shared" si="26"/>
        <v>0</v>
      </c>
      <c r="FN30" s="3">
        <f t="shared" si="26"/>
        <v>0</v>
      </c>
      <c r="FO30" s="3">
        <f t="shared" si="26"/>
        <v>0</v>
      </c>
      <c r="FP30" s="3">
        <f t="shared" si="26"/>
        <v>0</v>
      </c>
      <c r="FQ30" s="3">
        <f t="shared" si="26"/>
        <v>0</v>
      </c>
      <c r="FR30" s="3">
        <f t="shared" si="26"/>
        <v>0</v>
      </c>
      <c r="FS30" s="3">
        <f t="shared" ref="FS30:GX30" si="27">FS56</f>
        <v>0</v>
      </c>
      <c r="FT30" s="3">
        <f t="shared" si="27"/>
        <v>0</v>
      </c>
      <c r="FU30" s="3">
        <f t="shared" si="27"/>
        <v>0</v>
      </c>
      <c r="FV30" s="3">
        <f t="shared" si="27"/>
        <v>0</v>
      </c>
      <c r="FW30" s="3">
        <f t="shared" si="27"/>
        <v>0</v>
      </c>
      <c r="FX30" s="3">
        <f t="shared" si="27"/>
        <v>0</v>
      </c>
      <c r="FY30" s="3">
        <f t="shared" si="27"/>
        <v>0</v>
      </c>
      <c r="FZ30" s="3">
        <f t="shared" si="27"/>
        <v>0</v>
      </c>
      <c r="GA30" s="3">
        <f t="shared" si="27"/>
        <v>0</v>
      </c>
      <c r="GB30" s="3">
        <f t="shared" si="27"/>
        <v>0</v>
      </c>
      <c r="GC30" s="3">
        <f t="shared" si="27"/>
        <v>0</v>
      </c>
      <c r="GD30" s="3">
        <f t="shared" si="27"/>
        <v>0</v>
      </c>
      <c r="GE30" s="3">
        <f t="shared" si="27"/>
        <v>0</v>
      </c>
      <c r="GF30" s="3">
        <f t="shared" si="27"/>
        <v>0</v>
      </c>
      <c r="GG30" s="3">
        <f t="shared" si="27"/>
        <v>0</v>
      </c>
      <c r="GH30" s="3">
        <f t="shared" si="27"/>
        <v>0</v>
      </c>
      <c r="GI30" s="3">
        <f t="shared" si="27"/>
        <v>0</v>
      </c>
      <c r="GJ30" s="3">
        <f t="shared" si="27"/>
        <v>0</v>
      </c>
      <c r="GK30" s="3">
        <f t="shared" si="27"/>
        <v>0</v>
      </c>
      <c r="GL30" s="3">
        <f t="shared" si="27"/>
        <v>0</v>
      </c>
      <c r="GM30" s="3">
        <f t="shared" si="27"/>
        <v>0</v>
      </c>
      <c r="GN30" s="3">
        <f t="shared" si="27"/>
        <v>0</v>
      </c>
      <c r="GO30" s="3">
        <f t="shared" si="27"/>
        <v>0</v>
      </c>
      <c r="GP30" s="3">
        <f t="shared" si="27"/>
        <v>0</v>
      </c>
      <c r="GQ30" s="3">
        <f t="shared" si="27"/>
        <v>0</v>
      </c>
      <c r="GR30" s="3">
        <f t="shared" si="27"/>
        <v>0</v>
      </c>
      <c r="GS30" s="3">
        <f t="shared" si="27"/>
        <v>0</v>
      </c>
      <c r="GT30" s="3">
        <f t="shared" si="27"/>
        <v>0</v>
      </c>
      <c r="GU30" s="3">
        <f t="shared" si="27"/>
        <v>0</v>
      </c>
      <c r="GV30" s="3">
        <f t="shared" si="27"/>
        <v>0</v>
      </c>
      <c r="GW30" s="3">
        <f t="shared" si="27"/>
        <v>0</v>
      </c>
      <c r="GX30" s="3">
        <f t="shared" si="27"/>
        <v>0</v>
      </c>
    </row>
    <row r="32" spans="1:245" x14ac:dyDescent="0.2">
      <c r="A32">
        <v>17</v>
      </c>
      <c r="B32">
        <v>1</v>
      </c>
      <c r="C32">
        <f>ROW(SmtRes!A13)</f>
        <v>13</v>
      </c>
      <c r="D32">
        <f>ROW(EtalonRes!A13)</f>
        <v>13</v>
      </c>
      <c r="E32" t="s">
        <v>16</v>
      </c>
      <c r="F32" t="s">
        <v>17</v>
      </c>
      <c r="G32" t="s">
        <v>18</v>
      </c>
      <c r="H32" t="s">
        <v>19</v>
      </c>
      <c r="I32">
        <v>0</v>
      </c>
      <c r="J32">
        <v>0</v>
      </c>
      <c r="K32">
        <v>0</v>
      </c>
      <c r="O32">
        <f t="shared" ref="O32:O54" si="28">ROUND(CP32,2)</f>
        <v>0</v>
      </c>
      <c r="P32">
        <f t="shared" ref="P32:P54" si="29">ROUND(CQ32*I32,2)</f>
        <v>0</v>
      </c>
      <c r="Q32">
        <f t="shared" ref="Q32:Q54" si="30">ROUND(CR32*I32,2)</f>
        <v>0</v>
      </c>
      <c r="R32">
        <f t="shared" ref="R32:R54" si="31">ROUND(CS32*I32,2)</f>
        <v>0</v>
      </c>
      <c r="S32">
        <f t="shared" ref="S32:S54" si="32">ROUND(CT32*I32,2)</f>
        <v>0</v>
      </c>
      <c r="T32">
        <f t="shared" ref="T32:T54" si="33">ROUND(CU32*I32,2)</f>
        <v>0</v>
      </c>
      <c r="U32">
        <f t="shared" ref="U32:U54" si="34">CV32*I32</f>
        <v>0</v>
      </c>
      <c r="V32">
        <f t="shared" ref="V32:V54" si="35">CW32*I32</f>
        <v>0</v>
      </c>
      <c r="W32">
        <f t="shared" ref="W32:W54" si="36">ROUND(CX32*I32,2)</f>
        <v>0</v>
      </c>
      <c r="X32">
        <f t="shared" ref="X32:X54" si="37">ROUND(CY32,2)</f>
        <v>0</v>
      </c>
      <c r="Y32">
        <f t="shared" ref="Y32:Y54" si="38">ROUND(CZ32,2)</f>
        <v>0</v>
      </c>
      <c r="AA32">
        <v>78131199</v>
      </c>
      <c r="AB32">
        <f t="shared" ref="AB32:AB54" si="39">ROUND((AC32+AD32+AF32),6)</f>
        <v>20354.830000000002</v>
      </c>
      <c r="AC32">
        <f>ROUND(((ES32*0)),6)</f>
        <v>0</v>
      </c>
      <c r="AD32">
        <f>ROUND(((((ET32*0.2))-((EU32*0.2)))+AE32),6)</f>
        <v>3914.9459999999999</v>
      </c>
      <c r="AE32">
        <f>ROUND(((EU32*0.2)),6)</f>
        <v>3383.328</v>
      </c>
      <c r="AF32">
        <f>ROUND(((EV32*0.2)),6)</f>
        <v>16439.883999999998</v>
      </c>
      <c r="AG32">
        <f t="shared" ref="AG32:AG54" si="40">ROUND((AP32),6)</f>
        <v>0</v>
      </c>
      <c r="AH32">
        <f>((EW32*0.2))</f>
        <v>37.72</v>
      </c>
      <c r="AI32">
        <f>((EX32*0.2))</f>
        <v>0</v>
      </c>
      <c r="AJ32">
        <f t="shared" ref="AJ32:AJ54" si="41">(AS32)</f>
        <v>0</v>
      </c>
      <c r="AK32">
        <v>103440.09</v>
      </c>
      <c r="AL32">
        <v>1665.94</v>
      </c>
      <c r="AM32">
        <v>19574.73</v>
      </c>
      <c r="AN32">
        <v>16916.64</v>
      </c>
      <c r="AO32">
        <v>82199.42</v>
      </c>
      <c r="AP32">
        <v>0</v>
      </c>
      <c r="AQ32">
        <v>188.6</v>
      </c>
      <c r="AR32">
        <v>0</v>
      </c>
      <c r="AS32">
        <v>0</v>
      </c>
      <c r="AT32">
        <v>70</v>
      </c>
      <c r="AU32">
        <v>10</v>
      </c>
      <c r="AV32">
        <v>1</v>
      </c>
      <c r="AW32">
        <v>1</v>
      </c>
      <c r="AZ32">
        <v>1</v>
      </c>
      <c r="BA32">
        <v>1</v>
      </c>
      <c r="BB32">
        <v>1</v>
      </c>
      <c r="BC32">
        <v>1</v>
      </c>
      <c r="BD32" t="s">
        <v>3</v>
      </c>
      <c r="BE32" t="s">
        <v>3</v>
      </c>
      <c r="BF32" t="s">
        <v>3</v>
      </c>
      <c r="BG32" t="s">
        <v>3</v>
      </c>
      <c r="BH32">
        <v>0</v>
      </c>
      <c r="BI32">
        <v>4</v>
      </c>
      <c r="BJ32" t="s">
        <v>20</v>
      </c>
      <c r="BM32">
        <v>0</v>
      </c>
      <c r="BN32">
        <v>77790596</v>
      </c>
      <c r="BO32" t="s">
        <v>3</v>
      </c>
      <c r="BP32">
        <v>0</v>
      </c>
      <c r="BQ32">
        <v>1</v>
      </c>
      <c r="BR32">
        <v>0</v>
      </c>
      <c r="BS32">
        <v>1</v>
      </c>
      <c r="BT32">
        <v>1</v>
      </c>
      <c r="BU32">
        <v>1</v>
      </c>
      <c r="BV32">
        <v>1</v>
      </c>
      <c r="BW32">
        <v>1</v>
      </c>
      <c r="BX32">
        <v>1</v>
      </c>
      <c r="BY32" t="s">
        <v>3</v>
      </c>
      <c r="BZ32">
        <v>70</v>
      </c>
      <c r="CA32">
        <v>10</v>
      </c>
      <c r="CB32" t="s">
        <v>3</v>
      </c>
      <c r="CE32">
        <v>0</v>
      </c>
      <c r="CF32">
        <v>0</v>
      </c>
      <c r="CG32">
        <v>0</v>
      </c>
      <c r="CM32">
        <v>0</v>
      </c>
      <c r="CN32" t="s">
        <v>3</v>
      </c>
      <c r="CO32">
        <v>0</v>
      </c>
      <c r="CP32">
        <f t="shared" ref="CP32:CP54" si="42">(P32+Q32+S32)</f>
        <v>0</v>
      </c>
      <c r="CQ32">
        <f t="shared" ref="CQ32:CQ54" si="43">(AC32*BC32*AW32)</f>
        <v>0</v>
      </c>
      <c r="CR32">
        <f>(((((ET32*0.2))*BB32-((EU32*0.2))*BS32)+AE32*BS32)*AV32)</f>
        <v>3914.9459999999999</v>
      </c>
      <c r="CS32">
        <f t="shared" ref="CS32:CS54" si="44">(AE32*BS32*AV32)</f>
        <v>3383.328</v>
      </c>
      <c r="CT32">
        <f t="shared" ref="CT32:CT54" si="45">(AF32*BA32*AV32)</f>
        <v>16439.883999999998</v>
      </c>
      <c r="CU32">
        <f t="shared" ref="CU32:CU54" si="46">AG32</f>
        <v>0</v>
      </c>
      <c r="CV32">
        <f t="shared" ref="CV32:CV54" si="47">(AH32*AV32)</f>
        <v>37.72</v>
      </c>
      <c r="CW32">
        <f t="shared" ref="CW32:CW54" si="48">AI32</f>
        <v>0</v>
      </c>
      <c r="CX32">
        <f t="shared" ref="CX32:CX54" si="49">AJ32</f>
        <v>0</v>
      </c>
      <c r="CY32">
        <f t="shared" ref="CY32:CY54" si="50">((S32*BZ32)/100)</f>
        <v>0</v>
      </c>
      <c r="CZ32">
        <f t="shared" ref="CZ32:CZ54" si="51">((S32*CA32)/100)</f>
        <v>0</v>
      </c>
      <c r="DC32" t="s">
        <v>3</v>
      </c>
      <c r="DD32" t="s">
        <v>21</v>
      </c>
      <c r="DE32" t="s">
        <v>22</v>
      </c>
      <c r="DF32" t="s">
        <v>22</v>
      </c>
      <c r="DG32" t="s">
        <v>22</v>
      </c>
      <c r="DH32" t="s">
        <v>3</v>
      </c>
      <c r="DI32" t="s">
        <v>22</v>
      </c>
      <c r="DJ32" t="s">
        <v>22</v>
      </c>
      <c r="DK32" t="s">
        <v>3</v>
      </c>
      <c r="DL32" t="s">
        <v>3</v>
      </c>
      <c r="DM32" t="s">
        <v>3</v>
      </c>
      <c r="DN32">
        <v>0</v>
      </c>
      <c r="DO32">
        <v>0</v>
      </c>
      <c r="DP32">
        <v>1</v>
      </c>
      <c r="DQ32">
        <v>1</v>
      </c>
      <c r="DU32">
        <v>1003</v>
      </c>
      <c r="DV32" t="s">
        <v>19</v>
      </c>
      <c r="DW32" t="s">
        <v>19</v>
      </c>
      <c r="DX32">
        <v>100</v>
      </c>
      <c r="DZ32" t="s">
        <v>3</v>
      </c>
      <c r="EA32" t="s">
        <v>3</v>
      </c>
      <c r="EB32" t="s">
        <v>3</v>
      </c>
      <c r="EC32" t="s">
        <v>3</v>
      </c>
      <c r="EE32">
        <v>77790599</v>
      </c>
      <c r="EF32">
        <v>1</v>
      </c>
      <c r="EG32" t="s">
        <v>23</v>
      </c>
      <c r="EH32">
        <v>0</v>
      </c>
      <c r="EI32" t="s">
        <v>3</v>
      </c>
      <c r="EJ32">
        <v>4</v>
      </c>
      <c r="EK32">
        <v>0</v>
      </c>
      <c r="EL32" t="s">
        <v>24</v>
      </c>
      <c r="EM32" t="s">
        <v>25</v>
      </c>
      <c r="EO32" t="s">
        <v>3</v>
      </c>
      <c r="EQ32">
        <v>131072</v>
      </c>
      <c r="ER32">
        <v>103440.09</v>
      </c>
      <c r="ES32">
        <v>1665.94</v>
      </c>
      <c r="ET32">
        <v>19574.73</v>
      </c>
      <c r="EU32">
        <v>16916.64</v>
      </c>
      <c r="EV32">
        <v>82199.42</v>
      </c>
      <c r="EW32">
        <v>188.6</v>
      </c>
      <c r="EX32">
        <v>0</v>
      </c>
      <c r="EY32">
        <v>0</v>
      </c>
      <c r="FQ32">
        <v>0</v>
      </c>
      <c r="FR32">
        <f t="shared" ref="FR32:FR54" si="52">ROUND(IF(BI32=3,GM32,0),2)</f>
        <v>0</v>
      </c>
      <c r="FS32">
        <v>0</v>
      </c>
      <c r="FX32">
        <v>70</v>
      </c>
      <c r="FY32">
        <v>10</v>
      </c>
      <c r="GA32" t="s">
        <v>3</v>
      </c>
      <c r="GD32">
        <v>0</v>
      </c>
      <c r="GF32">
        <v>-45040893</v>
      </c>
      <c r="GG32">
        <v>2</v>
      </c>
      <c r="GH32">
        <v>1</v>
      </c>
      <c r="GI32">
        <v>-2</v>
      </c>
      <c r="GJ32">
        <v>0</v>
      </c>
      <c r="GK32">
        <f>ROUND(R32*(R12)/100,2)</f>
        <v>0</v>
      </c>
      <c r="GL32">
        <f t="shared" ref="GL32:GL54" si="53">ROUND(IF(AND(BH32=3,BI32=3,FS32&lt;&gt;0),P32,0),2)</f>
        <v>0</v>
      </c>
      <c r="GM32">
        <f t="shared" ref="GM32:GM54" si="54">ROUND(O32+X32+Y32+GK32,2)+GX32</f>
        <v>0</v>
      </c>
      <c r="GN32">
        <f t="shared" ref="GN32:GN54" si="55">IF(OR(BI32=0,BI32=1),GM32-GX32,0)</f>
        <v>0</v>
      </c>
      <c r="GO32">
        <f t="shared" ref="GO32:GO54" si="56">IF(BI32=2,GM32-GX32,0)</f>
        <v>0</v>
      </c>
      <c r="GP32">
        <f t="shared" ref="GP32:GP54" si="57">IF(BI32=4,GM32-GX32,0)</f>
        <v>0</v>
      </c>
      <c r="GR32">
        <v>0</v>
      </c>
      <c r="GS32">
        <v>3</v>
      </c>
      <c r="GT32">
        <v>0</v>
      </c>
      <c r="GU32" t="s">
        <v>3</v>
      </c>
      <c r="GV32">
        <f t="shared" ref="GV32:GV54" si="58">ROUND((GT32),6)</f>
        <v>0</v>
      </c>
      <c r="GW32">
        <v>1</v>
      </c>
      <c r="GX32">
        <f t="shared" ref="GX32:GX54" si="59">ROUND(HC32*I32,2)</f>
        <v>0</v>
      </c>
      <c r="HA32">
        <v>0</v>
      </c>
      <c r="HB32">
        <v>0</v>
      </c>
      <c r="HC32">
        <f t="shared" ref="HC32:HC54" si="60">GV32*GW32</f>
        <v>0</v>
      </c>
      <c r="HE32" t="s">
        <v>3</v>
      </c>
      <c r="HF32" t="s">
        <v>3</v>
      </c>
      <c r="HM32" t="s">
        <v>3</v>
      </c>
      <c r="HN32" t="s">
        <v>3</v>
      </c>
      <c r="HO32" t="s">
        <v>3</v>
      </c>
      <c r="HP32" t="s">
        <v>3</v>
      </c>
      <c r="HQ32" t="s">
        <v>3</v>
      </c>
      <c r="IK32">
        <v>0</v>
      </c>
    </row>
    <row r="33" spans="1:245" x14ac:dyDescent="0.2">
      <c r="A33">
        <v>18</v>
      </c>
      <c r="B33">
        <v>1</v>
      </c>
      <c r="C33">
        <v>3</v>
      </c>
      <c r="E33" t="s">
        <v>26</v>
      </c>
      <c r="F33" t="s">
        <v>27</v>
      </c>
      <c r="G33" t="s">
        <v>28</v>
      </c>
      <c r="H33" t="s">
        <v>29</v>
      </c>
      <c r="I33">
        <f>I32*J33</f>
        <v>0</v>
      </c>
      <c r="J33">
        <v>0</v>
      </c>
      <c r="K33">
        <v>0</v>
      </c>
      <c r="O33">
        <f t="shared" si="28"/>
        <v>0</v>
      </c>
      <c r="P33">
        <f t="shared" si="29"/>
        <v>0</v>
      </c>
      <c r="Q33">
        <f t="shared" si="30"/>
        <v>0</v>
      </c>
      <c r="R33">
        <f t="shared" si="31"/>
        <v>0</v>
      </c>
      <c r="S33">
        <f t="shared" si="32"/>
        <v>0</v>
      </c>
      <c r="T33">
        <f t="shared" si="33"/>
        <v>0</v>
      </c>
      <c r="U33">
        <f t="shared" si="34"/>
        <v>0</v>
      </c>
      <c r="V33">
        <f t="shared" si="35"/>
        <v>0</v>
      </c>
      <c r="W33">
        <f t="shared" si="36"/>
        <v>0</v>
      </c>
      <c r="X33">
        <f t="shared" si="37"/>
        <v>0</v>
      </c>
      <c r="Y33">
        <f t="shared" si="38"/>
        <v>0</v>
      </c>
      <c r="AA33">
        <v>78131199</v>
      </c>
      <c r="AB33">
        <f t="shared" si="39"/>
        <v>0</v>
      </c>
      <c r="AC33">
        <f t="shared" ref="AC33:AC46" si="61">ROUND((ES33),6)</f>
        <v>0</v>
      </c>
      <c r="AD33">
        <f t="shared" ref="AD33:AD46" si="62">ROUND((((ET33)-(EU33))+AE33),6)</f>
        <v>0</v>
      </c>
      <c r="AE33">
        <f t="shared" ref="AE33:AE46" si="63">ROUND((EU33),6)</f>
        <v>0</v>
      </c>
      <c r="AF33">
        <f t="shared" ref="AF33:AF46" si="64">ROUND((EV33),6)</f>
        <v>0</v>
      </c>
      <c r="AG33">
        <f t="shared" si="40"/>
        <v>0</v>
      </c>
      <c r="AH33">
        <f t="shared" ref="AH33:AH46" si="65">(EW33)</f>
        <v>0</v>
      </c>
      <c r="AI33">
        <f t="shared" ref="AI33:AI46" si="66">(EX33)</f>
        <v>0</v>
      </c>
      <c r="AJ33">
        <f t="shared" si="41"/>
        <v>0</v>
      </c>
      <c r="AK33">
        <v>0</v>
      </c>
      <c r="AL33">
        <v>0</v>
      </c>
      <c r="AM33">
        <v>0</v>
      </c>
      <c r="AN33">
        <v>0</v>
      </c>
      <c r="AO33">
        <v>0</v>
      </c>
      <c r="AP33">
        <v>0</v>
      </c>
      <c r="AQ33">
        <v>0</v>
      </c>
      <c r="AR33">
        <v>0</v>
      </c>
      <c r="AS33">
        <v>0</v>
      </c>
      <c r="AT33">
        <v>70</v>
      </c>
      <c r="AU33">
        <v>10</v>
      </c>
      <c r="AV33">
        <v>1</v>
      </c>
      <c r="AW33">
        <v>1</v>
      </c>
      <c r="AZ33">
        <v>1</v>
      </c>
      <c r="BA33">
        <v>1</v>
      </c>
      <c r="BB33">
        <v>1</v>
      </c>
      <c r="BC33">
        <v>1</v>
      </c>
      <c r="BD33" t="s">
        <v>3</v>
      </c>
      <c r="BE33" t="s">
        <v>3</v>
      </c>
      <c r="BF33" t="s">
        <v>3</v>
      </c>
      <c r="BG33" t="s">
        <v>3</v>
      </c>
      <c r="BH33">
        <v>3</v>
      </c>
      <c r="BI33">
        <v>4</v>
      </c>
      <c r="BJ33" t="s">
        <v>3</v>
      </c>
      <c r="BM33">
        <v>0</v>
      </c>
      <c r="BN33">
        <v>77790596</v>
      </c>
      <c r="BO33" t="s">
        <v>3</v>
      </c>
      <c r="BP33">
        <v>0</v>
      </c>
      <c r="BQ33">
        <v>1</v>
      </c>
      <c r="BR33">
        <v>0</v>
      </c>
      <c r="BS33">
        <v>1</v>
      </c>
      <c r="BT33">
        <v>1</v>
      </c>
      <c r="BU33">
        <v>1</v>
      </c>
      <c r="BV33">
        <v>1</v>
      </c>
      <c r="BW33">
        <v>1</v>
      </c>
      <c r="BX33">
        <v>1</v>
      </c>
      <c r="BY33" t="s">
        <v>3</v>
      </c>
      <c r="BZ33">
        <v>70</v>
      </c>
      <c r="CA33">
        <v>10</v>
      </c>
      <c r="CB33" t="s">
        <v>3</v>
      </c>
      <c r="CE33">
        <v>0</v>
      </c>
      <c r="CF33">
        <v>0</v>
      </c>
      <c r="CG33">
        <v>0</v>
      </c>
      <c r="CM33">
        <v>0</v>
      </c>
      <c r="CN33" t="s">
        <v>3</v>
      </c>
      <c r="CO33">
        <v>0</v>
      </c>
      <c r="CP33">
        <f t="shared" si="42"/>
        <v>0</v>
      </c>
      <c r="CQ33">
        <f t="shared" si="43"/>
        <v>0</v>
      </c>
      <c r="CR33">
        <f t="shared" ref="CR33:CR46" si="67">((((ET33)*BB33-(EU33)*BS33)+AE33*BS33)*AV33)</f>
        <v>0</v>
      </c>
      <c r="CS33">
        <f t="shared" si="44"/>
        <v>0</v>
      </c>
      <c r="CT33">
        <f t="shared" si="45"/>
        <v>0</v>
      </c>
      <c r="CU33">
        <f t="shared" si="46"/>
        <v>0</v>
      </c>
      <c r="CV33">
        <f t="shared" si="47"/>
        <v>0</v>
      </c>
      <c r="CW33">
        <f t="shared" si="48"/>
        <v>0</v>
      </c>
      <c r="CX33">
        <f t="shared" si="49"/>
        <v>0</v>
      </c>
      <c r="CY33">
        <f t="shared" si="50"/>
        <v>0</v>
      </c>
      <c r="CZ33">
        <f t="shared" si="51"/>
        <v>0</v>
      </c>
      <c r="DC33" t="s">
        <v>3</v>
      </c>
      <c r="DD33" t="s">
        <v>3</v>
      </c>
      <c r="DE33" t="s">
        <v>3</v>
      </c>
      <c r="DF33" t="s">
        <v>3</v>
      </c>
      <c r="DG33" t="s">
        <v>3</v>
      </c>
      <c r="DH33" t="s">
        <v>3</v>
      </c>
      <c r="DI33" t="s">
        <v>3</v>
      </c>
      <c r="DJ33" t="s">
        <v>3</v>
      </c>
      <c r="DK33" t="s">
        <v>3</v>
      </c>
      <c r="DL33" t="s">
        <v>3</v>
      </c>
      <c r="DM33" t="s">
        <v>3</v>
      </c>
      <c r="DN33">
        <v>0</v>
      </c>
      <c r="DO33">
        <v>0</v>
      </c>
      <c r="DP33">
        <v>1</v>
      </c>
      <c r="DQ33">
        <v>1</v>
      </c>
      <c r="DU33">
        <v>1010</v>
      </c>
      <c r="DV33" t="s">
        <v>29</v>
      </c>
      <c r="DW33" t="s">
        <v>29</v>
      </c>
      <c r="DX33">
        <v>1</v>
      </c>
      <c r="DZ33" t="s">
        <v>3</v>
      </c>
      <c r="EA33" t="s">
        <v>3</v>
      </c>
      <c r="EB33" t="s">
        <v>3</v>
      </c>
      <c r="EC33" t="s">
        <v>3</v>
      </c>
      <c r="EE33">
        <v>77790599</v>
      </c>
      <c r="EF33">
        <v>1</v>
      </c>
      <c r="EG33" t="s">
        <v>23</v>
      </c>
      <c r="EH33">
        <v>0</v>
      </c>
      <c r="EI33" t="s">
        <v>3</v>
      </c>
      <c r="EJ33">
        <v>4</v>
      </c>
      <c r="EK33">
        <v>0</v>
      </c>
      <c r="EL33" t="s">
        <v>24</v>
      </c>
      <c r="EM33" t="s">
        <v>25</v>
      </c>
      <c r="EO33" t="s">
        <v>3</v>
      </c>
      <c r="EQ33">
        <v>0</v>
      </c>
      <c r="ER33">
        <v>0</v>
      </c>
      <c r="ES33">
        <v>0</v>
      </c>
      <c r="ET33">
        <v>0</v>
      </c>
      <c r="EU33">
        <v>0</v>
      </c>
      <c r="EV33">
        <v>0</v>
      </c>
      <c r="EW33">
        <v>0</v>
      </c>
      <c r="EX33">
        <v>0</v>
      </c>
      <c r="FQ33">
        <v>0</v>
      </c>
      <c r="FR33">
        <f t="shared" si="52"/>
        <v>0</v>
      </c>
      <c r="FS33">
        <v>0</v>
      </c>
      <c r="FX33">
        <v>70</v>
      </c>
      <c r="FY33">
        <v>10</v>
      </c>
      <c r="GA33" t="s">
        <v>3</v>
      </c>
      <c r="GD33">
        <v>0</v>
      </c>
      <c r="GF33">
        <v>1960360122</v>
      </c>
      <c r="GG33">
        <v>2</v>
      </c>
      <c r="GH33">
        <v>1</v>
      </c>
      <c r="GI33">
        <v>-2</v>
      </c>
      <c r="GJ33">
        <v>0</v>
      </c>
      <c r="GK33">
        <f>ROUND(R33*(R12)/100,2)</f>
        <v>0</v>
      </c>
      <c r="GL33">
        <f t="shared" si="53"/>
        <v>0</v>
      </c>
      <c r="GM33">
        <f t="shared" si="54"/>
        <v>0</v>
      </c>
      <c r="GN33">
        <f t="shared" si="55"/>
        <v>0</v>
      </c>
      <c r="GO33">
        <f t="shared" si="56"/>
        <v>0</v>
      </c>
      <c r="GP33">
        <f t="shared" si="57"/>
        <v>0</v>
      </c>
      <c r="GR33">
        <v>0</v>
      </c>
      <c r="GS33">
        <v>3</v>
      </c>
      <c r="GT33">
        <v>0</v>
      </c>
      <c r="GU33" t="s">
        <v>3</v>
      </c>
      <c r="GV33">
        <f t="shared" si="58"/>
        <v>0</v>
      </c>
      <c r="GW33">
        <v>1</v>
      </c>
      <c r="GX33">
        <f t="shared" si="59"/>
        <v>0</v>
      </c>
      <c r="HA33">
        <v>0</v>
      </c>
      <c r="HB33">
        <v>0</v>
      </c>
      <c r="HC33">
        <f t="shared" si="60"/>
        <v>0</v>
      </c>
      <c r="HE33" t="s">
        <v>3</v>
      </c>
      <c r="HF33" t="s">
        <v>3</v>
      </c>
      <c r="HM33" t="s">
        <v>21</v>
      </c>
      <c r="HN33" t="s">
        <v>3</v>
      </c>
      <c r="HO33" t="s">
        <v>3</v>
      </c>
      <c r="HP33" t="s">
        <v>3</v>
      </c>
      <c r="HQ33" t="s">
        <v>3</v>
      </c>
      <c r="IK33">
        <v>0</v>
      </c>
    </row>
    <row r="34" spans="1:245" x14ac:dyDescent="0.2">
      <c r="A34">
        <v>18</v>
      </c>
      <c r="B34">
        <v>1</v>
      </c>
      <c r="C34">
        <v>11</v>
      </c>
      <c r="E34" t="s">
        <v>30</v>
      </c>
      <c r="F34" t="s">
        <v>31</v>
      </c>
      <c r="G34" t="s">
        <v>32</v>
      </c>
      <c r="H34" t="s">
        <v>33</v>
      </c>
      <c r="I34">
        <f>I32*J34</f>
        <v>0</v>
      </c>
      <c r="J34">
        <v>0</v>
      </c>
      <c r="K34">
        <v>89.9</v>
      </c>
      <c r="O34">
        <f t="shared" si="28"/>
        <v>0</v>
      </c>
      <c r="P34">
        <f t="shared" si="29"/>
        <v>0</v>
      </c>
      <c r="Q34">
        <f t="shared" si="30"/>
        <v>0</v>
      </c>
      <c r="R34">
        <f t="shared" si="31"/>
        <v>0</v>
      </c>
      <c r="S34">
        <f t="shared" si="32"/>
        <v>0</v>
      </c>
      <c r="T34">
        <f t="shared" si="33"/>
        <v>0</v>
      </c>
      <c r="U34">
        <f t="shared" si="34"/>
        <v>0</v>
      </c>
      <c r="V34">
        <f t="shared" si="35"/>
        <v>0</v>
      </c>
      <c r="W34">
        <f t="shared" si="36"/>
        <v>0</v>
      </c>
      <c r="X34">
        <f t="shared" si="37"/>
        <v>0</v>
      </c>
      <c r="Y34">
        <f t="shared" si="38"/>
        <v>0</v>
      </c>
      <c r="AA34">
        <v>78131199</v>
      </c>
      <c r="AB34">
        <f t="shared" si="39"/>
        <v>0</v>
      </c>
      <c r="AC34">
        <f t="shared" si="61"/>
        <v>0</v>
      </c>
      <c r="AD34">
        <f t="shared" si="62"/>
        <v>0</v>
      </c>
      <c r="AE34">
        <f t="shared" si="63"/>
        <v>0</v>
      </c>
      <c r="AF34">
        <f t="shared" si="64"/>
        <v>0</v>
      </c>
      <c r="AG34">
        <f t="shared" si="40"/>
        <v>0</v>
      </c>
      <c r="AH34">
        <f t="shared" si="65"/>
        <v>0</v>
      </c>
      <c r="AI34">
        <f t="shared" si="66"/>
        <v>0</v>
      </c>
      <c r="AJ34">
        <f t="shared" si="41"/>
        <v>0</v>
      </c>
      <c r="AK34">
        <v>0</v>
      </c>
      <c r="AL34">
        <v>0</v>
      </c>
      <c r="AM34">
        <v>0</v>
      </c>
      <c r="AN34">
        <v>0</v>
      </c>
      <c r="AO34">
        <v>0</v>
      </c>
      <c r="AP34">
        <v>0</v>
      </c>
      <c r="AQ34">
        <v>0</v>
      </c>
      <c r="AR34">
        <v>0</v>
      </c>
      <c r="AS34">
        <v>0</v>
      </c>
      <c r="AT34">
        <v>70</v>
      </c>
      <c r="AU34">
        <v>10</v>
      </c>
      <c r="AV34">
        <v>1</v>
      </c>
      <c r="AW34">
        <v>1</v>
      </c>
      <c r="AZ34">
        <v>1</v>
      </c>
      <c r="BA34">
        <v>1</v>
      </c>
      <c r="BB34">
        <v>1</v>
      </c>
      <c r="BC34">
        <v>1</v>
      </c>
      <c r="BD34" t="s">
        <v>3</v>
      </c>
      <c r="BE34" t="s">
        <v>3</v>
      </c>
      <c r="BF34" t="s">
        <v>3</v>
      </c>
      <c r="BG34" t="s">
        <v>3</v>
      </c>
      <c r="BH34">
        <v>3</v>
      </c>
      <c r="BI34">
        <v>4</v>
      </c>
      <c r="BJ34" t="s">
        <v>3</v>
      </c>
      <c r="BM34">
        <v>0</v>
      </c>
      <c r="BN34">
        <v>77790596</v>
      </c>
      <c r="BO34" t="s">
        <v>3</v>
      </c>
      <c r="BP34">
        <v>0</v>
      </c>
      <c r="BQ34">
        <v>1</v>
      </c>
      <c r="BR34">
        <v>0</v>
      </c>
      <c r="BS34">
        <v>1</v>
      </c>
      <c r="BT34">
        <v>1</v>
      </c>
      <c r="BU34">
        <v>1</v>
      </c>
      <c r="BV34">
        <v>1</v>
      </c>
      <c r="BW34">
        <v>1</v>
      </c>
      <c r="BX34">
        <v>1</v>
      </c>
      <c r="BY34" t="s">
        <v>3</v>
      </c>
      <c r="BZ34">
        <v>70</v>
      </c>
      <c r="CA34">
        <v>10</v>
      </c>
      <c r="CB34" t="s">
        <v>3</v>
      </c>
      <c r="CE34">
        <v>0</v>
      </c>
      <c r="CF34">
        <v>0</v>
      </c>
      <c r="CG34">
        <v>0</v>
      </c>
      <c r="CM34">
        <v>0</v>
      </c>
      <c r="CN34" t="s">
        <v>3</v>
      </c>
      <c r="CO34">
        <v>0</v>
      </c>
      <c r="CP34">
        <f t="shared" si="42"/>
        <v>0</v>
      </c>
      <c r="CQ34">
        <f t="shared" si="43"/>
        <v>0</v>
      </c>
      <c r="CR34">
        <f t="shared" si="67"/>
        <v>0</v>
      </c>
      <c r="CS34">
        <f t="shared" si="44"/>
        <v>0</v>
      </c>
      <c r="CT34">
        <f t="shared" si="45"/>
        <v>0</v>
      </c>
      <c r="CU34">
        <f t="shared" si="46"/>
        <v>0</v>
      </c>
      <c r="CV34">
        <f t="shared" si="47"/>
        <v>0</v>
      </c>
      <c r="CW34">
        <f t="shared" si="48"/>
        <v>0</v>
      </c>
      <c r="CX34">
        <f t="shared" si="49"/>
        <v>0</v>
      </c>
      <c r="CY34">
        <f t="shared" si="50"/>
        <v>0</v>
      </c>
      <c r="CZ34">
        <f t="shared" si="51"/>
        <v>0</v>
      </c>
      <c r="DC34" t="s">
        <v>3</v>
      </c>
      <c r="DD34" t="s">
        <v>3</v>
      </c>
      <c r="DE34" t="s">
        <v>3</v>
      </c>
      <c r="DF34" t="s">
        <v>3</v>
      </c>
      <c r="DG34" t="s">
        <v>3</v>
      </c>
      <c r="DH34" t="s">
        <v>3</v>
      </c>
      <c r="DI34" t="s">
        <v>3</v>
      </c>
      <c r="DJ34" t="s">
        <v>3</v>
      </c>
      <c r="DK34" t="s">
        <v>3</v>
      </c>
      <c r="DL34" t="s">
        <v>3</v>
      </c>
      <c r="DM34" t="s">
        <v>3</v>
      </c>
      <c r="DN34">
        <v>0</v>
      </c>
      <c r="DO34">
        <v>0</v>
      </c>
      <c r="DP34">
        <v>1</v>
      </c>
      <c r="DQ34">
        <v>1</v>
      </c>
      <c r="DU34">
        <v>1003</v>
      </c>
      <c r="DV34" t="s">
        <v>33</v>
      </c>
      <c r="DW34" t="s">
        <v>33</v>
      </c>
      <c r="DX34">
        <v>1</v>
      </c>
      <c r="DZ34" t="s">
        <v>3</v>
      </c>
      <c r="EA34" t="s">
        <v>3</v>
      </c>
      <c r="EB34" t="s">
        <v>3</v>
      </c>
      <c r="EC34" t="s">
        <v>3</v>
      </c>
      <c r="EE34">
        <v>77790599</v>
      </c>
      <c r="EF34">
        <v>1</v>
      </c>
      <c r="EG34" t="s">
        <v>23</v>
      </c>
      <c r="EH34">
        <v>0</v>
      </c>
      <c r="EI34" t="s">
        <v>3</v>
      </c>
      <c r="EJ34">
        <v>4</v>
      </c>
      <c r="EK34">
        <v>0</v>
      </c>
      <c r="EL34" t="s">
        <v>24</v>
      </c>
      <c r="EM34" t="s">
        <v>25</v>
      </c>
      <c r="EO34" t="s">
        <v>3</v>
      </c>
      <c r="EQ34">
        <v>0</v>
      </c>
      <c r="ER34">
        <v>0</v>
      </c>
      <c r="ES34">
        <v>0</v>
      </c>
      <c r="ET34">
        <v>0</v>
      </c>
      <c r="EU34">
        <v>0</v>
      </c>
      <c r="EV34">
        <v>0</v>
      </c>
      <c r="EW34">
        <v>0</v>
      </c>
      <c r="EX34">
        <v>0</v>
      </c>
      <c r="FQ34">
        <v>0</v>
      </c>
      <c r="FR34">
        <f t="shared" si="52"/>
        <v>0</v>
      </c>
      <c r="FS34">
        <v>0</v>
      </c>
      <c r="FX34">
        <v>70</v>
      </c>
      <c r="FY34">
        <v>10</v>
      </c>
      <c r="GA34" t="s">
        <v>3</v>
      </c>
      <c r="GD34">
        <v>0</v>
      </c>
      <c r="GF34">
        <v>-602450138</v>
      </c>
      <c r="GG34">
        <v>2</v>
      </c>
      <c r="GH34">
        <v>1</v>
      </c>
      <c r="GI34">
        <v>-2</v>
      </c>
      <c r="GJ34">
        <v>0</v>
      </c>
      <c r="GK34">
        <f>ROUND(R34*(R12)/100,2)</f>
        <v>0</v>
      </c>
      <c r="GL34">
        <f t="shared" si="53"/>
        <v>0</v>
      </c>
      <c r="GM34">
        <f t="shared" si="54"/>
        <v>0</v>
      </c>
      <c r="GN34">
        <f t="shared" si="55"/>
        <v>0</v>
      </c>
      <c r="GO34">
        <f t="shared" si="56"/>
        <v>0</v>
      </c>
      <c r="GP34">
        <f t="shared" si="57"/>
        <v>0</v>
      </c>
      <c r="GR34">
        <v>0</v>
      </c>
      <c r="GS34">
        <v>3</v>
      </c>
      <c r="GT34">
        <v>0</v>
      </c>
      <c r="GU34" t="s">
        <v>3</v>
      </c>
      <c r="GV34">
        <f t="shared" si="58"/>
        <v>0</v>
      </c>
      <c r="GW34">
        <v>1</v>
      </c>
      <c r="GX34">
        <f t="shared" si="59"/>
        <v>0</v>
      </c>
      <c r="HA34">
        <v>0</v>
      </c>
      <c r="HB34">
        <v>0</v>
      </c>
      <c r="HC34">
        <f t="shared" si="60"/>
        <v>0</v>
      </c>
      <c r="HE34" t="s">
        <v>3</v>
      </c>
      <c r="HF34" t="s">
        <v>3</v>
      </c>
      <c r="HM34" t="s">
        <v>21</v>
      </c>
      <c r="HN34" t="s">
        <v>3</v>
      </c>
      <c r="HO34" t="s">
        <v>3</v>
      </c>
      <c r="HP34" t="s">
        <v>3</v>
      </c>
      <c r="HQ34" t="s">
        <v>3</v>
      </c>
      <c r="IK34">
        <v>0</v>
      </c>
    </row>
    <row r="35" spans="1:245" x14ac:dyDescent="0.2">
      <c r="A35">
        <v>18</v>
      </c>
      <c r="B35">
        <v>1</v>
      </c>
      <c r="C35">
        <v>12</v>
      </c>
      <c r="E35" t="s">
        <v>34</v>
      </c>
      <c r="F35" t="s">
        <v>35</v>
      </c>
      <c r="G35" t="s">
        <v>36</v>
      </c>
      <c r="H35" t="s">
        <v>29</v>
      </c>
      <c r="I35">
        <f>I32*J35</f>
        <v>0</v>
      </c>
      <c r="J35">
        <v>0</v>
      </c>
      <c r="K35">
        <v>0</v>
      </c>
      <c r="O35">
        <f t="shared" si="28"/>
        <v>0</v>
      </c>
      <c r="P35">
        <f t="shared" si="29"/>
        <v>0</v>
      </c>
      <c r="Q35">
        <f t="shared" si="30"/>
        <v>0</v>
      </c>
      <c r="R35">
        <f t="shared" si="31"/>
        <v>0</v>
      </c>
      <c r="S35">
        <f t="shared" si="32"/>
        <v>0</v>
      </c>
      <c r="T35">
        <f t="shared" si="33"/>
        <v>0</v>
      </c>
      <c r="U35">
        <f t="shared" si="34"/>
        <v>0</v>
      </c>
      <c r="V35">
        <f t="shared" si="35"/>
        <v>0</v>
      </c>
      <c r="W35">
        <f t="shared" si="36"/>
        <v>0</v>
      </c>
      <c r="X35">
        <f t="shared" si="37"/>
        <v>0</v>
      </c>
      <c r="Y35">
        <f t="shared" si="38"/>
        <v>0</v>
      </c>
      <c r="AA35">
        <v>78131199</v>
      </c>
      <c r="AB35">
        <f t="shared" si="39"/>
        <v>0</v>
      </c>
      <c r="AC35">
        <f t="shared" si="61"/>
        <v>0</v>
      </c>
      <c r="AD35">
        <f t="shared" si="62"/>
        <v>0</v>
      </c>
      <c r="AE35">
        <f t="shared" si="63"/>
        <v>0</v>
      </c>
      <c r="AF35">
        <f t="shared" si="64"/>
        <v>0</v>
      </c>
      <c r="AG35">
        <f t="shared" si="40"/>
        <v>0</v>
      </c>
      <c r="AH35">
        <f t="shared" si="65"/>
        <v>0</v>
      </c>
      <c r="AI35">
        <f t="shared" si="66"/>
        <v>0</v>
      </c>
      <c r="AJ35">
        <f t="shared" si="41"/>
        <v>0</v>
      </c>
      <c r="AK35">
        <v>0</v>
      </c>
      <c r="AL35">
        <v>0</v>
      </c>
      <c r="AM35">
        <v>0</v>
      </c>
      <c r="AN35">
        <v>0</v>
      </c>
      <c r="AO35">
        <v>0</v>
      </c>
      <c r="AP35">
        <v>0</v>
      </c>
      <c r="AQ35">
        <v>0</v>
      </c>
      <c r="AR35">
        <v>0</v>
      </c>
      <c r="AS35">
        <v>0</v>
      </c>
      <c r="AT35">
        <v>70</v>
      </c>
      <c r="AU35">
        <v>10</v>
      </c>
      <c r="AV35">
        <v>1</v>
      </c>
      <c r="AW35">
        <v>1</v>
      </c>
      <c r="AZ35">
        <v>1</v>
      </c>
      <c r="BA35">
        <v>1</v>
      </c>
      <c r="BB35">
        <v>1</v>
      </c>
      <c r="BC35">
        <v>1</v>
      </c>
      <c r="BD35" t="s">
        <v>3</v>
      </c>
      <c r="BE35" t="s">
        <v>3</v>
      </c>
      <c r="BF35" t="s">
        <v>3</v>
      </c>
      <c r="BG35" t="s">
        <v>3</v>
      </c>
      <c r="BH35">
        <v>3</v>
      </c>
      <c r="BI35">
        <v>4</v>
      </c>
      <c r="BJ35" t="s">
        <v>3</v>
      </c>
      <c r="BM35">
        <v>0</v>
      </c>
      <c r="BN35">
        <v>75457919</v>
      </c>
      <c r="BO35" t="s">
        <v>3</v>
      </c>
      <c r="BP35">
        <v>0</v>
      </c>
      <c r="BQ35">
        <v>1</v>
      </c>
      <c r="BR35">
        <v>0</v>
      </c>
      <c r="BS35">
        <v>1</v>
      </c>
      <c r="BT35">
        <v>1</v>
      </c>
      <c r="BU35">
        <v>1</v>
      </c>
      <c r="BV35">
        <v>1</v>
      </c>
      <c r="BW35">
        <v>1</v>
      </c>
      <c r="BX35">
        <v>1</v>
      </c>
      <c r="BY35" t="s">
        <v>3</v>
      </c>
      <c r="BZ35">
        <v>70</v>
      </c>
      <c r="CA35">
        <v>10</v>
      </c>
      <c r="CB35" t="s">
        <v>3</v>
      </c>
      <c r="CE35">
        <v>0</v>
      </c>
      <c r="CF35">
        <v>0</v>
      </c>
      <c r="CG35">
        <v>0</v>
      </c>
      <c r="CM35">
        <v>0</v>
      </c>
      <c r="CN35" t="s">
        <v>3</v>
      </c>
      <c r="CO35">
        <v>0</v>
      </c>
      <c r="CP35">
        <f t="shared" si="42"/>
        <v>0</v>
      </c>
      <c r="CQ35">
        <f t="shared" si="43"/>
        <v>0</v>
      </c>
      <c r="CR35">
        <f t="shared" si="67"/>
        <v>0</v>
      </c>
      <c r="CS35">
        <f t="shared" si="44"/>
        <v>0</v>
      </c>
      <c r="CT35">
        <f t="shared" si="45"/>
        <v>0</v>
      </c>
      <c r="CU35">
        <f t="shared" si="46"/>
        <v>0</v>
      </c>
      <c r="CV35">
        <f t="shared" si="47"/>
        <v>0</v>
      </c>
      <c r="CW35">
        <f t="shared" si="48"/>
        <v>0</v>
      </c>
      <c r="CX35">
        <f t="shared" si="49"/>
        <v>0</v>
      </c>
      <c r="CY35">
        <f t="shared" si="50"/>
        <v>0</v>
      </c>
      <c r="CZ35">
        <f t="shared" si="51"/>
        <v>0</v>
      </c>
      <c r="DC35" t="s">
        <v>3</v>
      </c>
      <c r="DD35" t="s">
        <v>3</v>
      </c>
      <c r="DE35" t="s">
        <v>3</v>
      </c>
      <c r="DF35" t="s">
        <v>3</v>
      </c>
      <c r="DG35" t="s">
        <v>3</v>
      </c>
      <c r="DH35" t="s">
        <v>3</v>
      </c>
      <c r="DI35" t="s">
        <v>3</v>
      </c>
      <c r="DJ35" t="s">
        <v>3</v>
      </c>
      <c r="DK35" t="s">
        <v>3</v>
      </c>
      <c r="DL35" t="s">
        <v>3</v>
      </c>
      <c r="DM35" t="s">
        <v>3</v>
      </c>
      <c r="DN35">
        <v>0</v>
      </c>
      <c r="DO35">
        <v>0</v>
      </c>
      <c r="DP35">
        <v>1</v>
      </c>
      <c r="DQ35">
        <v>1</v>
      </c>
      <c r="DU35">
        <v>1010</v>
      </c>
      <c r="DV35" t="s">
        <v>29</v>
      </c>
      <c r="DW35" t="s">
        <v>29</v>
      </c>
      <c r="DX35">
        <v>1</v>
      </c>
      <c r="DZ35" t="s">
        <v>3</v>
      </c>
      <c r="EA35" t="s">
        <v>3</v>
      </c>
      <c r="EB35" t="s">
        <v>3</v>
      </c>
      <c r="EC35" t="s">
        <v>3</v>
      </c>
      <c r="EE35">
        <v>77790599</v>
      </c>
      <c r="EF35">
        <v>1</v>
      </c>
      <c r="EG35" t="s">
        <v>23</v>
      </c>
      <c r="EH35">
        <v>0</v>
      </c>
      <c r="EI35" t="s">
        <v>3</v>
      </c>
      <c r="EJ35">
        <v>4</v>
      </c>
      <c r="EK35">
        <v>0</v>
      </c>
      <c r="EL35" t="s">
        <v>24</v>
      </c>
      <c r="EM35" t="s">
        <v>25</v>
      </c>
      <c r="EO35" t="s">
        <v>3</v>
      </c>
      <c r="EQ35">
        <v>0</v>
      </c>
      <c r="ER35">
        <v>0</v>
      </c>
      <c r="ES35">
        <v>0</v>
      </c>
      <c r="ET35">
        <v>0</v>
      </c>
      <c r="EU35">
        <v>0</v>
      </c>
      <c r="EV35">
        <v>0</v>
      </c>
      <c r="EW35">
        <v>0</v>
      </c>
      <c r="EX35">
        <v>0</v>
      </c>
      <c r="FQ35">
        <v>0</v>
      </c>
      <c r="FR35">
        <f t="shared" si="52"/>
        <v>0</v>
      </c>
      <c r="FS35">
        <v>0</v>
      </c>
      <c r="FX35">
        <v>70</v>
      </c>
      <c r="FY35">
        <v>10</v>
      </c>
      <c r="GA35" t="s">
        <v>3</v>
      </c>
      <c r="GD35">
        <v>0</v>
      </c>
      <c r="GF35">
        <v>1569462797</v>
      </c>
      <c r="GG35">
        <v>2</v>
      </c>
      <c r="GH35">
        <v>1</v>
      </c>
      <c r="GI35">
        <v>-2</v>
      </c>
      <c r="GJ35">
        <v>0</v>
      </c>
      <c r="GK35">
        <f>ROUND(R35*(R12)/100,2)</f>
        <v>0</v>
      </c>
      <c r="GL35">
        <f t="shared" si="53"/>
        <v>0</v>
      </c>
      <c r="GM35">
        <f t="shared" si="54"/>
        <v>0</v>
      </c>
      <c r="GN35">
        <f t="shared" si="55"/>
        <v>0</v>
      </c>
      <c r="GO35">
        <f t="shared" si="56"/>
        <v>0</v>
      </c>
      <c r="GP35">
        <f t="shared" si="57"/>
        <v>0</v>
      </c>
      <c r="GR35">
        <v>0</v>
      </c>
      <c r="GS35">
        <v>3</v>
      </c>
      <c r="GT35">
        <v>0</v>
      </c>
      <c r="GU35" t="s">
        <v>3</v>
      </c>
      <c r="GV35">
        <f t="shared" si="58"/>
        <v>0</v>
      </c>
      <c r="GW35">
        <v>1</v>
      </c>
      <c r="GX35">
        <f t="shared" si="59"/>
        <v>0</v>
      </c>
      <c r="HA35">
        <v>0</v>
      </c>
      <c r="HB35">
        <v>0</v>
      </c>
      <c r="HC35">
        <f t="shared" si="60"/>
        <v>0</v>
      </c>
      <c r="HE35" t="s">
        <v>3</v>
      </c>
      <c r="HF35" t="s">
        <v>3</v>
      </c>
      <c r="HM35" t="s">
        <v>21</v>
      </c>
      <c r="HN35" t="s">
        <v>3</v>
      </c>
      <c r="HO35" t="s">
        <v>3</v>
      </c>
      <c r="HP35" t="s">
        <v>3</v>
      </c>
      <c r="HQ35" t="s">
        <v>3</v>
      </c>
      <c r="IK35">
        <v>0</v>
      </c>
    </row>
    <row r="36" spans="1:245" x14ac:dyDescent="0.2">
      <c r="A36">
        <v>18</v>
      </c>
      <c r="B36">
        <v>1</v>
      </c>
      <c r="C36">
        <v>13</v>
      </c>
      <c r="E36" t="s">
        <v>37</v>
      </c>
      <c r="F36" t="s">
        <v>38</v>
      </c>
      <c r="G36" t="s">
        <v>39</v>
      </c>
      <c r="H36" t="s">
        <v>29</v>
      </c>
      <c r="I36">
        <f>I32*J36</f>
        <v>0</v>
      </c>
      <c r="J36">
        <v>0</v>
      </c>
      <c r="K36">
        <v>0</v>
      </c>
      <c r="O36">
        <f t="shared" si="28"/>
        <v>0</v>
      </c>
      <c r="P36">
        <f t="shared" si="29"/>
        <v>0</v>
      </c>
      <c r="Q36">
        <f t="shared" si="30"/>
        <v>0</v>
      </c>
      <c r="R36">
        <f t="shared" si="31"/>
        <v>0</v>
      </c>
      <c r="S36">
        <f t="shared" si="32"/>
        <v>0</v>
      </c>
      <c r="T36">
        <f t="shared" si="33"/>
        <v>0</v>
      </c>
      <c r="U36">
        <f t="shared" si="34"/>
        <v>0</v>
      </c>
      <c r="V36">
        <f t="shared" si="35"/>
        <v>0</v>
      </c>
      <c r="W36">
        <f t="shared" si="36"/>
        <v>0</v>
      </c>
      <c r="X36">
        <f t="shared" si="37"/>
        <v>0</v>
      </c>
      <c r="Y36">
        <f t="shared" si="38"/>
        <v>0</v>
      </c>
      <c r="AA36">
        <v>78131199</v>
      </c>
      <c r="AB36">
        <f t="shared" si="39"/>
        <v>0</v>
      </c>
      <c r="AC36">
        <f t="shared" si="61"/>
        <v>0</v>
      </c>
      <c r="AD36">
        <f t="shared" si="62"/>
        <v>0</v>
      </c>
      <c r="AE36">
        <f t="shared" si="63"/>
        <v>0</v>
      </c>
      <c r="AF36">
        <f t="shared" si="64"/>
        <v>0</v>
      </c>
      <c r="AG36">
        <f t="shared" si="40"/>
        <v>0</v>
      </c>
      <c r="AH36">
        <f t="shared" si="65"/>
        <v>0</v>
      </c>
      <c r="AI36">
        <f t="shared" si="66"/>
        <v>0</v>
      </c>
      <c r="AJ36">
        <f t="shared" si="41"/>
        <v>0</v>
      </c>
      <c r="AK36">
        <v>0</v>
      </c>
      <c r="AL36">
        <v>0</v>
      </c>
      <c r="AM36">
        <v>0</v>
      </c>
      <c r="AN36">
        <v>0</v>
      </c>
      <c r="AO36">
        <v>0</v>
      </c>
      <c r="AP36">
        <v>0</v>
      </c>
      <c r="AQ36">
        <v>0</v>
      </c>
      <c r="AR36">
        <v>0</v>
      </c>
      <c r="AS36">
        <v>0</v>
      </c>
      <c r="AT36">
        <v>70</v>
      </c>
      <c r="AU36">
        <v>10</v>
      </c>
      <c r="AV36">
        <v>1</v>
      </c>
      <c r="AW36">
        <v>1</v>
      </c>
      <c r="AZ36">
        <v>1</v>
      </c>
      <c r="BA36">
        <v>1</v>
      </c>
      <c r="BB36">
        <v>1</v>
      </c>
      <c r="BC36">
        <v>1</v>
      </c>
      <c r="BD36" t="s">
        <v>3</v>
      </c>
      <c r="BE36" t="s">
        <v>3</v>
      </c>
      <c r="BF36" t="s">
        <v>3</v>
      </c>
      <c r="BG36" t="s">
        <v>3</v>
      </c>
      <c r="BH36">
        <v>3</v>
      </c>
      <c r="BI36">
        <v>4</v>
      </c>
      <c r="BJ36" t="s">
        <v>3</v>
      </c>
      <c r="BM36">
        <v>0</v>
      </c>
      <c r="BN36">
        <v>77790596</v>
      </c>
      <c r="BO36" t="s">
        <v>3</v>
      </c>
      <c r="BP36">
        <v>0</v>
      </c>
      <c r="BQ36">
        <v>1</v>
      </c>
      <c r="BR36">
        <v>0</v>
      </c>
      <c r="BS36">
        <v>1</v>
      </c>
      <c r="BT36">
        <v>1</v>
      </c>
      <c r="BU36">
        <v>1</v>
      </c>
      <c r="BV36">
        <v>1</v>
      </c>
      <c r="BW36">
        <v>1</v>
      </c>
      <c r="BX36">
        <v>1</v>
      </c>
      <c r="BY36" t="s">
        <v>3</v>
      </c>
      <c r="BZ36">
        <v>70</v>
      </c>
      <c r="CA36">
        <v>10</v>
      </c>
      <c r="CB36" t="s">
        <v>3</v>
      </c>
      <c r="CE36">
        <v>0</v>
      </c>
      <c r="CF36">
        <v>0</v>
      </c>
      <c r="CG36">
        <v>0</v>
      </c>
      <c r="CM36">
        <v>0</v>
      </c>
      <c r="CN36" t="s">
        <v>3</v>
      </c>
      <c r="CO36">
        <v>0</v>
      </c>
      <c r="CP36">
        <f t="shared" si="42"/>
        <v>0</v>
      </c>
      <c r="CQ36">
        <f t="shared" si="43"/>
        <v>0</v>
      </c>
      <c r="CR36">
        <f t="shared" si="67"/>
        <v>0</v>
      </c>
      <c r="CS36">
        <f t="shared" si="44"/>
        <v>0</v>
      </c>
      <c r="CT36">
        <f t="shared" si="45"/>
        <v>0</v>
      </c>
      <c r="CU36">
        <f t="shared" si="46"/>
        <v>0</v>
      </c>
      <c r="CV36">
        <f t="shared" si="47"/>
        <v>0</v>
      </c>
      <c r="CW36">
        <f t="shared" si="48"/>
        <v>0</v>
      </c>
      <c r="CX36">
        <f t="shared" si="49"/>
        <v>0</v>
      </c>
      <c r="CY36">
        <f t="shared" si="50"/>
        <v>0</v>
      </c>
      <c r="CZ36">
        <f t="shared" si="51"/>
        <v>0</v>
      </c>
      <c r="DC36" t="s">
        <v>3</v>
      </c>
      <c r="DD36" t="s">
        <v>3</v>
      </c>
      <c r="DE36" t="s">
        <v>3</v>
      </c>
      <c r="DF36" t="s">
        <v>3</v>
      </c>
      <c r="DG36" t="s">
        <v>3</v>
      </c>
      <c r="DH36" t="s">
        <v>3</v>
      </c>
      <c r="DI36" t="s">
        <v>3</v>
      </c>
      <c r="DJ36" t="s">
        <v>3</v>
      </c>
      <c r="DK36" t="s">
        <v>3</v>
      </c>
      <c r="DL36" t="s">
        <v>3</v>
      </c>
      <c r="DM36" t="s">
        <v>3</v>
      </c>
      <c r="DN36">
        <v>0</v>
      </c>
      <c r="DO36">
        <v>0</v>
      </c>
      <c r="DP36">
        <v>1</v>
      </c>
      <c r="DQ36">
        <v>1</v>
      </c>
      <c r="DU36">
        <v>1010</v>
      </c>
      <c r="DV36" t="s">
        <v>29</v>
      </c>
      <c r="DW36" t="s">
        <v>29</v>
      </c>
      <c r="DX36">
        <v>1</v>
      </c>
      <c r="DZ36" t="s">
        <v>3</v>
      </c>
      <c r="EA36" t="s">
        <v>3</v>
      </c>
      <c r="EB36" t="s">
        <v>3</v>
      </c>
      <c r="EC36" t="s">
        <v>3</v>
      </c>
      <c r="EE36">
        <v>77790599</v>
      </c>
      <c r="EF36">
        <v>1</v>
      </c>
      <c r="EG36" t="s">
        <v>23</v>
      </c>
      <c r="EH36">
        <v>0</v>
      </c>
      <c r="EI36" t="s">
        <v>3</v>
      </c>
      <c r="EJ36">
        <v>4</v>
      </c>
      <c r="EK36">
        <v>0</v>
      </c>
      <c r="EL36" t="s">
        <v>24</v>
      </c>
      <c r="EM36" t="s">
        <v>25</v>
      </c>
      <c r="EO36" t="s">
        <v>3</v>
      </c>
      <c r="EQ36">
        <v>0</v>
      </c>
      <c r="ER36">
        <v>0</v>
      </c>
      <c r="ES36">
        <v>0</v>
      </c>
      <c r="ET36">
        <v>0</v>
      </c>
      <c r="EU36">
        <v>0</v>
      </c>
      <c r="EV36">
        <v>0</v>
      </c>
      <c r="EW36">
        <v>0</v>
      </c>
      <c r="EX36">
        <v>0</v>
      </c>
      <c r="FQ36">
        <v>0</v>
      </c>
      <c r="FR36">
        <f t="shared" si="52"/>
        <v>0</v>
      </c>
      <c r="FS36">
        <v>0</v>
      </c>
      <c r="FX36">
        <v>70</v>
      </c>
      <c r="FY36">
        <v>10</v>
      </c>
      <c r="GA36" t="s">
        <v>3</v>
      </c>
      <c r="GD36">
        <v>0</v>
      </c>
      <c r="GF36">
        <v>-1590809106</v>
      </c>
      <c r="GG36">
        <v>2</v>
      </c>
      <c r="GH36">
        <v>1</v>
      </c>
      <c r="GI36">
        <v>-2</v>
      </c>
      <c r="GJ36">
        <v>0</v>
      </c>
      <c r="GK36">
        <f>ROUND(R36*(R12)/100,2)</f>
        <v>0</v>
      </c>
      <c r="GL36">
        <f t="shared" si="53"/>
        <v>0</v>
      </c>
      <c r="GM36">
        <f t="shared" si="54"/>
        <v>0</v>
      </c>
      <c r="GN36">
        <f t="shared" si="55"/>
        <v>0</v>
      </c>
      <c r="GO36">
        <f t="shared" si="56"/>
        <v>0</v>
      </c>
      <c r="GP36">
        <f t="shared" si="57"/>
        <v>0</v>
      </c>
      <c r="GR36">
        <v>0</v>
      </c>
      <c r="GS36">
        <v>3</v>
      </c>
      <c r="GT36">
        <v>0</v>
      </c>
      <c r="GU36" t="s">
        <v>3</v>
      </c>
      <c r="GV36">
        <f t="shared" si="58"/>
        <v>0</v>
      </c>
      <c r="GW36">
        <v>1</v>
      </c>
      <c r="GX36">
        <f t="shared" si="59"/>
        <v>0</v>
      </c>
      <c r="HA36">
        <v>0</v>
      </c>
      <c r="HB36">
        <v>0</v>
      </c>
      <c r="HC36">
        <f t="shared" si="60"/>
        <v>0</v>
      </c>
      <c r="HE36" t="s">
        <v>3</v>
      </c>
      <c r="HF36" t="s">
        <v>3</v>
      </c>
      <c r="HM36" t="s">
        <v>21</v>
      </c>
      <c r="HN36" t="s">
        <v>3</v>
      </c>
      <c r="HO36" t="s">
        <v>3</v>
      </c>
      <c r="HP36" t="s">
        <v>3</v>
      </c>
      <c r="HQ36" t="s">
        <v>3</v>
      </c>
      <c r="IK36">
        <v>0</v>
      </c>
    </row>
    <row r="37" spans="1:245" x14ac:dyDescent="0.2">
      <c r="A37">
        <v>17</v>
      </c>
      <c r="B37">
        <v>1</v>
      </c>
      <c r="C37">
        <f>ROW(SmtRes!A26)</f>
        <v>26</v>
      </c>
      <c r="D37">
        <f>ROW(EtalonRes!A25)</f>
        <v>25</v>
      </c>
      <c r="E37" t="s">
        <v>40</v>
      </c>
      <c r="F37" t="s">
        <v>41</v>
      </c>
      <c r="G37" t="s">
        <v>42</v>
      </c>
      <c r="H37" t="s">
        <v>19</v>
      </c>
      <c r="I37">
        <v>0</v>
      </c>
      <c r="J37">
        <v>0</v>
      </c>
      <c r="K37">
        <v>0</v>
      </c>
      <c r="O37">
        <f t="shared" si="28"/>
        <v>0</v>
      </c>
      <c r="P37">
        <f t="shared" si="29"/>
        <v>0</v>
      </c>
      <c r="Q37">
        <f t="shared" si="30"/>
        <v>0</v>
      </c>
      <c r="R37">
        <f t="shared" si="31"/>
        <v>0</v>
      </c>
      <c r="S37">
        <f t="shared" si="32"/>
        <v>0</v>
      </c>
      <c r="T37">
        <f t="shared" si="33"/>
        <v>0</v>
      </c>
      <c r="U37">
        <f t="shared" si="34"/>
        <v>0</v>
      </c>
      <c r="V37">
        <f t="shared" si="35"/>
        <v>0</v>
      </c>
      <c r="W37">
        <f t="shared" si="36"/>
        <v>0</v>
      </c>
      <c r="X37">
        <f t="shared" si="37"/>
        <v>0</v>
      </c>
      <c r="Y37">
        <f t="shared" si="38"/>
        <v>0</v>
      </c>
      <c r="AA37">
        <v>78131199</v>
      </c>
      <c r="AB37">
        <f t="shared" si="39"/>
        <v>59944.69</v>
      </c>
      <c r="AC37">
        <f t="shared" si="61"/>
        <v>46751.93</v>
      </c>
      <c r="AD37">
        <f t="shared" si="62"/>
        <v>97.31</v>
      </c>
      <c r="AE37">
        <f t="shared" si="63"/>
        <v>0.12</v>
      </c>
      <c r="AF37">
        <f t="shared" si="64"/>
        <v>13095.45</v>
      </c>
      <c r="AG37">
        <f t="shared" si="40"/>
        <v>0</v>
      </c>
      <c r="AH37">
        <f t="shared" si="65"/>
        <v>38.76</v>
      </c>
      <c r="AI37">
        <f t="shared" si="66"/>
        <v>0</v>
      </c>
      <c r="AJ37">
        <f t="shared" si="41"/>
        <v>0</v>
      </c>
      <c r="AK37">
        <v>59944.69</v>
      </c>
      <c r="AL37">
        <v>46751.93</v>
      </c>
      <c r="AM37">
        <v>97.31</v>
      </c>
      <c r="AN37">
        <v>0.12</v>
      </c>
      <c r="AO37">
        <v>13095.45</v>
      </c>
      <c r="AP37">
        <v>0</v>
      </c>
      <c r="AQ37">
        <v>38.76</v>
      </c>
      <c r="AR37">
        <v>0</v>
      </c>
      <c r="AS37">
        <v>0</v>
      </c>
      <c r="AT37">
        <v>70</v>
      </c>
      <c r="AU37">
        <v>10</v>
      </c>
      <c r="AV37">
        <v>1</v>
      </c>
      <c r="AW37">
        <v>1</v>
      </c>
      <c r="AZ37">
        <v>1</v>
      </c>
      <c r="BA37">
        <v>1</v>
      </c>
      <c r="BB37">
        <v>1</v>
      </c>
      <c r="BC37">
        <v>1</v>
      </c>
      <c r="BD37" t="s">
        <v>3</v>
      </c>
      <c r="BE37" t="s">
        <v>3</v>
      </c>
      <c r="BF37" t="s">
        <v>3</v>
      </c>
      <c r="BG37" t="s">
        <v>3</v>
      </c>
      <c r="BH37">
        <v>0</v>
      </c>
      <c r="BI37">
        <v>4</v>
      </c>
      <c r="BJ37" t="s">
        <v>43</v>
      </c>
      <c r="BM37">
        <v>0</v>
      </c>
      <c r="BN37">
        <v>75457919</v>
      </c>
      <c r="BO37" t="s">
        <v>3</v>
      </c>
      <c r="BP37">
        <v>0</v>
      </c>
      <c r="BQ37">
        <v>1</v>
      </c>
      <c r="BR37">
        <v>0</v>
      </c>
      <c r="BS37">
        <v>1</v>
      </c>
      <c r="BT37">
        <v>1</v>
      </c>
      <c r="BU37">
        <v>1</v>
      </c>
      <c r="BV37">
        <v>1</v>
      </c>
      <c r="BW37">
        <v>1</v>
      </c>
      <c r="BX37">
        <v>1</v>
      </c>
      <c r="BY37" t="s">
        <v>3</v>
      </c>
      <c r="BZ37">
        <v>70</v>
      </c>
      <c r="CA37">
        <v>10</v>
      </c>
      <c r="CB37" t="s">
        <v>3</v>
      </c>
      <c r="CE37">
        <v>0</v>
      </c>
      <c r="CF37">
        <v>0</v>
      </c>
      <c r="CG37">
        <v>0</v>
      </c>
      <c r="CM37">
        <v>0</v>
      </c>
      <c r="CN37" t="s">
        <v>3</v>
      </c>
      <c r="CO37">
        <v>0</v>
      </c>
      <c r="CP37">
        <f t="shared" si="42"/>
        <v>0</v>
      </c>
      <c r="CQ37">
        <f t="shared" si="43"/>
        <v>46751.93</v>
      </c>
      <c r="CR37">
        <f t="shared" si="67"/>
        <v>97.31</v>
      </c>
      <c r="CS37">
        <f t="shared" si="44"/>
        <v>0.12</v>
      </c>
      <c r="CT37">
        <f t="shared" si="45"/>
        <v>13095.45</v>
      </c>
      <c r="CU37">
        <f t="shared" si="46"/>
        <v>0</v>
      </c>
      <c r="CV37">
        <f t="shared" si="47"/>
        <v>38.76</v>
      </c>
      <c r="CW37">
        <f t="shared" si="48"/>
        <v>0</v>
      </c>
      <c r="CX37">
        <f t="shared" si="49"/>
        <v>0</v>
      </c>
      <c r="CY37">
        <f t="shared" si="50"/>
        <v>0</v>
      </c>
      <c r="CZ37">
        <f t="shared" si="51"/>
        <v>0</v>
      </c>
      <c r="DC37" t="s">
        <v>3</v>
      </c>
      <c r="DD37" t="s">
        <v>3</v>
      </c>
      <c r="DE37" t="s">
        <v>3</v>
      </c>
      <c r="DF37" t="s">
        <v>3</v>
      </c>
      <c r="DG37" t="s">
        <v>3</v>
      </c>
      <c r="DH37" t="s">
        <v>3</v>
      </c>
      <c r="DI37" t="s">
        <v>3</v>
      </c>
      <c r="DJ37" t="s">
        <v>3</v>
      </c>
      <c r="DK37" t="s">
        <v>3</v>
      </c>
      <c r="DL37" t="s">
        <v>3</v>
      </c>
      <c r="DM37" t="s">
        <v>3</v>
      </c>
      <c r="DN37">
        <v>0</v>
      </c>
      <c r="DO37">
        <v>0</v>
      </c>
      <c r="DP37">
        <v>1</v>
      </c>
      <c r="DQ37">
        <v>1</v>
      </c>
      <c r="DU37">
        <v>1003</v>
      </c>
      <c r="DV37" t="s">
        <v>19</v>
      </c>
      <c r="DW37" t="s">
        <v>19</v>
      </c>
      <c r="DX37">
        <v>100</v>
      </c>
      <c r="DZ37" t="s">
        <v>3</v>
      </c>
      <c r="EA37" t="s">
        <v>3</v>
      </c>
      <c r="EB37" t="s">
        <v>3</v>
      </c>
      <c r="EC37" t="s">
        <v>3</v>
      </c>
      <c r="EE37">
        <v>77790599</v>
      </c>
      <c r="EF37">
        <v>1</v>
      </c>
      <c r="EG37" t="s">
        <v>23</v>
      </c>
      <c r="EH37">
        <v>0</v>
      </c>
      <c r="EI37" t="s">
        <v>3</v>
      </c>
      <c r="EJ37">
        <v>4</v>
      </c>
      <c r="EK37">
        <v>0</v>
      </c>
      <c r="EL37" t="s">
        <v>24</v>
      </c>
      <c r="EM37" t="s">
        <v>25</v>
      </c>
      <c r="EO37" t="s">
        <v>3</v>
      </c>
      <c r="EQ37">
        <v>131072</v>
      </c>
      <c r="ER37">
        <v>59944.69</v>
      </c>
      <c r="ES37">
        <v>46751.93</v>
      </c>
      <c r="ET37">
        <v>97.31</v>
      </c>
      <c r="EU37">
        <v>0.12</v>
      </c>
      <c r="EV37">
        <v>13095.45</v>
      </c>
      <c r="EW37">
        <v>38.76</v>
      </c>
      <c r="EX37">
        <v>0</v>
      </c>
      <c r="EY37">
        <v>0</v>
      </c>
      <c r="FQ37">
        <v>0</v>
      </c>
      <c r="FR37">
        <f t="shared" si="52"/>
        <v>0</v>
      </c>
      <c r="FS37">
        <v>0</v>
      </c>
      <c r="FX37">
        <v>70</v>
      </c>
      <c r="FY37">
        <v>10</v>
      </c>
      <c r="GA37" t="s">
        <v>3</v>
      </c>
      <c r="GD37">
        <v>0</v>
      </c>
      <c r="GF37">
        <v>670841763</v>
      </c>
      <c r="GG37">
        <v>2</v>
      </c>
      <c r="GH37">
        <v>0</v>
      </c>
      <c r="GI37">
        <v>-2</v>
      </c>
      <c r="GJ37">
        <v>0</v>
      </c>
      <c r="GK37">
        <f>ROUND(R37*(R12)/100,2)</f>
        <v>0</v>
      </c>
      <c r="GL37">
        <f t="shared" si="53"/>
        <v>0</v>
      </c>
      <c r="GM37">
        <f t="shared" si="54"/>
        <v>0</v>
      </c>
      <c r="GN37">
        <f t="shared" si="55"/>
        <v>0</v>
      </c>
      <c r="GO37">
        <f t="shared" si="56"/>
        <v>0</v>
      </c>
      <c r="GP37">
        <f t="shared" si="57"/>
        <v>0</v>
      </c>
      <c r="GR37">
        <v>0</v>
      </c>
      <c r="GS37">
        <v>7</v>
      </c>
      <c r="GT37">
        <v>0</v>
      </c>
      <c r="GU37" t="s">
        <v>3</v>
      </c>
      <c r="GV37">
        <f t="shared" si="58"/>
        <v>0</v>
      </c>
      <c r="GW37">
        <v>1</v>
      </c>
      <c r="GX37">
        <f t="shared" si="59"/>
        <v>0</v>
      </c>
      <c r="HA37">
        <v>0</v>
      </c>
      <c r="HB37">
        <v>0</v>
      </c>
      <c r="HC37">
        <f t="shared" si="60"/>
        <v>0</v>
      </c>
      <c r="HE37" t="s">
        <v>3</v>
      </c>
      <c r="HF37" t="s">
        <v>3</v>
      </c>
      <c r="HM37" t="s">
        <v>3</v>
      </c>
      <c r="HN37" t="s">
        <v>3</v>
      </c>
      <c r="HO37" t="s">
        <v>3</v>
      </c>
      <c r="HP37" t="s">
        <v>3</v>
      </c>
      <c r="HQ37" t="s">
        <v>3</v>
      </c>
      <c r="IK37">
        <v>0</v>
      </c>
    </row>
    <row r="38" spans="1:245" x14ac:dyDescent="0.2">
      <c r="A38">
        <v>18</v>
      </c>
      <c r="B38">
        <v>1</v>
      </c>
      <c r="C38">
        <v>22</v>
      </c>
      <c r="E38" t="s">
        <v>44</v>
      </c>
      <c r="F38" t="s">
        <v>45</v>
      </c>
      <c r="G38" t="s">
        <v>46</v>
      </c>
      <c r="H38" t="s">
        <v>29</v>
      </c>
      <c r="I38">
        <f>I37*J38</f>
        <v>0</v>
      </c>
      <c r="J38">
        <v>7.1428570000000002</v>
      </c>
      <c r="K38">
        <v>7.1428570000000002</v>
      </c>
      <c r="O38">
        <f t="shared" si="28"/>
        <v>0</v>
      </c>
      <c r="P38">
        <f t="shared" si="29"/>
        <v>0</v>
      </c>
      <c r="Q38">
        <f t="shared" si="30"/>
        <v>0</v>
      </c>
      <c r="R38">
        <f t="shared" si="31"/>
        <v>0</v>
      </c>
      <c r="S38">
        <f t="shared" si="32"/>
        <v>0</v>
      </c>
      <c r="T38">
        <f t="shared" si="33"/>
        <v>0</v>
      </c>
      <c r="U38">
        <f t="shared" si="34"/>
        <v>0</v>
      </c>
      <c r="V38">
        <f t="shared" si="35"/>
        <v>0</v>
      </c>
      <c r="W38">
        <f t="shared" si="36"/>
        <v>0</v>
      </c>
      <c r="X38">
        <f t="shared" si="37"/>
        <v>0</v>
      </c>
      <c r="Y38">
        <f t="shared" si="38"/>
        <v>0</v>
      </c>
      <c r="AA38">
        <v>78131199</v>
      </c>
      <c r="AB38">
        <f t="shared" si="39"/>
        <v>148.13999999999999</v>
      </c>
      <c r="AC38">
        <f t="shared" si="61"/>
        <v>148.13999999999999</v>
      </c>
      <c r="AD38">
        <f t="shared" si="62"/>
        <v>0</v>
      </c>
      <c r="AE38">
        <f t="shared" si="63"/>
        <v>0</v>
      </c>
      <c r="AF38">
        <f t="shared" si="64"/>
        <v>0</v>
      </c>
      <c r="AG38">
        <f t="shared" si="40"/>
        <v>0</v>
      </c>
      <c r="AH38">
        <f t="shared" si="65"/>
        <v>0</v>
      </c>
      <c r="AI38">
        <f t="shared" si="66"/>
        <v>0</v>
      </c>
      <c r="AJ38">
        <f t="shared" si="41"/>
        <v>0</v>
      </c>
      <c r="AK38">
        <v>148.13999999999999</v>
      </c>
      <c r="AL38">
        <v>148.13999999999999</v>
      </c>
      <c r="AM38">
        <v>0</v>
      </c>
      <c r="AN38">
        <v>0</v>
      </c>
      <c r="AO38">
        <v>0</v>
      </c>
      <c r="AP38">
        <v>0</v>
      </c>
      <c r="AQ38">
        <v>0</v>
      </c>
      <c r="AR38">
        <v>0</v>
      </c>
      <c r="AS38">
        <v>0</v>
      </c>
      <c r="AT38">
        <v>70</v>
      </c>
      <c r="AU38">
        <v>10</v>
      </c>
      <c r="AV38">
        <v>1</v>
      </c>
      <c r="AW38">
        <v>1</v>
      </c>
      <c r="AZ38">
        <v>1</v>
      </c>
      <c r="BA38">
        <v>1</v>
      </c>
      <c r="BB38">
        <v>1</v>
      </c>
      <c r="BC38">
        <v>1</v>
      </c>
      <c r="BD38" t="s">
        <v>3</v>
      </c>
      <c r="BE38" t="s">
        <v>3</v>
      </c>
      <c r="BF38" t="s">
        <v>3</v>
      </c>
      <c r="BG38" t="s">
        <v>3</v>
      </c>
      <c r="BH38">
        <v>3</v>
      </c>
      <c r="BI38">
        <v>4</v>
      </c>
      <c r="BJ38" t="s">
        <v>47</v>
      </c>
      <c r="BM38">
        <v>0</v>
      </c>
      <c r="BN38">
        <v>77790596</v>
      </c>
      <c r="BO38" t="s">
        <v>3</v>
      </c>
      <c r="BP38">
        <v>0</v>
      </c>
      <c r="BQ38">
        <v>1</v>
      </c>
      <c r="BR38">
        <v>0</v>
      </c>
      <c r="BS38">
        <v>1</v>
      </c>
      <c r="BT38">
        <v>1</v>
      </c>
      <c r="BU38">
        <v>1</v>
      </c>
      <c r="BV38">
        <v>1</v>
      </c>
      <c r="BW38">
        <v>1</v>
      </c>
      <c r="BX38">
        <v>1</v>
      </c>
      <c r="BY38" t="s">
        <v>3</v>
      </c>
      <c r="BZ38">
        <v>70</v>
      </c>
      <c r="CA38">
        <v>10</v>
      </c>
      <c r="CB38" t="s">
        <v>3</v>
      </c>
      <c r="CE38">
        <v>0</v>
      </c>
      <c r="CF38">
        <v>0</v>
      </c>
      <c r="CG38">
        <v>0</v>
      </c>
      <c r="CM38">
        <v>0</v>
      </c>
      <c r="CN38" t="s">
        <v>3</v>
      </c>
      <c r="CO38">
        <v>0</v>
      </c>
      <c r="CP38">
        <f t="shared" si="42"/>
        <v>0</v>
      </c>
      <c r="CQ38">
        <f t="shared" si="43"/>
        <v>148.13999999999999</v>
      </c>
      <c r="CR38">
        <f t="shared" si="67"/>
        <v>0</v>
      </c>
      <c r="CS38">
        <f t="shared" si="44"/>
        <v>0</v>
      </c>
      <c r="CT38">
        <f t="shared" si="45"/>
        <v>0</v>
      </c>
      <c r="CU38">
        <f t="shared" si="46"/>
        <v>0</v>
      </c>
      <c r="CV38">
        <f t="shared" si="47"/>
        <v>0</v>
      </c>
      <c r="CW38">
        <f t="shared" si="48"/>
        <v>0</v>
      </c>
      <c r="CX38">
        <f t="shared" si="49"/>
        <v>0</v>
      </c>
      <c r="CY38">
        <f t="shared" si="50"/>
        <v>0</v>
      </c>
      <c r="CZ38">
        <f t="shared" si="51"/>
        <v>0</v>
      </c>
      <c r="DC38" t="s">
        <v>3</v>
      </c>
      <c r="DD38" t="s">
        <v>3</v>
      </c>
      <c r="DE38" t="s">
        <v>3</v>
      </c>
      <c r="DF38" t="s">
        <v>3</v>
      </c>
      <c r="DG38" t="s">
        <v>3</v>
      </c>
      <c r="DH38" t="s">
        <v>3</v>
      </c>
      <c r="DI38" t="s">
        <v>3</v>
      </c>
      <c r="DJ38" t="s">
        <v>3</v>
      </c>
      <c r="DK38" t="s">
        <v>3</v>
      </c>
      <c r="DL38" t="s">
        <v>3</v>
      </c>
      <c r="DM38" t="s">
        <v>3</v>
      </c>
      <c r="DN38">
        <v>0</v>
      </c>
      <c r="DO38">
        <v>0</v>
      </c>
      <c r="DP38">
        <v>1</v>
      </c>
      <c r="DQ38">
        <v>1</v>
      </c>
      <c r="DU38">
        <v>1010</v>
      </c>
      <c r="DV38" t="s">
        <v>29</v>
      </c>
      <c r="DW38" t="s">
        <v>29</v>
      </c>
      <c r="DX38">
        <v>1</v>
      </c>
      <c r="DZ38" t="s">
        <v>3</v>
      </c>
      <c r="EA38" t="s">
        <v>3</v>
      </c>
      <c r="EB38" t="s">
        <v>3</v>
      </c>
      <c r="EC38" t="s">
        <v>3</v>
      </c>
      <c r="EE38">
        <v>77790599</v>
      </c>
      <c r="EF38">
        <v>1</v>
      </c>
      <c r="EG38" t="s">
        <v>23</v>
      </c>
      <c r="EH38">
        <v>0</v>
      </c>
      <c r="EI38" t="s">
        <v>3</v>
      </c>
      <c r="EJ38">
        <v>4</v>
      </c>
      <c r="EK38">
        <v>0</v>
      </c>
      <c r="EL38" t="s">
        <v>24</v>
      </c>
      <c r="EM38" t="s">
        <v>25</v>
      </c>
      <c r="EO38" t="s">
        <v>3</v>
      </c>
      <c r="EQ38">
        <v>0</v>
      </c>
      <c r="ER38">
        <v>148.13999999999999</v>
      </c>
      <c r="ES38">
        <v>148.13999999999999</v>
      </c>
      <c r="ET38">
        <v>0</v>
      </c>
      <c r="EU38">
        <v>0</v>
      </c>
      <c r="EV38">
        <v>0</v>
      </c>
      <c r="EW38">
        <v>0</v>
      </c>
      <c r="EX38">
        <v>0</v>
      </c>
      <c r="FQ38">
        <v>0</v>
      </c>
      <c r="FR38">
        <f t="shared" si="52"/>
        <v>0</v>
      </c>
      <c r="FS38">
        <v>0</v>
      </c>
      <c r="FX38">
        <v>70</v>
      </c>
      <c r="FY38">
        <v>10</v>
      </c>
      <c r="GA38" t="s">
        <v>3</v>
      </c>
      <c r="GD38">
        <v>0</v>
      </c>
      <c r="GF38">
        <v>1965755675</v>
      </c>
      <c r="GG38">
        <v>2</v>
      </c>
      <c r="GH38">
        <v>1</v>
      </c>
      <c r="GI38">
        <v>-2</v>
      </c>
      <c r="GJ38">
        <v>0</v>
      </c>
      <c r="GK38">
        <f>ROUND(R38*(R12)/100,2)</f>
        <v>0</v>
      </c>
      <c r="GL38">
        <f t="shared" si="53"/>
        <v>0</v>
      </c>
      <c r="GM38">
        <f t="shared" si="54"/>
        <v>0</v>
      </c>
      <c r="GN38">
        <f t="shared" si="55"/>
        <v>0</v>
      </c>
      <c r="GO38">
        <f t="shared" si="56"/>
        <v>0</v>
      </c>
      <c r="GP38">
        <f t="shared" si="57"/>
        <v>0</v>
      </c>
      <c r="GR38">
        <v>0</v>
      </c>
      <c r="GS38">
        <v>3</v>
      </c>
      <c r="GT38">
        <v>0</v>
      </c>
      <c r="GU38" t="s">
        <v>3</v>
      </c>
      <c r="GV38">
        <f t="shared" si="58"/>
        <v>0</v>
      </c>
      <c r="GW38">
        <v>1</v>
      </c>
      <c r="GX38">
        <f t="shared" si="59"/>
        <v>0</v>
      </c>
      <c r="HA38">
        <v>0</v>
      </c>
      <c r="HB38">
        <v>0</v>
      </c>
      <c r="HC38">
        <f t="shared" si="60"/>
        <v>0</v>
      </c>
      <c r="HE38" t="s">
        <v>3</v>
      </c>
      <c r="HF38" t="s">
        <v>3</v>
      </c>
      <c r="HM38" t="s">
        <v>3</v>
      </c>
      <c r="HN38" t="s">
        <v>3</v>
      </c>
      <c r="HO38" t="s">
        <v>3</v>
      </c>
      <c r="HP38" t="s">
        <v>3</v>
      </c>
      <c r="HQ38" t="s">
        <v>3</v>
      </c>
      <c r="IK38">
        <v>0</v>
      </c>
    </row>
    <row r="39" spans="1:245" x14ac:dyDescent="0.2">
      <c r="A39">
        <v>17</v>
      </c>
      <c r="B39">
        <v>1</v>
      </c>
      <c r="C39">
        <f>ROW(SmtRes!A42)</f>
        <v>42</v>
      </c>
      <c r="D39">
        <f>ROW(EtalonRes!A38)</f>
        <v>38</v>
      </c>
      <c r="E39" t="s">
        <v>48</v>
      </c>
      <c r="F39" t="s">
        <v>17</v>
      </c>
      <c r="G39" t="s">
        <v>18</v>
      </c>
      <c r="H39" t="s">
        <v>19</v>
      </c>
      <c r="I39">
        <v>0</v>
      </c>
      <c r="J39">
        <v>0</v>
      </c>
      <c r="K39">
        <v>0</v>
      </c>
      <c r="O39">
        <f t="shared" si="28"/>
        <v>0</v>
      </c>
      <c r="P39">
        <f t="shared" si="29"/>
        <v>0</v>
      </c>
      <c r="Q39">
        <f t="shared" si="30"/>
        <v>0</v>
      </c>
      <c r="R39">
        <f t="shared" si="31"/>
        <v>0</v>
      </c>
      <c r="S39">
        <f t="shared" si="32"/>
        <v>0</v>
      </c>
      <c r="T39">
        <f t="shared" si="33"/>
        <v>0</v>
      </c>
      <c r="U39">
        <f t="shared" si="34"/>
        <v>0</v>
      </c>
      <c r="V39">
        <f t="shared" si="35"/>
        <v>0</v>
      </c>
      <c r="W39">
        <f t="shared" si="36"/>
        <v>0</v>
      </c>
      <c r="X39">
        <f t="shared" si="37"/>
        <v>0</v>
      </c>
      <c r="Y39">
        <f t="shared" si="38"/>
        <v>0</v>
      </c>
      <c r="AA39">
        <v>78131199</v>
      </c>
      <c r="AB39">
        <f t="shared" si="39"/>
        <v>103440.09</v>
      </c>
      <c r="AC39">
        <f t="shared" si="61"/>
        <v>1665.94</v>
      </c>
      <c r="AD39">
        <f t="shared" si="62"/>
        <v>19574.73</v>
      </c>
      <c r="AE39">
        <f t="shared" si="63"/>
        <v>16916.64</v>
      </c>
      <c r="AF39">
        <f t="shared" si="64"/>
        <v>82199.42</v>
      </c>
      <c r="AG39">
        <f t="shared" si="40"/>
        <v>0</v>
      </c>
      <c r="AH39">
        <f t="shared" si="65"/>
        <v>188.6</v>
      </c>
      <c r="AI39">
        <f t="shared" si="66"/>
        <v>0</v>
      </c>
      <c r="AJ39">
        <f t="shared" si="41"/>
        <v>0</v>
      </c>
      <c r="AK39">
        <v>103440.09</v>
      </c>
      <c r="AL39">
        <v>1665.94</v>
      </c>
      <c r="AM39">
        <v>19574.73</v>
      </c>
      <c r="AN39">
        <v>16916.64</v>
      </c>
      <c r="AO39">
        <v>82199.42</v>
      </c>
      <c r="AP39">
        <v>0</v>
      </c>
      <c r="AQ39">
        <v>188.6</v>
      </c>
      <c r="AR39">
        <v>0</v>
      </c>
      <c r="AS39">
        <v>0</v>
      </c>
      <c r="AT39">
        <v>70</v>
      </c>
      <c r="AU39">
        <v>10</v>
      </c>
      <c r="AV39">
        <v>1</v>
      </c>
      <c r="AW39">
        <v>1</v>
      </c>
      <c r="AZ39">
        <v>1</v>
      </c>
      <c r="BA39">
        <v>1</v>
      </c>
      <c r="BB39">
        <v>1</v>
      </c>
      <c r="BC39">
        <v>1</v>
      </c>
      <c r="BD39" t="s">
        <v>3</v>
      </c>
      <c r="BE39" t="s">
        <v>3</v>
      </c>
      <c r="BF39" t="s">
        <v>3</v>
      </c>
      <c r="BG39" t="s">
        <v>3</v>
      </c>
      <c r="BH39">
        <v>0</v>
      </c>
      <c r="BI39">
        <v>4</v>
      </c>
      <c r="BJ39" t="s">
        <v>20</v>
      </c>
      <c r="BM39">
        <v>0</v>
      </c>
      <c r="BN39">
        <v>77790596</v>
      </c>
      <c r="BO39" t="s">
        <v>3</v>
      </c>
      <c r="BP39">
        <v>0</v>
      </c>
      <c r="BQ39">
        <v>1</v>
      </c>
      <c r="BR39">
        <v>0</v>
      </c>
      <c r="BS39">
        <v>1</v>
      </c>
      <c r="BT39">
        <v>1</v>
      </c>
      <c r="BU39">
        <v>1</v>
      </c>
      <c r="BV39">
        <v>1</v>
      </c>
      <c r="BW39">
        <v>1</v>
      </c>
      <c r="BX39">
        <v>1</v>
      </c>
      <c r="BY39" t="s">
        <v>3</v>
      </c>
      <c r="BZ39">
        <v>70</v>
      </c>
      <c r="CA39">
        <v>10</v>
      </c>
      <c r="CB39" t="s">
        <v>3</v>
      </c>
      <c r="CE39">
        <v>0</v>
      </c>
      <c r="CF39">
        <v>0</v>
      </c>
      <c r="CG39">
        <v>0</v>
      </c>
      <c r="CM39">
        <v>0</v>
      </c>
      <c r="CN39" t="s">
        <v>3</v>
      </c>
      <c r="CO39">
        <v>0</v>
      </c>
      <c r="CP39">
        <f t="shared" si="42"/>
        <v>0</v>
      </c>
      <c r="CQ39">
        <f t="shared" si="43"/>
        <v>1665.94</v>
      </c>
      <c r="CR39">
        <f t="shared" si="67"/>
        <v>19574.73</v>
      </c>
      <c r="CS39">
        <f t="shared" si="44"/>
        <v>16916.64</v>
      </c>
      <c r="CT39">
        <f t="shared" si="45"/>
        <v>82199.42</v>
      </c>
      <c r="CU39">
        <f t="shared" si="46"/>
        <v>0</v>
      </c>
      <c r="CV39">
        <f t="shared" si="47"/>
        <v>188.6</v>
      </c>
      <c r="CW39">
        <f t="shared" si="48"/>
        <v>0</v>
      </c>
      <c r="CX39">
        <f t="shared" si="49"/>
        <v>0</v>
      </c>
      <c r="CY39">
        <f t="shared" si="50"/>
        <v>0</v>
      </c>
      <c r="CZ39">
        <f t="shared" si="51"/>
        <v>0</v>
      </c>
      <c r="DC39" t="s">
        <v>3</v>
      </c>
      <c r="DD39" t="s">
        <v>3</v>
      </c>
      <c r="DE39" t="s">
        <v>3</v>
      </c>
      <c r="DF39" t="s">
        <v>3</v>
      </c>
      <c r="DG39" t="s">
        <v>3</v>
      </c>
      <c r="DH39" t="s">
        <v>3</v>
      </c>
      <c r="DI39" t="s">
        <v>3</v>
      </c>
      <c r="DJ39" t="s">
        <v>3</v>
      </c>
      <c r="DK39" t="s">
        <v>3</v>
      </c>
      <c r="DL39" t="s">
        <v>3</v>
      </c>
      <c r="DM39" t="s">
        <v>3</v>
      </c>
      <c r="DN39">
        <v>0</v>
      </c>
      <c r="DO39">
        <v>0</v>
      </c>
      <c r="DP39">
        <v>1</v>
      </c>
      <c r="DQ39">
        <v>1</v>
      </c>
      <c r="DU39">
        <v>1003</v>
      </c>
      <c r="DV39" t="s">
        <v>19</v>
      </c>
      <c r="DW39" t="s">
        <v>19</v>
      </c>
      <c r="DX39">
        <v>100</v>
      </c>
      <c r="DZ39" t="s">
        <v>3</v>
      </c>
      <c r="EA39" t="s">
        <v>3</v>
      </c>
      <c r="EB39" t="s">
        <v>3</v>
      </c>
      <c r="EC39" t="s">
        <v>3</v>
      </c>
      <c r="EE39">
        <v>77790599</v>
      </c>
      <c r="EF39">
        <v>1</v>
      </c>
      <c r="EG39" t="s">
        <v>23</v>
      </c>
      <c r="EH39">
        <v>0</v>
      </c>
      <c r="EI39" t="s">
        <v>3</v>
      </c>
      <c r="EJ39">
        <v>4</v>
      </c>
      <c r="EK39">
        <v>0</v>
      </c>
      <c r="EL39" t="s">
        <v>24</v>
      </c>
      <c r="EM39" t="s">
        <v>25</v>
      </c>
      <c r="EO39" t="s">
        <v>3</v>
      </c>
      <c r="EQ39">
        <v>131072</v>
      </c>
      <c r="ER39">
        <v>103440.09</v>
      </c>
      <c r="ES39">
        <v>1665.94</v>
      </c>
      <c r="ET39">
        <v>19574.73</v>
      </c>
      <c r="EU39">
        <v>16916.64</v>
      </c>
      <c r="EV39">
        <v>82199.42</v>
      </c>
      <c r="EW39">
        <v>188.6</v>
      </c>
      <c r="EX39">
        <v>0</v>
      </c>
      <c r="EY39">
        <v>0</v>
      </c>
      <c r="FQ39">
        <v>0</v>
      </c>
      <c r="FR39">
        <f t="shared" si="52"/>
        <v>0</v>
      </c>
      <c r="FS39">
        <v>0</v>
      </c>
      <c r="FX39">
        <v>70</v>
      </c>
      <c r="FY39">
        <v>10</v>
      </c>
      <c r="GA39" t="s">
        <v>3</v>
      </c>
      <c r="GD39">
        <v>0</v>
      </c>
      <c r="GF39">
        <v>-45040893</v>
      </c>
      <c r="GG39">
        <v>2</v>
      </c>
      <c r="GH39">
        <v>1</v>
      </c>
      <c r="GI39">
        <v>-2</v>
      </c>
      <c r="GJ39">
        <v>0</v>
      </c>
      <c r="GK39">
        <f>ROUND(R39*(R12)/100,2)</f>
        <v>0</v>
      </c>
      <c r="GL39">
        <f t="shared" si="53"/>
        <v>0</v>
      </c>
      <c r="GM39">
        <f t="shared" si="54"/>
        <v>0</v>
      </c>
      <c r="GN39">
        <f t="shared" si="55"/>
        <v>0</v>
      </c>
      <c r="GO39">
        <f t="shared" si="56"/>
        <v>0</v>
      </c>
      <c r="GP39">
        <f t="shared" si="57"/>
        <v>0</v>
      </c>
      <c r="GR39">
        <v>0</v>
      </c>
      <c r="GS39">
        <v>3</v>
      </c>
      <c r="GT39">
        <v>0</v>
      </c>
      <c r="GU39" t="s">
        <v>3</v>
      </c>
      <c r="GV39">
        <f t="shared" si="58"/>
        <v>0</v>
      </c>
      <c r="GW39">
        <v>1</v>
      </c>
      <c r="GX39">
        <f t="shared" si="59"/>
        <v>0</v>
      </c>
      <c r="HA39">
        <v>0</v>
      </c>
      <c r="HB39">
        <v>0</v>
      </c>
      <c r="HC39">
        <f t="shared" si="60"/>
        <v>0</v>
      </c>
      <c r="HE39" t="s">
        <v>3</v>
      </c>
      <c r="HF39" t="s">
        <v>3</v>
      </c>
      <c r="HM39" t="s">
        <v>3</v>
      </c>
      <c r="HN39" t="s">
        <v>3</v>
      </c>
      <c r="HO39" t="s">
        <v>3</v>
      </c>
      <c r="HP39" t="s">
        <v>3</v>
      </c>
      <c r="HQ39" t="s">
        <v>3</v>
      </c>
      <c r="IK39">
        <v>0</v>
      </c>
    </row>
    <row r="40" spans="1:245" x14ac:dyDescent="0.2">
      <c r="A40">
        <v>18</v>
      </c>
      <c r="B40">
        <v>1</v>
      </c>
      <c r="C40">
        <v>29</v>
      </c>
      <c r="E40" t="s">
        <v>49</v>
      </c>
      <c r="F40" t="s">
        <v>27</v>
      </c>
      <c r="G40" t="s">
        <v>28</v>
      </c>
      <c r="H40" t="s">
        <v>29</v>
      </c>
      <c r="I40">
        <f>I39*J40</f>
        <v>0</v>
      </c>
      <c r="J40">
        <v>0</v>
      </c>
      <c r="K40">
        <v>0</v>
      </c>
      <c r="O40">
        <f t="shared" si="28"/>
        <v>0</v>
      </c>
      <c r="P40">
        <f t="shared" si="29"/>
        <v>0</v>
      </c>
      <c r="Q40">
        <f t="shared" si="30"/>
        <v>0</v>
      </c>
      <c r="R40">
        <f t="shared" si="31"/>
        <v>0</v>
      </c>
      <c r="S40">
        <f t="shared" si="32"/>
        <v>0</v>
      </c>
      <c r="T40">
        <f t="shared" si="33"/>
        <v>0</v>
      </c>
      <c r="U40">
        <f t="shared" si="34"/>
        <v>0</v>
      </c>
      <c r="V40">
        <f t="shared" si="35"/>
        <v>0</v>
      </c>
      <c r="W40">
        <f t="shared" si="36"/>
        <v>0</v>
      </c>
      <c r="X40">
        <f t="shared" si="37"/>
        <v>0</v>
      </c>
      <c r="Y40">
        <f t="shared" si="38"/>
        <v>0</v>
      </c>
      <c r="AA40">
        <v>78131199</v>
      </c>
      <c r="AB40">
        <f t="shared" si="39"/>
        <v>0</v>
      </c>
      <c r="AC40">
        <f t="shared" si="61"/>
        <v>0</v>
      </c>
      <c r="AD40">
        <f t="shared" si="62"/>
        <v>0</v>
      </c>
      <c r="AE40">
        <f t="shared" si="63"/>
        <v>0</v>
      </c>
      <c r="AF40">
        <f t="shared" si="64"/>
        <v>0</v>
      </c>
      <c r="AG40">
        <f t="shared" si="40"/>
        <v>0</v>
      </c>
      <c r="AH40">
        <f t="shared" si="65"/>
        <v>0</v>
      </c>
      <c r="AI40">
        <f t="shared" si="66"/>
        <v>0</v>
      </c>
      <c r="AJ40">
        <f t="shared" si="41"/>
        <v>0</v>
      </c>
      <c r="AK40">
        <v>0</v>
      </c>
      <c r="AL40">
        <v>0</v>
      </c>
      <c r="AM40">
        <v>0</v>
      </c>
      <c r="AN40">
        <v>0</v>
      </c>
      <c r="AO40">
        <v>0</v>
      </c>
      <c r="AP40">
        <v>0</v>
      </c>
      <c r="AQ40">
        <v>0</v>
      </c>
      <c r="AR40">
        <v>0</v>
      </c>
      <c r="AS40">
        <v>0</v>
      </c>
      <c r="AT40">
        <v>70</v>
      </c>
      <c r="AU40">
        <v>10</v>
      </c>
      <c r="AV40">
        <v>1</v>
      </c>
      <c r="AW40">
        <v>1</v>
      </c>
      <c r="AZ40">
        <v>1</v>
      </c>
      <c r="BA40">
        <v>1</v>
      </c>
      <c r="BB40">
        <v>1</v>
      </c>
      <c r="BC40">
        <v>1</v>
      </c>
      <c r="BD40" t="s">
        <v>3</v>
      </c>
      <c r="BE40" t="s">
        <v>3</v>
      </c>
      <c r="BF40" t="s">
        <v>3</v>
      </c>
      <c r="BG40" t="s">
        <v>3</v>
      </c>
      <c r="BH40">
        <v>3</v>
      </c>
      <c r="BI40">
        <v>4</v>
      </c>
      <c r="BJ40" t="s">
        <v>3</v>
      </c>
      <c r="BM40">
        <v>0</v>
      </c>
      <c r="BN40">
        <v>77790596</v>
      </c>
      <c r="BO40" t="s">
        <v>3</v>
      </c>
      <c r="BP40">
        <v>0</v>
      </c>
      <c r="BQ40">
        <v>1</v>
      </c>
      <c r="BR40">
        <v>0</v>
      </c>
      <c r="BS40">
        <v>1</v>
      </c>
      <c r="BT40">
        <v>1</v>
      </c>
      <c r="BU40">
        <v>1</v>
      </c>
      <c r="BV40">
        <v>1</v>
      </c>
      <c r="BW40">
        <v>1</v>
      </c>
      <c r="BX40">
        <v>1</v>
      </c>
      <c r="BY40" t="s">
        <v>3</v>
      </c>
      <c r="BZ40">
        <v>70</v>
      </c>
      <c r="CA40">
        <v>10</v>
      </c>
      <c r="CB40" t="s">
        <v>3</v>
      </c>
      <c r="CE40">
        <v>0</v>
      </c>
      <c r="CF40">
        <v>0</v>
      </c>
      <c r="CG40">
        <v>0</v>
      </c>
      <c r="CM40">
        <v>0</v>
      </c>
      <c r="CN40" t="s">
        <v>3</v>
      </c>
      <c r="CO40">
        <v>0</v>
      </c>
      <c r="CP40">
        <f t="shared" si="42"/>
        <v>0</v>
      </c>
      <c r="CQ40">
        <f t="shared" si="43"/>
        <v>0</v>
      </c>
      <c r="CR40">
        <f t="shared" si="67"/>
        <v>0</v>
      </c>
      <c r="CS40">
        <f t="shared" si="44"/>
        <v>0</v>
      </c>
      <c r="CT40">
        <f t="shared" si="45"/>
        <v>0</v>
      </c>
      <c r="CU40">
        <f t="shared" si="46"/>
        <v>0</v>
      </c>
      <c r="CV40">
        <f t="shared" si="47"/>
        <v>0</v>
      </c>
      <c r="CW40">
        <f t="shared" si="48"/>
        <v>0</v>
      </c>
      <c r="CX40">
        <f t="shared" si="49"/>
        <v>0</v>
      </c>
      <c r="CY40">
        <f t="shared" si="50"/>
        <v>0</v>
      </c>
      <c r="CZ40">
        <f t="shared" si="51"/>
        <v>0</v>
      </c>
      <c r="DC40" t="s">
        <v>3</v>
      </c>
      <c r="DD40" t="s">
        <v>3</v>
      </c>
      <c r="DE40" t="s">
        <v>3</v>
      </c>
      <c r="DF40" t="s">
        <v>3</v>
      </c>
      <c r="DG40" t="s">
        <v>3</v>
      </c>
      <c r="DH40" t="s">
        <v>3</v>
      </c>
      <c r="DI40" t="s">
        <v>3</v>
      </c>
      <c r="DJ40" t="s">
        <v>3</v>
      </c>
      <c r="DK40" t="s">
        <v>3</v>
      </c>
      <c r="DL40" t="s">
        <v>3</v>
      </c>
      <c r="DM40" t="s">
        <v>3</v>
      </c>
      <c r="DN40">
        <v>0</v>
      </c>
      <c r="DO40">
        <v>0</v>
      </c>
      <c r="DP40">
        <v>1</v>
      </c>
      <c r="DQ40">
        <v>1</v>
      </c>
      <c r="DU40">
        <v>1010</v>
      </c>
      <c r="DV40" t="s">
        <v>29</v>
      </c>
      <c r="DW40" t="s">
        <v>29</v>
      </c>
      <c r="DX40">
        <v>1</v>
      </c>
      <c r="DZ40" t="s">
        <v>3</v>
      </c>
      <c r="EA40" t="s">
        <v>3</v>
      </c>
      <c r="EB40" t="s">
        <v>3</v>
      </c>
      <c r="EC40" t="s">
        <v>3</v>
      </c>
      <c r="EE40">
        <v>77790599</v>
      </c>
      <c r="EF40">
        <v>1</v>
      </c>
      <c r="EG40" t="s">
        <v>23</v>
      </c>
      <c r="EH40">
        <v>0</v>
      </c>
      <c r="EI40" t="s">
        <v>3</v>
      </c>
      <c r="EJ40">
        <v>4</v>
      </c>
      <c r="EK40">
        <v>0</v>
      </c>
      <c r="EL40" t="s">
        <v>24</v>
      </c>
      <c r="EM40" t="s">
        <v>25</v>
      </c>
      <c r="EO40" t="s">
        <v>3</v>
      </c>
      <c r="EQ40">
        <v>0</v>
      </c>
      <c r="ER40">
        <v>0</v>
      </c>
      <c r="ES40">
        <v>0</v>
      </c>
      <c r="ET40">
        <v>0</v>
      </c>
      <c r="EU40">
        <v>0</v>
      </c>
      <c r="EV40">
        <v>0</v>
      </c>
      <c r="EW40">
        <v>0</v>
      </c>
      <c r="EX40">
        <v>0</v>
      </c>
      <c r="FQ40">
        <v>0</v>
      </c>
      <c r="FR40">
        <f t="shared" si="52"/>
        <v>0</v>
      </c>
      <c r="FS40">
        <v>0</v>
      </c>
      <c r="FX40">
        <v>70</v>
      </c>
      <c r="FY40">
        <v>10</v>
      </c>
      <c r="GA40" t="s">
        <v>3</v>
      </c>
      <c r="GD40">
        <v>0</v>
      </c>
      <c r="GF40">
        <v>1960360122</v>
      </c>
      <c r="GG40">
        <v>2</v>
      </c>
      <c r="GH40">
        <v>1</v>
      </c>
      <c r="GI40">
        <v>-2</v>
      </c>
      <c r="GJ40">
        <v>0</v>
      </c>
      <c r="GK40">
        <f>ROUND(R40*(R12)/100,2)</f>
        <v>0</v>
      </c>
      <c r="GL40">
        <f t="shared" si="53"/>
        <v>0</v>
      </c>
      <c r="GM40">
        <f t="shared" si="54"/>
        <v>0</v>
      </c>
      <c r="GN40">
        <f t="shared" si="55"/>
        <v>0</v>
      </c>
      <c r="GO40">
        <f t="shared" si="56"/>
        <v>0</v>
      </c>
      <c r="GP40">
        <f t="shared" si="57"/>
        <v>0</v>
      </c>
      <c r="GR40">
        <v>0</v>
      </c>
      <c r="GS40">
        <v>3</v>
      </c>
      <c r="GT40">
        <v>0</v>
      </c>
      <c r="GU40" t="s">
        <v>3</v>
      </c>
      <c r="GV40">
        <f t="shared" si="58"/>
        <v>0</v>
      </c>
      <c r="GW40">
        <v>1</v>
      </c>
      <c r="GX40">
        <f t="shared" si="59"/>
        <v>0</v>
      </c>
      <c r="HA40">
        <v>0</v>
      </c>
      <c r="HB40">
        <v>0</v>
      </c>
      <c r="HC40">
        <f t="shared" si="60"/>
        <v>0</v>
      </c>
      <c r="HE40" t="s">
        <v>3</v>
      </c>
      <c r="HF40" t="s">
        <v>3</v>
      </c>
      <c r="HM40" t="s">
        <v>3</v>
      </c>
      <c r="HN40" t="s">
        <v>3</v>
      </c>
      <c r="HO40" t="s">
        <v>3</v>
      </c>
      <c r="HP40" t="s">
        <v>3</v>
      </c>
      <c r="HQ40" t="s">
        <v>3</v>
      </c>
      <c r="IK40">
        <v>0</v>
      </c>
    </row>
    <row r="41" spans="1:245" x14ac:dyDescent="0.2">
      <c r="A41">
        <v>18</v>
      </c>
      <c r="B41">
        <v>1</v>
      </c>
      <c r="C41">
        <v>37</v>
      </c>
      <c r="E41" t="s">
        <v>50</v>
      </c>
      <c r="F41" t="s">
        <v>51</v>
      </c>
      <c r="G41" t="s">
        <v>52</v>
      </c>
      <c r="H41" t="s">
        <v>33</v>
      </c>
      <c r="I41">
        <f>I39*J41</f>
        <v>0</v>
      </c>
      <c r="J41">
        <v>89.9</v>
      </c>
      <c r="K41">
        <v>89.9</v>
      </c>
      <c r="O41">
        <f t="shared" si="28"/>
        <v>0</v>
      </c>
      <c r="P41">
        <f t="shared" si="29"/>
        <v>0</v>
      </c>
      <c r="Q41">
        <f t="shared" si="30"/>
        <v>0</v>
      </c>
      <c r="R41">
        <f t="shared" si="31"/>
        <v>0</v>
      </c>
      <c r="S41">
        <f t="shared" si="32"/>
        <v>0</v>
      </c>
      <c r="T41">
        <f t="shared" si="33"/>
        <v>0</v>
      </c>
      <c r="U41">
        <f t="shared" si="34"/>
        <v>0</v>
      </c>
      <c r="V41">
        <f t="shared" si="35"/>
        <v>0</v>
      </c>
      <c r="W41">
        <f t="shared" si="36"/>
        <v>0</v>
      </c>
      <c r="X41">
        <f t="shared" si="37"/>
        <v>0</v>
      </c>
      <c r="Y41">
        <f t="shared" si="38"/>
        <v>0</v>
      </c>
      <c r="AA41">
        <v>78131199</v>
      </c>
      <c r="AB41">
        <f t="shared" si="39"/>
        <v>30.32</v>
      </c>
      <c r="AC41">
        <f t="shared" si="61"/>
        <v>30.32</v>
      </c>
      <c r="AD41">
        <f t="shared" si="62"/>
        <v>0</v>
      </c>
      <c r="AE41">
        <f t="shared" si="63"/>
        <v>0</v>
      </c>
      <c r="AF41">
        <f t="shared" si="64"/>
        <v>0</v>
      </c>
      <c r="AG41">
        <f t="shared" si="40"/>
        <v>0</v>
      </c>
      <c r="AH41">
        <f t="shared" si="65"/>
        <v>0</v>
      </c>
      <c r="AI41">
        <f t="shared" si="66"/>
        <v>0</v>
      </c>
      <c r="AJ41">
        <f t="shared" si="41"/>
        <v>0</v>
      </c>
      <c r="AK41">
        <v>30.32</v>
      </c>
      <c r="AL41">
        <v>30.32</v>
      </c>
      <c r="AM41">
        <v>0</v>
      </c>
      <c r="AN41">
        <v>0</v>
      </c>
      <c r="AO41">
        <v>0</v>
      </c>
      <c r="AP41">
        <v>0</v>
      </c>
      <c r="AQ41">
        <v>0</v>
      </c>
      <c r="AR41">
        <v>0</v>
      </c>
      <c r="AS41">
        <v>0</v>
      </c>
      <c r="AT41">
        <v>70</v>
      </c>
      <c r="AU41">
        <v>10</v>
      </c>
      <c r="AV41">
        <v>1</v>
      </c>
      <c r="AW41">
        <v>1</v>
      </c>
      <c r="AZ41">
        <v>1</v>
      </c>
      <c r="BA41">
        <v>1</v>
      </c>
      <c r="BB41">
        <v>1</v>
      </c>
      <c r="BC41">
        <v>1</v>
      </c>
      <c r="BD41" t="s">
        <v>3</v>
      </c>
      <c r="BE41" t="s">
        <v>3</v>
      </c>
      <c r="BF41" t="s">
        <v>3</v>
      </c>
      <c r="BG41" t="s">
        <v>3</v>
      </c>
      <c r="BH41">
        <v>3</v>
      </c>
      <c r="BI41">
        <v>4</v>
      </c>
      <c r="BJ41" t="s">
        <v>53</v>
      </c>
      <c r="BM41">
        <v>0</v>
      </c>
      <c r="BN41">
        <v>77790596</v>
      </c>
      <c r="BO41" t="s">
        <v>3</v>
      </c>
      <c r="BP41">
        <v>0</v>
      </c>
      <c r="BQ41">
        <v>1</v>
      </c>
      <c r="BR41">
        <v>0</v>
      </c>
      <c r="BS41">
        <v>1</v>
      </c>
      <c r="BT41">
        <v>1</v>
      </c>
      <c r="BU41">
        <v>1</v>
      </c>
      <c r="BV41">
        <v>1</v>
      </c>
      <c r="BW41">
        <v>1</v>
      </c>
      <c r="BX41">
        <v>1</v>
      </c>
      <c r="BY41" t="s">
        <v>3</v>
      </c>
      <c r="BZ41">
        <v>70</v>
      </c>
      <c r="CA41">
        <v>10</v>
      </c>
      <c r="CB41" t="s">
        <v>3</v>
      </c>
      <c r="CE41">
        <v>0</v>
      </c>
      <c r="CF41">
        <v>0</v>
      </c>
      <c r="CG41">
        <v>0</v>
      </c>
      <c r="CM41">
        <v>0</v>
      </c>
      <c r="CN41" t="s">
        <v>3</v>
      </c>
      <c r="CO41">
        <v>0</v>
      </c>
      <c r="CP41">
        <f t="shared" si="42"/>
        <v>0</v>
      </c>
      <c r="CQ41">
        <f t="shared" si="43"/>
        <v>30.32</v>
      </c>
      <c r="CR41">
        <f t="shared" si="67"/>
        <v>0</v>
      </c>
      <c r="CS41">
        <f t="shared" si="44"/>
        <v>0</v>
      </c>
      <c r="CT41">
        <f t="shared" si="45"/>
        <v>0</v>
      </c>
      <c r="CU41">
        <f t="shared" si="46"/>
        <v>0</v>
      </c>
      <c r="CV41">
        <f t="shared" si="47"/>
        <v>0</v>
      </c>
      <c r="CW41">
        <f t="shared" si="48"/>
        <v>0</v>
      </c>
      <c r="CX41">
        <f t="shared" si="49"/>
        <v>0</v>
      </c>
      <c r="CY41">
        <f t="shared" si="50"/>
        <v>0</v>
      </c>
      <c r="CZ41">
        <f t="shared" si="51"/>
        <v>0</v>
      </c>
      <c r="DC41" t="s">
        <v>3</v>
      </c>
      <c r="DD41" t="s">
        <v>3</v>
      </c>
      <c r="DE41" t="s">
        <v>3</v>
      </c>
      <c r="DF41" t="s">
        <v>3</v>
      </c>
      <c r="DG41" t="s">
        <v>3</v>
      </c>
      <c r="DH41" t="s">
        <v>3</v>
      </c>
      <c r="DI41" t="s">
        <v>3</v>
      </c>
      <c r="DJ41" t="s">
        <v>3</v>
      </c>
      <c r="DK41" t="s">
        <v>3</v>
      </c>
      <c r="DL41" t="s">
        <v>3</v>
      </c>
      <c r="DM41" t="s">
        <v>3</v>
      </c>
      <c r="DN41">
        <v>0</v>
      </c>
      <c r="DO41">
        <v>0</v>
      </c>
      <c r="DP41">
        <v>1</v>
      </c>
      <c r="DQ41">
        <v>1</v>
      </c>
      <c r="DU41">
        <v>1003</v>
      </c>
      <c r="DV41" t="s">
        <v>33</v>
      </c>
      <c r="DW41" t="s">
        <v>33</v>
      </c>
      <c r="DX41">
        <v>1</v>
      </c>
      <c r="DZ41" t="s">
        <v>3</v>
      </c>
      <c r="EA41" t="s">
        <v>3</v>
      </c>
      <c r="EB41" t="s">
        <v>3</v>
      </c>
      <c r="EC41" t="s">
        <v>3</v>
      </c>
      <c r="EE41">
        <v>77790599</v>
      </c>
      <c r="EF41">
        <v>1</v>
      </c>
      <c r="EG41" t="s">
        <v>23</v>
      </c>
      <c r="EH41">
        <v>0</v>
      </c>
      <c r="EI41" t="s">
        <v>3</v>
      </c>
      <c r="EJ41">
        <v>4</v>
      </c>
      <c r="EK41">
        <v>0</v>
      </c>
      <c r="EL41" t="s">
        <v>24</v>
      </c>
      <c r="EM41" t="s">
        <v>25</v>
      </c>
      <c r="EO41" t="s">
        <v>3</v>
      </c>
      <c r="EQ41">
        <v>0</v>
      </c>
      <c r="ER41">
        <v>30.32</v>
      </c>
      <c r="ES41">
        <v>30.32</v>
      </c>
      <c r="ET41">
        <v>0</v>
      </c>
      <c r="EU41">
        <v>0</v>
      </c>
      <c r="EV41">
        <v>0</v>
      </c>
      <c r="EW41">
        <v>0</v>
      </c>
      <c r="EX41">
        <v>0</v>
      </c>
      <c r="FQ41">
        <v>0</v>
      </c>
      <c r="FR41">
        <f t="shared" si="52"/>
        <v>0</v>
      </c>
      <c r="FS41">
        <v>0</v>
      </c>
      <c r="FX41">
        <v>70</v>
      </c>
      <c r="FY41">
        <v>10</v>
      </c>
      <c r="GA41" t="s">
        <v>3</v>
      </c>
      <c r="GD41">
        <v>0</v>
      </c>
      <c r="GF41">
        <v>83807339</v>
      </c>
      <c r="GG41">
        <v>2</v>
      </c>
      <c r="GH41">
        <v>1</v>
      </c>
      <c r="GI41">
        <v>-2</v>
      </c>
      <c r="GJ41">
        <v>0</v>
      </c>
      <c r="GK41">
        <f>ROUND(R41*(R12)/100,2)</f>
        <v>0</v>
      </c>
      <c r="GL41">
        <f t="shared" si="53"/>
        <v>0</v>
      </c>
      <c r="GM41">
        <f t="shared" si="54"/>
        <v>0</v>
      </c>
      <c r="GN41">
        <f t="shared" si="55"/>
        <v>0</v>
      </c>
      <c r="GO41">
        <f t="shared" si="56"/>
        <v>0</v>
      </c>
      <c r="GP41">
        <f t="shared" si="57"/>
        <v>0</v>
      </c>
      <c r="GR41">
        <v>0</v>
      </c>
      <c r="GS41">
        <v>3</v>
      </c>
      <c r="GT41">
        <v>0</v>
      </c>
      <c r="GU41" t="s">
        <v>3</v>
      </c>
      <c r="GV41">
        <f t="shared" si="58"/>
        <v>0</v>
      </c>
      <c r="GW41">
        <v>1</v>
      </c>
      <c r="GX41">
        <f t="shared" si="59"/>
        <v>0</v>
      </c>
      <c r="HA41">
        <v>0</v>
      </c>
      <c r="HB41">
        <v>0</v>
      </c>
      <c r="HC41">
        <f t="shared" si="60"/>
        <v>0</v>
      </c>
      <c r="HE41" t="s">
        <v>3</v>
      </c>
      <c r="HF41" t="s">
        <v>3</v>
      </c>
      <c r="HM41" t="s">
        <v>3</v>
      </c>
      <c r="HN41" t="s">
        <v>3</v>
      </c>
      <c r="HO41" t="s">
        <v>3</v>
      </c>
      <c r="HP41" t="s">
        <v>3</v>
      </c>
      <c r="HQ41" t="s">
        <v>3</v>
      </c>
      <c r="IK41">
        <v>0</v>
      </c>
    </row>
    <row r="42" spans="1:245" x14ac:dyDescent="0.2">
      <c r="A42">
        <v>18</v>
      </c>
      <c r="B42">
        <v>1</v>
      </c>
      <c r="C42">
        <v>38</v>
      </c>
      <c r="E42" t="s">
        <v>54</v>
      </c>
      <c r="F42" t="s">
        <v>55</v>
      </c>
      <c r="G42" t="s">
        <v>56</v>
      </c>
      <c r="H42" t="s">
        <v>33</v>
      </c>
      <c r="I42">
        <f>I39*J42</f>
        <v>0</v>
      </c>
      <c r="J42">
        <v>0</v>
      </c>
      <c r="K42">
        <v>0</v>
      </c>
      <c r="O42">
        <f t="shared" si="28"/>
        <v>0</v>
      </c>
      <c r="P42">
        <f t="shared" si="29"/>
        <v>0</v>
      </c>
      <c r="Q42">
        <f t="shared" si="30"/>
        <v>0</v>
      </c>
      <c r="R42">
        <f t="shared" si="31"/>
        <v>0</v>
      </c>
      <c r="S42">
        <f t="shared" si="32"/>
        <v>0</v>
      </c>
      <c r="T42">
        <f t="shared" si="33"/>
        <v>0</v>
      </c>
      <c r="U42">
        <f t="shared" si="34"/>
        <v>0</v>
      </c>
      <c r="V42">
        <f t="shared" si="35"/>
        <v>0</v>
      </c>
      <c r="W42">
        <f t="shared" si="36"/>
        <v>0</v>
      </c>
      <c r="X42">
        <f t="shared" si="37"/>
        <v>0</v>
      </c>
      <c r="Y42">
        <f t="shared" si="38"/>
        <v>0</v>
      </c>
      <c r="AA42">
        <v>78131199</v>
      </c>
      <c r="AB42">
        <f t="shared" si="39"/>
        <v>42.39</v>
      </c>
      <c r="AC42">
        <f t="shared" si="61"/>
        <v>42.39</v>
      </c>
      <c r="AD42">
        <f t="shared" si="62"/>
        <v>0</v>
      </c>
      <c r="AE42">
        <f t="shared" si="63"/>
        <v>0</v>
      </c>
      <c r="AF42">
        <f t="shared" si="64"/>
        <v>0</v>
      </c>
      <c r="AG42">
        <f t="shared" si="40"/>
        <v>0</v>
      </c>
      <c r="AH42">
        <f t="shared" si="65"/>
        <v>0</v>
      </c>
      <c r="AI42">
        <f t="shared" si="66"/>
        <v>0</v>
      </c>
      <c r="AJ42">
        <f t="shared" si="41"/>
        <v>0</v>
      </c>
      <c r="AK42">
        <v>42.39</v>
      </c>
      <c r="AL42">
        <v>42.39</v>
      </c>
      <c r="AM42">
        <v>0</v>
      </c>
      <c r="AN42">
        <v>0</v>
      </c>
      <c r="AO42">
        <v>0</v>
      </c>
      <c r="AP42">
        <v>0</v>
      </c>
      <c r="AQ42">
        <v>0</v>
      </c>
      <c r="AR42">
        <v>0</v>
      </c>
      <c r="AS42">
        <v>0</v>
      </c>
      <c r="AT42">
        <v>70</v>
      </c>
      <c r="AU42">
        <v>10</v>
      </c>
      <c r="AV42">
        <v>1</v>
      </c>
      <c r="AW42">
        <v>1</v>
      </c>
      <c r="AZ42">
        <v>1</v>
      </c>
      <c r="BA42">
        <v>1</v>
      </c>
      <c r="BB42">
        <v>1</v>
      </c>
      <c r="BC42">
        <v>1</v>
      </c>
      <c r="BD42" t="s">
        <v>3</v>
      </c>
      <c r="BE42" t="s">
        <v>3</v>
      </c>
      <c r="BF42" t="s">
        <v>3</v>
      </c>
      <c r="BG42" t="s">
        <v>3</v>
      </c>
      <c r="BH42">
        <v>3</v>
      </c>
      <c r="BI42">
        <v>4</v>
      </c>
      <c r="BJ42" t="s">
        <v>57</v>
      </c>
      <c r="BM42">
        <v>0</v>
      </c>
      <c r="BN42">
        <v>77790596</v>
      </c>
      <c r="BO42" t="s">
        <v>3</v>
      </c>
      <c r="BP42">
        <v>0</v>
      </c>
      <c r="BQ42">
        <v>1</v>
      </c>
      <c r="BR42">
        <v>0</v>
      </c>
      <c r="BS42">
        <v>1</v>
      </c>
      <c r="BT42">
        <v>1</v>
      </c>
      <c r="BU42">
        <v>1</v>
      </c>
      <c r="BV42">
        <v>1</v>
      </c>
      <c r="BW42">
        <v>1</v>
      </c>
      <c r="BX42">
        <v>1</v>
      </c>
      <c r="BY42" t="s">
        <v>3</v>
      </c>
      <c r="BZ42">
        <v>70</v>
      </c>
      <c r="CA42">
        <v>10</v>
      </c>
      <c r="CB42" t="s">
        <v>3</v>
      </c>
      <c r="CE42">
        <v>0</v>
      </c>
      <c r="CF42">
        <v>0</v>
      </c>
      <c r="CG42">
        <v>0</v>
      </c>
      <c r="CM42">
        <v>0</v>
      </c>
      <c r="CN42" t="s">
        <v>3</v>
      </c>
      <c r="CO42">
        <v>0</v>
      </c>
      <c r="CP42">
        <f t="shared" si="42"/>
        <v>0</v>
      </c>
      <c r="CQ42">
        <f t="shared" si="43"/>
        <v>42.39</v>
      </c>
      <c r="CR42">
        <f t="shared" si="67"/>
        <v>0</v>
      </c>
      <c r="CS42">
        <f t="shared" si="44"/>
        <v>0</v>
      </c>
      <c r="CT42">
        <f t="shared" si="45"/>
        <v>0</v>
      </c>
      <c r="CU42">
        <f t="shared" si="46"/>
        <v>0</v>
      </c>
      <c r="CV42">
        <f t="shared" si="47"/>
        <v>0</v>
      </c>
      <c r="CW42">
        <f t="shared" si="48"/>
        <v>0</v>
      </c>
      <c r="CX42">
        <f t="shared" si="49"/>
        <v>0</v>
      </c>
      <c r="CY42">
        <f t="shared" si="50"/>
        <v>0</v>
      </c>
      <c r="CZ42">
        <f t="shared" si="51"/>
        <v>0</v>
      </c>
      <c r="DC42" t="s">
        <v>3</v>
      </c>
      <c r="DD42" t="s">
        <v>3</v>
      </c>
      <c r="DE42" t="s">
        <v>3</v>
      </c>
      <c r="DF42" t="s">
        <v>3</v>
      </c>
      <c r="DG42" t="s">
        <v>3</v>
      </c>
      <c r="DH42" t="s">
        <v>3</v>
      </c>
      <c r="DI42" t="s">
        <v>3</v>
      </c>
      <c r="DJ42" t="s">
        <v>3</v>
      </c>
      <c r="DK42" t="s">
        <v>3</v>
      </c>
      <c r="DL42" t="s">
        <v>3</v>
      </c>
      <c r="DM42" t="s">
        <v>3</v>
      </c>
      <c r="DN42">
        <v>0</v>
      </c>
      <c r="DO42">
        <v>0</v>
      </c>
      <c r="DP42">
        <v>1</v>
      </c>
      <c r="DQ42">
        <v>1</v>
      </c>
      <c r="DU42">
        <v>1003</v>
      </c>
      <c r="DV42" t="s">
        <v>33</v>
      </c>
      <c r="DW42" t="s">
        <v>33</v>
      </c>
      <c r="DX42">
        <v>1</v>
      </c>
      <c r="DZ42" t="s">
        <v>3</v>
      </c>
      <c r="EA42" t="s">
        <v>3</v>
      </c>
      <c r="EB42" t="s">
        <v>3</v>
      </c>
      <c r="EC42" t="s">
        <v>3</v>
      </c>
      <c r="EE42">
        <v>77790599</v>
      </c>
      <c r="EF42">
        <v>1</v>
      </c>
      <c r="EG42" t="s">
        <v>23</v>
      </c>
      <c r="EH42">
        <v>0</v>
      </c>
      <c r="EI42" t="s">
        <v>3</v>
      </c>
      <c r="EJ42">
        <v>4</v>
      </c>
      <c r="EK42">
        <v>0</v>
      </c>
      <c r="EL42" t="s">
        <v>24</v>
      </c>
      <c r="EM42" t="s">
        <v>25</v>
      </c>
      <c r="EO42" t="s">
        <v>3</v>
      </c>
      <c r="EQ42">
        <v>0</v>
      </c>
      <c r="ER42">
        <v>42.39</v>
      </c>
      <c r="ES42">
        <v>42.39</v>
      </c>
      <c r="ET42">
        <v>0</v>
      </c>
      <c r="EU42">
        <v>0</v>
      </c>
      <c r="EV42">
        <v>0</v>
      </c>
      <c r="EW42">
        <v>0</v>
      </c>
      <c r="EX42">
        <v>0</v>
      </c>
      <c r="FQ42">
        <v>0</v>
      </c>
      <c r="FR42">
        <f t="shared" si="52"/>
        <v>0</v>
      </c>
      <c r="FS42">
        <v>0</v>
      </c>
      <c r="FX42">
        <v>70</v>
      </c>
      <c r="FY42">
        <v>10</v>
      </c>
      <c r="GA42" t="s">
        <v>3</v>
      </c>
      <c r="GD42">
        <v>0</v>
      </c>
      <c r="GF42">
        <v>-1013870904</v>
      </c>
      <c r="GG42">
        <v>2</v>
      </c>
      <c r="GH42">
        <v>1</v>
      </c>
      <c r="GI42">
        <v>-2</v>
      </c>
      <c r="GJ42">
        <v>0</v>
      </c>
      <c r="GK42">
        <f>ROUND(R42*(R12)/100,2)</f>
        <v>0</v>
      </c>
      <c r="GL42">
        <f t="shared" si="53"/>
        <v>0</v>
      </c>
      <c r="GM42">
        <f t="shared" si="54"/>
        <v>0</v>
      </c>
      <c r="GN42">
        <f t="shared" si="55"/>
        <v>0</v>
      </c>
      <c r="GO42">
        <f t="shared" si="56"/>
        <v>0</v>
      </c>
      <c r="GP42">
        <f t="shared" si="57"/>
        <v>0</v>
      </c>
      <c r="GR42">
        <v>0</v>
      </c>
      <c r="GS42">
        <v>3</v>
      </c>
      <c r="GT42">
        <v>0</v>
      </c>
      <c r="GU42" t="s">
        <v>3</v>
      </c>
      <c r="GV42">
        <f t="shared" si="58"/>
        <v>0</v>
      </c>
      <c r="GW42">
        <v>1</v>
      </c>
      <c r="GX42">
        <f t="shared" si="59"/>
        <v>0</v>
      </c>
      <c r="HA42">
        <v>0</v>
      </c>
      <c r="HB42">
        <v>0</v>
      </c>
      <c r="HC42">
        <f t="shared" si="60"/>
        <v>0</v>
      </c>
      <c r="HE42" t="s">
        <v>3</v>
      </c>
      <c r="HF42" t="s">
        <v>3</v>
      </c>
      <c r="HM42" t="s">
        <v>3</v>
      </c>
      <c r="HN42" t="s">
        <v>3</v>
      </c>
      <c r="HO42" t="s">
        <v>3</v>
      </c>
      <c r="HP42" t="s">
        <v>3</v>
      </c>
      <c r="HQ42" t="s">
        <v>3</v>
      </c>
      <c r="IK42">
        <v>0</v>
      </c>
    </row>
    <row r="43" spans="1:245" x14ac:dyDescent="0.2">
      <c r="A43">
        <v>18</v>
      </c>
      <c r="B43">
        <v>1</v>
      </c>
      <c r="C43">
        <v>40</v>
      </c>
      <c r="E43" t="s">
        <v>58</v>
      </c>
      <c r="F43" t="s">
        <v>59</v>
      </c>
      <c r="G43" t="s">
        <v>60</v>
      </c>
      <c r="H43" t="s">
        <v>29</v>
      </c>
      <c r="I43">
        <f>I39*J43</f>
        <v>0</v>
      </c>
      <c r="J43">
        <v>71.428571000000005</v>
      </c>
      <c r="K43">
        <v>71.428571000000005</v>
      </c>
      <c r="O43">
        <f t="shared" si="28"/>
        <v>0</v>
      </c>
      <c r="P43">
        <f t="shared" si="29"/>
        <v>0</v>
      </c>
      <c r="Q43">
        <f t="shared" si="30"/>
        <v>0</v>
      </c>
      <c r="R43">
        <f t="shared" si="31"/>
        <v>0</v>
      </c>
      <c r="S43">
        <f t="shared" si="32"/>
        <v>0</v>
      </c>
      <c r="T43">
        <f t="shared" si="33"/>
        <v>0</v>
      </c>
      <c r="U43">
        <f t="shared" si="34"/>
        <v>0</v>
      </c>
      <c r="V43">
        <f t="shared" si="35"/>
        <v>0</v>
      </c>
      <c r="W43">
        <f t="shared" si="36"/>
        <v>0</v>
      </c>
      <c r="X43">
        <f t="shared" si="37"/>
        <v>0</v>
      </c>
      <c r="Y43">
        <f t="shared" si="38"/>
        <v>0</v>
      </c>
      <c r="AA43">
        <v>78131199</v>
      </c>
      <c r="AB43">
        <f t="shared" si="39"/>
        <v>207.07</v>
      </c>
      <c r="AC43">
        <f t="shared" si="61"/>
        <v>207.07</v>
      </c>
      <c r="AD43">
        <f t="shared" si="62"/>
        <v>0</v>
      </c>
      <c r="AE43">
        <f t="shared" si="63"/>
        <v>0</v>
      </c>
      <c r="AF43">
        <f t="shared" si="64"/>
        <v>0</v>
      </c>
      <c r="AG43">
        <f t="shared" si="40"/>
        <v>0</v>
      </c>
      <c r="AH43">
        <f t="shared" si="65"/>
        <v>0</v>
      </c>
      <c r="AI43">
        <f t="shared" si="66"/>
        <v>0</v>
      </c>
      <c r="AJ43">
        <f t="shared" si="41"/>
        <v>0</v>
      </c>
      <c r="AK43">
        <v>207.07</v>
      </c>
      <c r="AL43">
        <v>207.07</v>
      </c>
      <c r="AM43">
        <v>0</v>
      </c>
      <c r="AN43">
        <v>0</v>
      </c>
      <c r="AO43">
        <v>0</v>
      </c>
      <c r="AP43">
        <v>0</v>
      </c>
      <c r="AQ43">
        <v>0</v>
      </c>
      <c r="AR43">
        <v>0</v>
      </c>
      <c r="AS43">
        <v>0</v>
      </c>
      <c r="AT43">
        <v>70</v>
      </c>
      <c r="AU43">
        <v>10</v>
      </c>
      <c r="AV43">
        <v>1</v>
      </c>
      <c r="AW43">
        <v>1</v>
      </c>
      <c r="AZ43">
        <v>1</v>
      </c>
      <c r="BA43">
        <v>1</v>
      </c>
      <c r="BB43">
        <v>1</v>
      </c>
      <c r="BC43">
        <v>1</v>
      </c>
      <c r="BD43" t="s">
        <v>3</v>
      </c>
      <c r="BE43" t="s">
        <v>3</v>
      </c>
      <c r="BF43" t="s">
        <v>3</v>
      </c>
      <c r="BG43" t="s">
        <v>3</v>
      </c>
      <c r="BH43">
        <v>3</v>
      </c>
      <c r="BI43">
        <v>4</v>
      </c>
      <c r="BJ43" t="s">
        <v>61</v>
      </c>
      <c r="BM43">
        <v>0</v>
      </c>
      <c r="BN43">
        <v>77790596</v>
      </c>
      <c r="BO43" t="s">
        <v>3</v>
      </c>
      <c r="BP43">
        <v>0</v>
      </c>
      <c r="BQ43">
        <v>1</v>
      </c>
      <c r="BR43">
        <v>0</v>
      </c>
      <c r="BS43">
        <v>1</v>
      </c>
      <c r="BT43">
        <v>1</v>
      </c>
      <c r="BU43">
        <v>1</v>
      </c>
      <c r="BV43">
        <v>1</v>
      </c>
      <c r="BW43">
        <v>1</v>
      </c>
      <c r="BX43">
        <v>1</v>
      </c>
      <c r="BY43" t="s">
        <v>3</v>
      </c>
      <c r="BZ43">
        <v>70</v>
      </c>
      <c r="CA43">
        <v>10</v>
      </c>
      <c r="CB43" t="s">
        <v>3</v>
      </c>
      <c r="CE43">
        <v>0</v>
      </c>
      <c r="CF43">
        <v>0</v>
      </c>
      <c r="CG43">
        <v>0</v>
      </c>
      <c r="CM43">
        <v>0</v>
      </c>
      <c r="CN43" t="s">
        <v>3</v>
      </c>
      <c r="CO43">
        <v>0</v>
      </c>
      <c r="CP43">
        <f t="shared" si="42"/>
        <v>0</v>
      </c>
      <c r="CQ43">
        <f t="shared" si="43"/>
        <v>207.07</v>
      </c>
      <c r="CR43">
        <f t="shared" si="67"/>
        <v>0</v>
      </c>
      <c r="CS43">
        <f t="shared" si="44"/>
        <v>0</v>
      </c>
      <c r="CT43">
        <f t="shared" si="45"/>
        <v>0</v>
      </c>
      <c r="CU43">
        <f t="shared" si="46"/>
        <v>0</v>
      </c>
      <c r="CV43">
        <f t="shared" si="47"/>
        <v>0</v>
      </c>
      <c r="CW43">
        <f t="shared" si="48"/>
        <v>0</v>
      </c>
      <c r="CX43">
        <f t="shared" si="49"/>
        <v>0</v>
      </c>
      <c r="CY43">
        <f t="shared" si="50"/>
        <v>0</v>
      </c>
      <c r="CZ43">
        <f t="shared" si="51"/>
        <v>0</v>
      </c>
      <c r="DC43" t="s">
        <v>3</v>
      </c>
      <c r="DD43" t="s">
        <v>3</v>
      </c>
      <c r="DE43" t="s">
        <v>3</v>
      </c>
      <c r="DF43" t="s">
        <v>3</v>
      </c>
      <c r="DG43" t="s">
        <v>3</v>
      </c>
      <c r="DH43" t="s">
        <v>3</v>
      </c>
      <c r="DI43" t="s">
        <v>3</v>
      </c>
      <c r="DJ43" t="s">
        <v>3</v>
      </c>
      <c r="DK43" t="s">
        <v>3</v>
      </c>
      <c r="DL43" t="s">
        <v>3</v>
      </c>
      <c r="DM43" t="s">
        <v>3</v>
      </c>
      <c r="DN43">
        <v>0</v>
      </c>
      <c r="DO43">
        <v>0</v>
      </c>
      <c r="DP43">
        <v>1</v>
      </c>
      <c r="DQ43">
        <v>1</v>
      </c>
      <c r="DU43">
        <v>1010</v>
      </c>
      <c r="DV43" t="s">
        <v>29</v>
      </c>
      <c r="DW43" t="s">
        <v>29</v>
      </c>
      <c r="DX43">
        <v>1</v>
      </c>
      <c r="DZ43" t="s">
        <v>3</v>
      </c>
      <c r="EA43" t="s">
        <v>3</v>
      </c>
      <c r="EB43" t="s">
        <v>3</v>
      </c>
      <c r="EC43" t="s">
        <v>3</v>
      </c>
      <c r="EE43">
        <v>77790599</v>
      </c>
      <c r="EF43">
        <v>1</v>
      </c>
      <c r="EG43" t="s">
        <v>23</v>
      </c>
      <c r="EH43">
        <v>0</v>
      </c>
      <c r="EI43" t="s">
        <v>3</v>
      </c>
      <c r="EJ43">
        <v>4</v>
      </c>
      <c r="EK43">
        <v>0</v>
      </c>
      <c r="EL43" t="s">
        <v>24</v>
      </c>
      <c r="EM43" t="s">
        <v>25</v>
      </c>
      <c r="EO43" t="s">
        <v>3</v>
      </c>
      <c r="EQ43">
        <v>0</v>
      </c>
      <c r="ER43">
        <v>207.07</v>
      </c>
      <c r="ES43">
        <v>207.07</v>
      </c>
      <c r="ET43">
        <v>0</v>
      </c>
      <c r="EU43">
        <v>0</v>
      </c>
      <c r="EV43">
        <v>0</v>
      </c>
      <c r="EW43">
        <v>0</v>
      </c>
      <c r="EX43">
        <v>0</v>
      </c>
      <c r="FQ43">
        <v>0</v>
      </c>
      <c r="FR43">
        <f t="shared" si="52"/>
        <v>0</v>
      </c>
      <c r="FS43">
        <v>0</v>
      </c>
      <c r="FX43">
        <v>70</v>
      </c>
      <c r="FY43">
        <v>10</v>
      </c>
      <c r="GA43" t="s">
        <v>3</v>
      </c>
      <c r="GD43">
        <v>0</v>
      </c>
      <c r="GF43">
        <v>-2052040340</v>
      </c>
      <c r="GG43">
        <v>2</v>
      </c>
      <c r="GH43">
        <v>1</v>
      </c>
      <c r="GI43">
        <v>-2</v>
      </c>
      <c r="GJ43">
        <v>0</v>
      </c>
      <c r="GK43">
        <f>ROUND(R43*(R12)/100,2)</f>
        <v>0</v>
      </c>
      <c r="GL43">
        <f t="shared" si="53"/>
        <v>0</v>
      </c>
      <c r="GM43">
        <f t="shared" si="54"/>
        <v>0</v>
      </c>
      <c r="GN43">
        <f t="shared" si="55"/>
        <v>0</v>
      </c>
      <c r="GO43">
        <f t="shared" si="56"/>
        <v>0</v>
      </c>
      <c r="GP43">
        <f t="shared" si="57"/>
        <v>0</v>
      </c>
      <c r="GR43">
        <v>0</v>
      </c>
      <c r="GS43">
        <v>3</v>
      </c>
      <c r="GT43">
        <v>0</v>
      </c>
      <c r="GU43" t="s">
        <v>3</v>
      </c>
      <c r="GV43">
        <f t="shared" si="58"/>
        <v>0</v>
      </c>
      <c r="GW43">
        <v>1</v>
      </c>
      <c r="GX43">
        <f t="shared" si="59"/>
        <v>0</v>
      </c>
      <c r="HA43">
        <v>0</v>
      </c>
      <c r="HB43">
        <v>0</v>
      </c>
      <c r="HC43">
        <f t="shared" si="60"/>
        <v>0</v>
      </c>
      <c r="HE43" t="s">
        <v>3</v>
      </c>
      <c r="HF43" t="s">
        <v>3</v>
      </c>
      <c r="HM43" t="s">
        <v>3</v>
      </c>
      <c r="HN43" t="s">
        <v>3</v>
      </c>
      <c r="HO43" t="s">
        <v>3</v>
      </c>
      <c r="HP43" t="s">
        <v>3</v>
      </c>
      <c r="HQ43" t="s">
        <v>3</v>
      </c>
      <c r="IK43">
        <v>0</v>
      </c>
    </row>
    <row r="44" spans="1:245" x14ac:dyDescent="0.2">
      <c r="A44">
        <v>18</v>
      </c>
      <c r="B44">
        <v>1</v>
      </c>
      <c r="C44">
        <v>42</v>
      </c>
      <c r="E44" t="s">
        <v>62</v>
      </c>
      <c r="F44" t="s">
        <v>45</v>
      </c>
      <c r="G44" t="s">
        <v>46</v>
      </c>
      <c r="H44" t="s">
        <v>29</v>
      </c>
      <c r="I44">
        <f>I39*J44</f>
        <v>0</v>
      </c>
      <c r="J44">
        <v>7.1428570000000002</v>
      </c>
      <c r="K44">
        <v>7.1428570000000002</v>
      </c>
      <c r="O44">
        <f t="shared" si="28"/>
        <v>0</v>
      </c>
      <c r="P44">
        <f t="shared" si="29"/>
        <v>0</v>
      </c>
      <c r="Q44">
        <f t="shared" si="30"/>
        <v>0</v>
      </c>
      <c r="R44">
        <f t="shared" si="31"/>
        <v>0</v>
      </c>
      <c r="S44">
        <f t="shared" si="32"/>
        <v>0</v>
      </c>
      <c r="T44">
        <f t="shared" si="33"/>
        <v>0</v>
      </c>
      <c r="U44">
        <f t="shared" si="34"/>
        <v>0</v>
      </c>
      <c r="V44">
        <f t="shared" si="35"/>
        <v>0</v>
      </c>
      <c r="W44">
        <f t="shared" si="36"/>
        <v>0</v>
      </c>
      <c r="X44">
        <f t="shared" si="37"/>
        <v>0</v>
      </c>
      <c r="Y44">
        <f t="shared" si="38"/>
        <v>0</v>
      </c>
      <c r="AA44">
        <v>78131199</v>
      </c>
      <c r="AB44">
        <f t="shared" si="39"/>
        <v>148.13999999999999</v>
      </c>
      <c r="AC44">
        <f t="shared" si="61"/>
        <v>148.13999999999999</v>
      </c>
      <c r="AD44">
        <f t="shared" si="62"/>
        <v>0</v>
      </c>
      <c r="AE44">
        <f t="shared" si="63"/>
        <v>0</v>
      </c>
      <c r="AF44">
        <f t="shared" si="64"/>
        <v>0</v>
      </c>
      <c r="AG44">
        <f t="shared" si="40"/>
        <v>0</v>
      </c>
      <c r="AH44">
        <f t="shared" si="65"/>
        <v>0</v>
      </c>
      <c r="AI44">
        <f t="shared" si="66"/>
        <v>0</v>
      </c>
      <c r="AJ44">
        <f t="shared" si="41"/>
        <v>0</v>
      </c>
      <c r="AK44">
        <v>148.13999999999999</v>
      </c>
      <c r="AL44">
        <v>148.13999999999999</v>
      </c>
      <c r="AM44">
        <v>0</v>
      </c>
      <c r="AN44">
        <v>0</v>
      </c>
      <c r="AO44">
        <v>0</v>
      </c>
      <c r="AP44">
        <v>0</v>
      </c>
      <c r="AQ44">
        <v>0</v>
      </c>
      <c r="AR44">
        <v>0</v>
      </c>
      <c r="AS44">
        <v>0</v>
      </c>
      <c r="AT44">
        <v>70</v>
      </c>
      <c r="AU44">
        <v>10</v>
      </c>
      <c r="AV44">
        <v>1</v>
      </c>
      <c r="AW44">
        <v>1</v>
      </c>
      <c r="AZ44">
        <v>1</v>
      </c>
      <c r="BA44">
        <v>1</v>
      </c>
      <c r="BB44">
        <v>1</v>
      </c>
      <c r="BC44">
        <v>1</v>
      </c>
      <c r="BD44" t="s">
        <v>3</v>
      </c>
      <c r="BE44" t="s">
        <v>3</v>
      </c>
      <c r="BF44" t="s">
        <v>3</v>
      </c>
      <c r="BG44" t="s">
        <v>3</v>
      </c>
      <c r="BH44">
        <v>3</v>
      </c>
      <c r="BI44">
        <v>4</v>
      </c>
      <c r="BJ44" t="s">
        <v>47</v>
      </c>
      <c r="BM44">
        <v>0</v>
      </c>
      <c r="BN44">
        <v>77790596</v>
      </c>
      <c r="BO44" t="s">
        <v>3</v>
      </c>
      <c r="BP44">
        <v>0</v>
      </c>
      <c r="BQ44">
        <v>1</v>
      </c>
      <c r="BR44">
        <v>0</v>
      </c>
      <c r="BS44">
        <v>1</v>
      </c>
      <c r="BT44">
        <v>1</v>
      </c>
      <c r="BU44">
        <v>1</v>
      </c>
      <c r="BV44">
        <v>1</v>
      </c>
      <c r="BW44">
        <v>1</v>
      </c>
      <c r="BX44">
        <v>1</v>
      </c>
      <c r="BY44" t="s">
        <v>3</v>
      </c>
      <c r="BZ44">
        <v>70</v>
      </c>
      <c r="CA44">
        <v>10</v>
      </c>
      <c r="CB44" t="s">
        <v>3</v>
      </c>
      <c r="CE44">
        <v>0</v>
      </c>
      <c r="CF44">
        <v>0</v>
      </c>
      <c r="CG44">
        <v>0</v>
      </c>
      <c r="CM44">
        <v>0</v>
      </c>
      <c r="CN44" t="s">
        <v>3</v>
      </c>
      <c r="CO44">
        <v>0</v>
      </c>
      <c r="CP44">
        <f t="shared" si="42"/>
        <v>0</v>
      </c>
      <c r="CQ44">
        <f t="shared" si="43"/>
        <v>148.13999999999999</v>
      </c>
      <c r="CR44">
        <f t="shared" si="67"/>
        <v>0</v>
      </c>
      <c r="CS44">
        <f t="shared" si="44"/>
        <v>0</v>
      </c>
      <c r="CT44">
        <f t="shared" si="45"/>
        <v>0</v>
      </c>
      <c r="CU44">
        <f t="shared" si="46"/>
        <v>0</v>
      </c>
      <c r="CV44">
        <f t="shared" si="47"/>
        <v>0</v>
      </c>
      <c r="CW44">
        <f t="shared" si="48"/>
        <v>0</v>
      </c>
      <c r="CX44">
        <f t="shared" si="49"/>
        <v>0</v>
      </c>
      <c r="CY44">
        <f t="shared" si="50"/>
        <v>0</v>
      </c>
      <c r="CZ44">
        <f t="shared" si="51"/>
        <v>0</v>
      </c>
      <c r="DC44" t="s">
        <v>3</v>
      </c>
      <c r="DD44" t="s">
        <v>3</v>
      </c>
      <c r="DE44" t="s">
        <v>3</v>
      </c>
      <c r="DF44" t="s">
        <v>3</v>
      </c>
      <c r="DG44" t="s">
        <v>3</v>
      </c>
      <c r="DH44" t="s">
        <v>3</v>
      </c>
      <c r="DI44" t="s">
        <v>3</v>
      </c>
      <c r="DJ44" t="s">
        <v>3</v>
      </c>
      <c r="DK44" t="s">
        <v>3</v>
      </c>
      <c r="DL44" t="s">
        <v>3</v>
      </c>
      <c r="DM44" t="s">
        <v>3</v>
      </c>
      <c r="DN44">
        <v>0</v>
      </c>
      <c r="DO44">
        <v>0</v>
      </c>
      <c r="DP44">
        <v>1</v>
      </c>
      <c r="DQ44">
        <v>1</v>
      </c>
      <c r="DU44">
        <v>1010</v>
      </c>
      <c r="DV44" t="s">
        <v>29</v>
      </c>
      <c r="DW44" t="s">
        <v>29</v>
      </c>
      <c r="DX44">
        <v>1</v>
      </c>
      <c r="DZ44" t="s">
        <v>3</v>
      </c>
      <c r="EA44" t="s">
        <v>3</v>
      </c>
      <c r="EB44" t="s">
        <v>3</v>
      </c>
      <c r="EC44" t="s">
        <v>3</v>
      </c>
      <c r="EE44">
        <v>77790599</v>
      </c>
      <c r="EF44">
        <v>1</v>
      </c>
      <c r="EG44" t="s">
        <v>23</v>
      </c>
      <c r="EH44">
        <v>0</v>
      </c>
      <c r="EI44" t="s">
        <v>3</v>
      </c>
      <c r="EJ44">
        <v>4</v>
      </c>
      <c r="EK44">
        <v>0</v>
      </c>
      <c r="EL44" t="s">
        <v>24</v>
      </c>
      <c r="EM44" t="s">
        <v>25</v>
      </c>
      <c r="EO44" t="s">
        <v>3</v>
      </c>
      <c r="EQ44">
        <v>0</v>
      </c>
      <c r="ER44">
        <v>148.13999999999999</v>
      </c>
      <c r="ES44">
        <v>148.13999999999999</v>
      </c>
      <c r="ET44">
        <v>0</v>
      </c>
      <c r="EU44">
        <v>0</v>
      </c>
      <c r="EV44">
        <v>0</v>
      </c>
      <c r="EW44">
        <v>0</v>
      </c>
      <c r="EX44">
        <v>0</v>
      </c>
      <c r="FQ44">
        <v>0</v>
      </c>
      <c r="FR44">
        <f t="shared" si="52"/>
        <v>0</v>
      </c>
      <c r="FS44">
        <v>0</v>
      </c>
      <c r="FX44">
        <v>70</v>
      </c>
      <c r="FY44">
        <v>10</v>
      </c>
      <c r="GA44" t="s">
        <v>3</v>
      </c>
      <c r="GD44">
        <v>0</v>
      </c>
      <c r="GF44">
        <v>1965755675</v>
      </c>
      <c r="GG44">
        <v>2</v>
      </c>
      <c r="GH44">
        <v>1</v>
      </c>
      <c r="GI44">
        <v>-2</v>
      </c>
      <c r="GJ44">
        <v>0</v>
      </c>
      <c r="GK44">
        <f>ROUND(R44*(R12)/100,2)</f>
        <v>0</v>
      </c>
      <c r="GL44">
        <f t="shared" si="53"/>
        <v>0</v>
      </c>
      <c r="GM44">
        <f t="shared" si="54"/>
        <v>0</v>
      </c>
      <c r="GN44">
        <f t="shared" si="55"/>
        <v>0</v>
      </c>
      <c r="GO44">
        <f t="shared" si="56"/>
        <v>0</v>
      </c>
      <c r="GP44">
        <f t="shared" si="57"/>
        <v>0</v>
      </c>
      <c r="GR44">
        <v>0</v>
      </c>
      <c r="GS44">
        <v>3</v>
      </c>
      <c r="GT44">
        <v>0</v>
      </c>
      <c r="GU44" t="s">
        <v>3</v>
      </c>
      <c r="GV44">
        <f t="shared" si="58"/>
        <v>0</v>
      </c>
      <c r="GW44">
        <v>1</v>
      </c>
      <c r="GX44">
        <f t="shared" si="59"/>
        <v>0</v>
      </c>
      <c r="HA44">
        <v>0</v>
      </c>
      <c r="HB44">
        <v>0</v>
      </c>
      <c r="HC44">
        <f t="shared" si="60"/>
        <v>0</v>
      </c>
      <c r="HE44" t="s">
        <v>3</v>
      </c>
      <c r="HF44" t="s">
        <v>3</v>
      </c>
      <c r="HM44" t="s">
        <v>3</v>
      </c>
      <c r="HN44" t="s">
        <v>3</v>
      </c>
      <c r="HO44" t="s">
        <v>3</v>
      </c>
      <c r="HP44" t="s">
        <v>3</v>
      </c>
      <c r="HQ44" t="s">
        <v>3</v>
      </c>
      <c r="IK44">
        <v>0</v>
      </c>
    </row>
    <row r="45" spans="1:245" x14ac:dyDescent="0.2">
      <c r="A45">
        <v>18</v>
      </c>
      <c r="B45">
        <v>1</v>
      </c>
      <c r="C45">
        <v>39</v>
      </c>
      <c r="E45" t="s">
        <v>63</v>
      </c>
      <c r="F45" t="s">
        <v>64</v>
      </c>
      <c r="G45" t="s">
        <v>65</v>
      </c>
      <c r="H45" t="s">
        <v>29</v>
      </c>
      <c r="I45">
        <f>I39*J45</f>
        <v>0</v>
      </c>
      <c r="J45">
        <v>7.1428570000000002</v>
      </c>
      <c r="K45">
        <v>7.1428570000000002</v>
      </c>
      <c r="O45">
        <f t="shared" si="28"/>
        <v>0</v>
      </c>
      <c r="P45">
        <f t="shared" si="29"/>
        <v>0</v>
      </c>
      <c r="Q45">
        <f t="shared" si="30"/>
        <v>0</v>
      </c>
      <c r="R45">
        <f t="shared" si="31"/>
        <v>0</v>
      </c>
      <c r="S45">
        <f t="shared" si="32"/>
        <v>0</v>
      </c>
      <c r="T45">
        <f t="shared" si="33"/>
        <v>0</v>
      </c>
      <c r="U45">
        <f t="shared" si="34"/>
        <v>0</v>
      </c>
      <c r="V45">
        <f t="shared" si="35"/>
        <v>0</v>
      </c>
      <c r="W45">
        <f t="shared" si="36"/>
        <v>0</v>
      </c>
      <c r="X45">
        <f t="shared" si="37"/>
        <v>0</v>
      </c>
      <c r="Y45">
        <f t="shared" si="38"/>
        <v>0</v>
      </c>
      <c r="AA45">
        <v>78131199</v>
      </c>
      <c r="AB45">
        <f t="shared" si="39"/>
        <v>159.86000000000001</v>
      </c>
      <c r="AC45">
        <f t="shared" si="61"/>
        <v>159.86000000000001</v>
      </c>
      <c r="AD45">
        <f t="shared" si="62"/>
        <v>0</v>
      </c>
      <c r="AE45">
        <f t="shared" si="63"/>
        <v>0</v>
      </c>
      <c r="AF45">
        <f t="shared" si="64"/>
        <v>0</v>
      </c>
      <c r="AG45">
        <f t="shared" si="40"/>
        <v>0</v>
      </c>
      <c r="AH45">
        <f t="shared" si="65"/>
        <v>0</v>
      </c>
      <c r="AI45">
        <f t="shared" si="66"/>
        <v>0</v>
      </c>
      <c r="AJ45">
        <f t="shared" si="41"/>
        <v>0</v>
      </c>
      <c r="AK45">
        <v>159.86000000000001</v>
      </c>
      <c r="AL45">
        <v>159.86000000000001</v>
      </c>
      <c r="AM45">
        <v>0</v>
      </c>
      <c r="AN45">
        <v>0</v>
      </c>
      <c r="AO45">
        <v>0</v>
      </c>
      <c r="AP45">
        <v>0</v>
      </c>
      <c r="AQ45">
        <v>0</v>
      </c>
      <c r="AR45">
        <v>0</v>
      </c>
      <c r="AS45">
        <v>0</v>
      </c>
      <c r="AT45">
        <v>70</v>
      </c>
      <c r="AU45">
        <v>10</v>
      </c>
      <c r="AV45">
        <v>1</v>
      </c>
      <c r="AW45">
        <v>1</v>
      </c>
      <c r="AZ45">
        <v>1</v>
      </c>
      <c r="BA45">
        <v>1</v>
      </c>
      <c r="BB45">
        <v>1</v>
      </c>
      <c r="BC45">
        <v>1</v>
      </c>
      <c r="BD45" t="s">
        <v>3</v>
      </c>
      <c r="BE45" t="s">
        <v>3</v>
      </c>
      <c r="BF45" t="s">
        <v>3</v>
      </c>
      <c r="BG45" t="s">
        <v>3</v>
      </c>
      <c r="BH45">
        <v>3</v>
      </c>
      <c r="BI45">
        <v>4</v>
      </c>
      <c r="BJ45" t="s">
        <v>66</v>
      </c>
      <c r="BM45">
        <v>0</v>
      </c>
      <c r="BN45">
        <v>77790596</v>
      </c>
      <c r="BO45" t="s">
        <v>3</v>
      </c>
      <c r="BP45">
        <v>0</v>
      </c>
      <c r="BQ45">
        <v>1</v>
      </c>
      <c r="BR45">
        <v>0</v>
      </c>
      <c r="BS45">
        <v>1</v>
      </c>
      <c r="BT45">
        <v>1</v>
      </c>
      <c r="BU45">
        <v>1</v>
      </c>
      <c r="BV45">
        <v>1</v>
      </c>
      <c r="BW45">
        <v>1</v>
      </c>
      <c r="BX45">
        <v>1</v>
      </c>
      <c r="BY45" t="s">
        <v>3</v>
      </c>
      <c r="BZ45">
        <v>70</v>
      </c>
      <c r="CA45">
        <v>10</v>
      </c>
      <c r="CB45" t="s">
        <v>3</v>
      </c>
      <c r="CE45">
        <v>0</v>
      </c>
      <c r="CF45">
        <v>0</v>
      </c>
      <c r="CG45">
        <v>0</v>
      </c>
      <c r="CM45">
        <v>0</v>
      </c>
      <c r="CN45" t="s">
        <v>3</v>
      </c>
      <c r="CO45">
        <v>0</v>
      </c>
      <c r="CP45">
        <f t="shared" si="42"/>
        <v>0</v>
      </c>
      <c r="CQ45">
        <f t="shared" si="43"/>
        <v>159.86000000000001</v>
      </c>
      <c r="CR45">
        <f t="shared" si="67"/>
        <v>0</v>
      </c>
      <c r="CS45">
        <f t="shared" si="44"/>
        <v>0</v>
      </c>
      <c r="CT45">
        <f t="shared" si="45"/>
        <v>0</v>
      </c>
      <c r="CU45">
        <f t="shared" si="46"/>
        <v>0</v>
      </c>
      <c r="CV45">
        <f t="shared" si="47"/>
        <v>0</v>
      </c>
      <c r="CW45">
        <f t="shared" si="48"/>
        <v>0</v>
      </c>
      <c r="CX45">
        <f t="shared" si="49"/>
        <v>0</v>
      </c>
      <c r="CY45">
        <f t="shared" si="50"/>
        <v>0</v>
      </c>
      <c r="CZ45">
        <f t="shared" si="51"/>
        <v>0</v>
      </c>
      <c r="DC45" t="s">
        <v>3</v>
      </c>
      <c r="DD45" t="s">
        <v>3</v>
      </c>
      <c r="DE45" t="s">
        <v>3</v>
      </c>
      <c r="DF45" t="s">
        <v>3</v>
      </c>
      <c r="DG45" t="s">
        <v>3</v>
      </c>
      <c r="DH45" t="s">
        <v>3</v>
      </c>
      <c r="DI45" t="s">
        <v>3</v>
      </c>
      <c r="DJ45" t="s">
        <v>3</v>
      </c>
      <c r="DK45" t="s">
        <v>3</v>
      </c>
      <c r="DL45" t="s">
        <v>3</v>
      </c>
      <c r="DM45" t="s">
        <v>3</v>
      </c>
      <c r="DN45">
        <v>0</v>
      </c>
      <c r="DO45">
        <v>0</v>
      </c>
      <c r="DP45">
        <v>1</v>
      </c>
      <c r="DQ45">
        <v>1</v>
      </c>
      <c r="DU45">
        <v>1010</v>
      </c>
      <c r="DV45" t="s">
        <v>29</v>
      </c>
      <c r="DW45" t="s">
        <v>29</v>
      </c>
      <c r="DX45">
        <v>1</v>
      </c>
      <c r="DZ45" t="s">
        <v>3</v>
      </c>
      <c r="EA45" t="s">
        <v>3</v>
      </c>
      <c r="EB45" t="s">
        <v>3</v>
      </c>
      <c r="EC45" t="s">
        <v>3</v>
      </c>
      <c r="EE45">
        <v>77790599</v>
      </c>
      <c r="EF45">
        <v>1</v>
      </c>
      <c r="EG45" t="s">
        <v>23</v>
      </c>
      <c r="EH45">
        <v>0</v>
      </c>
      <c r="EI45" t="s">
        <v>3</v>
      </c>
      <c r="EJ45">
        <v>4</v>
      </c>
      <c r="EK45">
        <v>0</v>
      </c>
      <c r="EL45" t="s">
        <v>24</v>
      </c>
      <c r="EM45" t="s">
        <v>25</v>
      </c>
      <c r="EO45" t="s">
        <v>3</v>
      </c>
      <c r="EQ45">
        <v>0</v>
      </c>
      <c r="ER45">
        <v>159.86000000000001</v>
      </c>
      <c r="ES45">
        <v>159.86000000000001</v>
      </c>
      <c r="ET45">
        <v>0</v>
      </c>
      <c r="EU45">
        <v>0</v>
      </c>
      <c r="EV45">
        <v>0</v>
      </c>
      <c r="EW45">
        <v>0</v>
      </c>
      <c r="EX45">
        <v>0</v>
      </c>
      <c r="FQ45">
        <v>0</v>
      </c>
      <c r="FR45">
        <f t="shared" si="52"/>
        <v>0</v>
      </c>
      <c r="FS45">
        <v>0</v>
      </c>
      <c r="FX45">
        <v>70</v>
      </c>
      <c r="FY45">
        <v>10</v>
      </c>
      <c r="GA45" t="s">
        <v>3</v>
      </c>
      <c r="GD45">
        <v>0</v>
      </c>
      <c r="GF45">
        <v>34723009</v>
      </c>
      <c r="GG45">
        <v>2</v>
      </c>
      <c r="GH45">
        <v>1</v>
      </c>
      <c r="GI45">
        <v>-2</v>
      </c>
      <c r="GJ45">
        <v>0</v>
      </c>
      <c r="GK45">
        <f>ROUND(R45*(R12)/100,2)</f>
        <v>0</v>
      </c>
      <c r="GL45">
        <f t="shared" si="53"/>
        <v>0</v>
      </c>
      <c r="GM45">
        <f t="shared" si="54"/>
        <v>0</v>
      </c>
      <c r="GN45">
        <f t="shared" si="55"/>
        <v>0</v>
      </c>
      <c r="GO45">
        <f t="shared" si="56"/>
        <v>0</v>
      </c>
      <c r="GP45">
        <f t="shared" si="57"/>
        <v>0</v>
      </c>
      <c r="GR45">
        <v>0</v>
      </c>
      <c r="GS45">
        <v>3</v>
      </c>
      <c r="GT45">
        <v>0</v>
      </c>
      <c r="GU45" t="s">
        <v>3</v>
      </c>
      <c r="GV45">
        <f t="shared" si="58"/>
        <v>0</v>
      </c>
      <c r="GW45">
        <v>1</v>
      </c>
      <c r="GX45">
        <f t="shared" si="59"/>
        <v>0</v>
      </c>
      <c r="HA45">
        <v>0</v>
      </c>
      <c r="HB45">
        <v>0</v>
      </c>
      <c r="HC45">
        <f t="shared" si="60"/>
        <v>0</v>
      </c>
      <c r="HE45" t="s">
        <v>3</v>
      </c>
      <c r="HF45" t="s">
        <v>3</v>
      </c>
      <c r="HM45" t="s">
        <v>3</v>
      </c>
      <c r="HN45" t="s">
        <v>3</v>
      </c>
      <c r="HO45" t="s">
        <v>3</v>
      </c>
      <c r="HP45" t="s">
        <v>3</v>
      </c>
      <c r="HQ45" t="s">
        <v>3</v>
      </c>
      <c r="IK45">
        <v>0</v>
      </c>
    </row>
    <row r="46" spans="1:245" x14ac:dyDescent="0.2">
      <c r="A46">
        <v>18</v>
      </c>
      <c r="B46">
        <v>1</v>
      </c>
      <c r="C46">
        <v>35</v>
      </c>
      <c r="E46" t="s">
        <v>67</v>
      </c>
      <c r="F46" t="s">
        <v>68</v>
      </c>
      <c r="G46" t="s">
        <v>69</v>
      </c>
      <c r="H46" t="s">
        <v>29</v>
      </c>
      <c r="I46">
        <f>I39*J46</f>
        <v>0</v>
      </c>
      <c r="J46">
        <v>0</v>
      </c>
      <c r="K46">
        <v>0</v>
      </c>
      <c r="O46">
        <f t="shared" si="28"/>
        <v>0</v>
      </c>
      <c r="P46">
        <f t="shared" si="29"/>
        <v>0</v>
      </c>
      <c r="Q46">
        <f t="shared" si="30"/>
        <v>0</v>
      </c>
      <c r="R46">
        <f t="shared" si="31"/>
        <v>0</v>
      </c>
      <c r="S46">
        <f t="shared" si="32"/>
        <v>0</v>
      </c>
      <c r="T46">
        <f t="shared" si="33"/>
        <v>0</v>
      </c>
      <c r="U46">
        <f t="shared" si="34"/>
        <v>0</v>
      </c>
      <c r="V46">
        <f t="shared" si="35"/>
        <v>0</v>
      </c>
      <c r="W46">
        <f t="shared" si="36"/>
        <v>0</v>
      </c>
      <c r="X46">
        <f t="shared" si="37"/>
        <v>0</v>
      </c>
      <c r="Y46">
        <f t="shared" si="38"/>
        <v>0</v>
      </c>
      <c r="AA46">
        <v>78131199</v>
      </c>
      <c r="AB46">
        <f t="shared" si="39"/>
        <v>369.5</v>
      </c>
      <c r="AC46">
        <f t="shared" si="61"/>
        <v>369.5</v>
      </c>
      <c r="AD46">
        <f t="shared" si="62"/>
        <v>0</v>
      </c>
      <c r="AE46">
        <f t="shared" si="63"/>
        <v>0</v>
      </c>
      <c r="AF46">
        <f t="shared" si="64"/>
        <v>0</v>
      </c>
      <c r="AG46">
        <f t="shared" si="40"/>
        <v>0</v>
      </c>
      <c r="AH46">
        <f t="shared" si="65"/>
        <v>0</v>
      </c>
      <c r="AI46">
        <f t="shared" si="66"/>
        <v>0</v>
      </c>
      <c r="AJ46">
        <f t="shared" si="41"/>
        <v>0</v>
      </c>
      <c r="AK46">
        <v>369.5</v>
      </c>
      <c r="AL46">
        <v>369.5</v>
      </c>
      <c r="AM46">
        <v>0</v>
      </c>
      <c r="AN46">
        <v>0</v>
      </c>
      <c r="AO46">
        <v>0</v>
      </c>
      <c r="AP46">
        <v>0</v>
      </c>
      <c r="AQ46">
        <v>0</v>
      </c>
      <c r="AR46">
        <v>0</v>
      </c>
      <c r="AS46">
        <v>0</v>
      </c>
      <c r="AT46">
        <v>70</v>
      </c>
      <c r="AU46">
        <v>10</v>
      </c>
      <c r="AV46">
        <v>1</v>
      </c>
      <c r="AW46">
        <v>1</v>
      </c>
      <c r="AZ46">
        <v>1</v>
      </c>
      <c r="BA46">
        <v>1</v>
      </c>
      <c r="BB46">
        <v>1</v>
      </c>
      <c r="BC46">
        <v>1</v>
      </c>
      <c r="BD46" t="s">
        <v>3</v>
      </c>
      <c r="BE46" t="s">
        <v>3</v>
      </c>
      <c r="BF46" t="s">
        <v>3</v>
      </c>
      <c r="BG46" t="s">
        <v>3</v>
      </c>
      <c r="BH46">
        <v>3</v>
      </c>
      <c r="BI46">
        <v>4</v>
      </c>
      <c r="BJ46" t="s">
        <v>70</v>
      </c>
      <c r="BM46">
        <v>0</v>
      </c>
      <c r="BN46">
        <v>77790596</v>
      </c>
      <c r="BO46" t="s">
        <v>3</v>
      </c>
      <c r="BP46">
        <v>0</v>
      </c>
      <c r="BQ46">
        <v>1</v>
      </c>
      <c r="BR46">
        <v>0</v>
      </c>
      <c r="BS46">
        <v>1</v>
      </c>
      <c r="BT46">
        <v>1</v>
      </c>
      <c r="BU46">
        <v>1</v>
      </c>
      <c r="BV46">
        <v>1</v>
      </c>
      <c r="BW46">
        <v>1</v>
      </c>
      <c r="BX46">
        <v>1</v>
      </c>
      <c r="BY46" t="s">
        <v>3</v>
      </c>
      <c r="BZ46">
        <v>70</v>
      </c>
      <c r="CA46">
        <v>10</v>
      </c>
      <c r="CB46" t="s">
        <v>3</v>
      </c>
      <c r="CE46">
        <v>0</v>
      </c>
      <c r="CF46">
        <v>0</v>
      </c>
      <c r="CG46">
        <v>0</v>
      </c>
      <c r="CM46">
        <v>0</v>
      </c>
      <c r="CN46" t="s">
        <v>3</v>
      </c>
      <c r="CO46">
        <v>0</v>
      </c>
      <c r="CP46">
        <f t="shared" si="42"/>
        <v>0</v>
      </c>
      <c r="CQ46">
        <f t="shared" si="43"/>
        <v>369.5</v>
      </c>
      <c r="CR46">
        <f t="shared" si="67"/>
        <v>0</v>
      </c>
      <c r="CS46">
        <f t="shared" si="44"/>
        <v>0</v>
      </c>
      <c r="CT46">
        <f t="shared" si="45"/>
        <v>0</v>
      </c>
      <c r="CU46">
        <f t="shared" si="46"/>
        <v>0</v>
      </c>
      <c r="CV46">
        <f t="shared" si="47"/>
        <v>0</v>
      </c>
      <c r="CW46">
        <f t="shared" si="48"/>
        <v>0</v>
      </c>
      <c r="CX46">
        <f t="shared" si="49"/>
        <v>0</v>
      </c>
      <c r="CY46">
        <f t="shared" si="50"/>
        <v>0</v>
      </c>
      <c r="CZ46">
        <f t="shared" si="51"/>
        <v>0</v>
      </c>
      <c r="DC46" t="s">
        <v>3</v>
      </c>
      <c r="DD46" t="s">
        <v>3</v>
      </c>
      <c r="DE46" t="s">
        <v>3</v>
      </c>
      <c r="DF46" t="s">
        <v>3</v>
      </c>
      <c r="DG46" t="s">
        <v>3</v>
      </c>
      <c r="DH46" t="s">
        <v>3</v>
      </c>
      <c r="DI46" t="s">
        <v>3</v>
      </c>
      <c r="DJ46" t="s">
        <v>3</v>
      </c>
      <c r="DK46" t="s">
        <v>3</v>
      </c>
      <c r="DL46" t="s">
        <v>3</v>
      </c>
      <c r="DM46" t="s">
        <v>3</v>
      </c>
      <c r="DN46">
        <v>0</v>
      </c>
      <c r="DO46">
        <v>0</v>
      </c>
      <c r="DP46">
        <v>1</v>
      </c>
      <c r="DQ46">
        <v>1</v>
      </c>
      <c r="DU46">
        <v>1010</v>
      </c>
      <c r="DV46" t="s">
        <v>29</v>
      </c>
      <c r="DW46" t="s">
        <v>29</v>
      </c>
      <c r="DX46">
        <v>1</v>
      </c>
      <c r="DZ46" t="s">
        <v>3</v>
      </c>
      <c r="EA46" t="s">
        <v>3</v>
      </c>
      <c r="EB46" t="s">
        <v>3</v>
      </c>
      <c r="EC46" t="s">
        <v>3</v>
      </c>
      <c r="EE46">
        <v>77790599</v>
      </c>
      <c r="EF46">
        <v>1</v>
      </c>
      <c r="EG46" t="s">
        <v>23</v>
      </c>
      <c r="EH46">
        <v>0</v>
      </c>
      <c r="EI46" t="s">
        <v>3</v>
      </c>
      <c r="EJ46">
        <v>4</v>
      </c>
      <c r="EK46">
        <v>0</v>
      </c>
      <c r="EL46" t="s">
        <v>24</v>
      </c>
      <c r="EM46" t="s">
        <v>25</v>
      </c>
      <c r="EO46" t="s">
        <v>3</v>
      </c>
      <c r="EQ46">
        <v>0</v>
      </c>
      <c r="ER46">
        <v>369.5</v>
      </c>
      <c r="ES46">
        <v>369.5</v>
      </c>
      <c r="ET46">
        <v>0</v>
      </c>
      <c r="EU46">
        <v>0</v>
      </c>
      <c r="EV46">
        <v>0</v>
      </c>
      <c r="EW46">
        <v>0</v>
      </c>
      <c r="EX46">
        <v>0</v>
      </c>
      <c r="FQ46">
        <v>0</v>
      </c>
      <c r="FR46">
        <f t="shared" si="52"/>
        <v>0</v>
      </c>
      <c r="FS46">
        <v>0</v>
      </c>
      <c r="FX46">
        <v>70</v>
      </c>
      <c r="FY46">
        <v>10</v>
      </c>
      <c r="GA46" t="s">
        <v>3</v>
      </c>
      <c r="GD46">
        <v>0</v>
      </c>
      <c r="GF46">
        <v>809131780</v>
      </c>
      <c r="GG46">
        <v>2</v>
      </c>
      <c r="GH46">
        <v>1</v>
      </c>
      <c r="GI46">
        <v>-2</v>
      </c>
      <c r="GJ46">
        <v>0</v>
      </c>
      <c r="GK46">
        <f>ROUND(R46*(R12)/100,2)</f>
        <v>0</v>
      </c>
      <c r="GL46">
        <f t="shared" si="53"/>
        <v>0</v>
      </c>
      <c r="GM46">
        <f t="shared" si="54"/>
        <v>0</v>
      </c>
      <c r="GN46">
        <f t="shared" si="55"/>
        <v>0</v>
      </c>
      <c r="GO46">
        <f t="shared" si="56"/>
        <v>0</v>
      </c>
      <c r="GP46">
        <f t="shared" si="57"/>
        <v>0</v>
      </c>
      <c r="GR46">
        <v>0</v>
      </c>
      <c r="GS46">
        <v>3</v>
      </c>
      <c r="GT46">
        <v>0</v>
      </c>
      <c r="GU46" t="s">
        <v>3</v>
      </c>
      <c r="GV46">
        <f t="shared" si="58"/>
        <v>0</v>
      </c>
      <c r="GW46">
        <v>1</v>
      </c>
      <c r="GX46">
        <f t="shared" si="59"/>
        <v>0</v>
      </c>
      <c r="HA46">
        <v>0</v>
      </c>
      <c r="HB46">
        <v>0</v>
      </c>
      <c r="HC46">
        <f t="shared" si="60"/>
        <v>0</v>
      </c>
      <c r="HE46" t="s">
        <v>3</v>
      </c>
      <c r="HF46" t="s">
        <v>3</v>
      </c>
      <c r="HM46" t="s">
        <v>3</v>
      </c>
      <c r="HN46" t="s">
        <v>3</v>
      </c>
      <c r="HO46" t="s">
        <v>3</v>
      </c>
      <c r="HP46" t="s">
        <v>3</v>
      </c>
      <c r="HQ46" t="s">
        <v>3</v>
      </c>
      <c r="IK46">
        <v>0</v>
      </c>
    </row>
    <row r="47" spans="1:245" x14ac:dyDescent="0.2">
      <c r="A47">
        <v>17</v>
      </c>
      <c r="B47">
        <v>1</v>
      </c>
      <c r="C47">
        <f>ROW(SmtRes!A46)</f>
        <v>46</v>
      </c>
      <c r="D47">
        <f>ROW(EtalonRes!A42)</f>
        <v>42</v>
      </c>
      <c r="E47" t="s">
        <v>71</v>
      </c>
      <c r="F47" t="s">
        <v>72</v>
      </c>
      <c r="G47" t="s">
        <v>73</v>
      </c>
      <c r="H47" t="s">
        <v>29</v>
      </c>
      <c r="I47">
        <v>2</v>
      </c>
      <c r="J47">
        <v>0</v>
      </c>
      <c r="K47">
        <v>2</v>
      </c>
      <c r="O47">
        <f t="shared" si="28"/>
        <v>148.66999999999999</v>
      </c>
      <c r="P47">
        <f t="shared" si="29"/>
        <v>0</v>
      </c>
      <c r="Q47">
        <f t="shared" si="30"/>
        <v>4.1100000000000003</v>
      </c>
      <c r="R47">
        <f t="shared" si="31"/>
        <v>0.03</v>
      </c>
      <c r="S47">
        <f t="shared" si="32"/>
        <v>144.56</v>
      </c>
      <c r="T47">
        <f t="shared" si="33"/>
        <v>0</v>
      </c>
      <c r="U47">
        <f t="shared" si="34"/>
        <v>0.34400000000000003</v>
      </c>
      <c r="V47">
        <f t="shared" si="35"/>
        <v>0</v>
      </c>
      <c r="W47">
        <f t="shared" si="36"/>
        <v>0</v>
      </c>
      <c r="X47">
        <f t="shared" si="37"/>
        <v>101.19</v>
      </c>
      <c r="Y47">
        <f t="shared" si="38"/>
        <v>14.46</v>
      </c>
      <c r="AA47">
        <v>78131199</v>
      </c>
      <c r="AB47">
        <f t="shared" si="39"/>
        <v>74.334000000000003</v>
      </c>
      <c r="AC47">
        <f>ROUND(((ES47*0)),6)</f>
        <v>0</v>
      </c>
      <c r="AD47">
        <f>ROUND(((((ET47*0.2))-((EU47*0.2)))+AE47),6)</f>
        <v>2.056</v>
      </c>
      <c r="AE47">
        <f>ROUND(((EU47*0.2)),6)</f>
        <v>1.4E-2</v>
      </c>
      <c r="AF47">
        <f>ROUND(((EV47*0.2)),6)</f>
        <v>72.278000000000006</v>
      </c>
      <c r="AG47">
        <f t="shared" si="40"/>
        <v>0</v>
      </c>
      <c r="AH47">
        <f>((EW47*0.2))</f>
        <v>0.17200000000000001</v>
      </c>
      <c r="AI47">
        <f>((EX47*0.2))</f>
        <v>0</v>
      </c>
      <c r="AJ47">
        <f t="shared" si="41"/>
        <v>0</v>
      </c>
      <c r="AK47">
        <v>379.15</v>
      </c>
      <c r="AL47">
        <v>7.48</v>
      </c>
      <c r="AM47">
        <v>10.28</v>
      </c>
      <c r="AN47">
        <v>7.0000000000000007E-2</v>
      </c>
      <c r="AO47">
        <v>361.39</v>
      </c>
      <c r="AP47">
        <v>0</v>
      </c>
      <c r="AQ47">
        <v>0.86</v>
      </c>
      <c r="AR47">
        <v>0</v>
      </c>
      <c r="AS47">
        <v>0</v>
      </c>
      <c r="AT47">
        <v>70</v>
      </c>
      <c r="AU47">
        <v>10</v>
      </c>
      <c r="AV47">
        <v>1</v>
      </c>
      <c r="AW47">
        <v>1</v>
      </c>
      <c r="AZ47">
        <v>1</v>
      </c>
      <c r="BA47">
        <v>1</v>
      </c>
      <c r="BB47">
        <v>1</v>
      </c>
      <c r="BC47">
        <v>1</v>
      </c>
      <c r="BD47" t="s">
        <v>3</v>
      </c>
      <c r="BE47" t="s">
        <v>3</v>
      </c>
      <c r="BF47" t="s">
        <v>3</v>
      </c>
      <c r="BG47" t="s">
        <v>3</v>
      </c>
      <c r="BH47">
        <v>0</v>
      </c>
      <c r="BI47">
        <v>4</v>
      </c>
      <c r="BJ47" t="s">
        <v>74</v>
      </c>
      <c r="BM47">
        <v>0</v>
      </c>
      <c r="BN47">
        <v>77790596</v>
      </c>
      <c r="BO47" t="s">
        <v>3</v>
      </c>
      <c r="BP47">
        <v>0</v>
      </c>
      <c r="BQ47">
        <v>1</v>
      </c>
      <c r="BR47">
        <v>0</v>
      </c>
      <c r="BS47">
        <v>1</v>
      </c>
      <c r="BT47">
        <v>1</v>
      </c>
      <c r="BU47">
        <v>1</v>
      </c>
      <c r="BV47">
        <v>1</v>
      </c>
      <c r="BW47">
        <v>1</v>
      </c>
      <c r="BX47">
        <v>1</v>
      </c>
      <c r="BY47" t="s">
        <v>3</v>
      </c>
      <c r="BZ47">
        <v>70</v>
      </c>
      <c r="CA47">
        <v>10</v>
      </c>
      <c r="CB47" t="s">
        <v>3</v>
      </c>
      <c r="CE47">
        <v>0</v>
      </c>
      <c r="CF47">
        <v>0</v>
      </c>
      <c r="CG47">
        <v>0</v>
      </c>
      <c r="CM47">
        <v>0</v>
      </c>
      <c r="CN47" t="s">
        <v>3</v>
      </c>
      <c r="CO47">
        <v>0</v>
      </c>
      <c r="CP47">
        <f t="shared" si="42"/>
        <v>148.67000000000002</v>
      </c>
      <c r="CQ47">
        <f t="shared" si="43"/>
        <v>0</v>
      </c>
      <c r="CR47">
        <f>(((((ET47*0.2))*BB47-((EU47*0.2))*BS47)+AE47*BS47)*AV47)</f>
        <v>2.056</v>
      </c>
      <c r="CS47">
        <f t="shared" si="44"/>
        <v>1.4E-2</v>
      </c>
      <c r="CT47">
        <f t="shared" si="45"/>
        <v>72.278000000000006</v>
      </c>
      <c r="CU47">
        <f t="shared" si="46"/>
        <v>0</v>
      </c>
      <c r="CV47">
        <f t="shared" si="47"/>
        <v>0.17200000000000001</v>
      </c>
      <c r="CW47">
        <f t="shared" si="48"/>
        <v>0</v>
      </c>
      <c r="CX47">
        <f t="shared" si="49"/>
        <v>0</v>
      </c>
      <c r="CY47">
        <f t="shared" si="50"/>
        <v>101.19200000000001</v>
      </c>
      <c r="CZ47">
        <f t="shared" si="51"/>
        <v>14.456</v>
      </c>
      <c r="DC47" t="s">
        <v>3</v>
      </c>
      <c r="DD47" t="s">
        <v>21</v>
      </c>
      <c r="DE47" t="s">
        <v>22</v>
      </c>
      <c r="DF47" t="s">
        <v>22</v>
      </c>
      <c r="DG47" t="s">
        <v>22</v>
      </c>
      <c r="DH47" t="s">
        <v>3</v>
      </c>
      <c r="DI47" t="s">
        <v>22</v>
      </c>
      <c r="DJ47" t="s">
        <v>22</v>
      </c>
      <c r="DK47" t="s">
        <v>3</v>
      </c>
      <c r="DL47" t="s">
        <v>3</v>
      </c>
      <c r="DM47" t="s">
        <v>3</v>
      </c>
      <c r="DN47">
        <v>0</v>
      </c>
      <c r="DO47">
        <v>0</v>
      </c>
      <c r="DP47">
        <v>1</v>
      </c>
      <c r="DQ47">
        <v>1</v>
      </c>
      <c r="DU47">
        <v>1010</v>
      </c>
      <c r="DV47" t="s">
        <v>29</v>
      </c>
      <c r="DW47" t="s">
        <v>29</v>
      </c>
      <c r="DX47">
        <v>1</v>
      </c>
      <c r="DZ47" t="s">
        <v>3</v>
      </c>
      <c r="EA47" t="s">
        <v>3</v>
      </c>
      <c r="EB47" t="s">
        <v>3</v>
      </c>
      <c r="EC47" t="s">
        <v>3</v>
      </c>
      <c r="EE47">
        <v>77790599</v>
      </c>
      <c r="EF47">
        <v>1</v>
      </c>
      <c r="EG47" t="s">
        <v>23</v>
      </c>
      <c r="EH47">
        <v>0</v>
      </c>
      <c r="EI47" t="s">
        <v>3</v>
      </c>
      <c r="EJ47">
        <v>4</v>
      </c>
      <c r="EK47">
        <v>0</v>
      </c>
      <c r="EL47" t="s">
        <v>24</v>
      </c>
      <c r="EM47" t="s">
        <v>25</v>
      </c>
      <c r="EO47" t="s">
        <v>3</v>
      </c>
      <c r="EQ47">
        <v>131072</v>
      </c>
      <c r="ER47">
        <v>379.15</v>
      </c>
      <c r="ES47">
        <v>7.48</v>
      </c>
      <c r="ET47">
        <v>10.28</v>
      </c>
      <c r="EU47">
        <v>7.0000000000000007E-2</v>
      </c>
      <c r="EV47">
        <v>361.39</v>
      </c>
      <c r="EW47">
        <v>0.86</v>
      </c>
      <c r="EX47">
        <v>0</v>
      </c>
      <c r="EY47">
        <v>0</v>
      </c>
      <c r="FQ47">
        <v>0</v>
      </c>
      <c r="FR47">
        <f t="shared" si="52"/>
        <v>0</v>
      </c>
      <c r="FS47">
        <v>0</v>
      </c>
      <c r="FX47">
        <v>70</v>
      </c>
      <c r="FY47">
        <v>10</v>
      </c>
      <c r="GA47" t="s">
        <v>3</v>
      </c>
      <c r="GD47">
        <v>0</v>
      </c>
      <c r="GF47">
        <v>-111932420</v>
      </c>
      <c r="GG47">
        <v>2</v>
      </c>
      <c r="GH47">
        <v>1</v>
      </c>
      <c r="GI47">
        <v>-2</v>
      </c>
      <c r="GJ47">
        <v>0</v>
      </c>
      <c r="GK47">
        <f>ROUND(R47*(R12)/100,2)</f>
        <v>0.05</v>
      </c>
      <c r="GL47">
        <f t="shared" si="53"/>
        <v>0</v>
      </c>
      <c r="GM47">
        <f t="shared" si="54"/>
        <v>264.37</v>
      </c>
      <c r="GN47">
        <f t="shared" si="55"/>
        <v>0</v>
      </c>
      <c r="GO47">
        <f t="shared" si="56"/>
        <v>0</v>
      </c>
      <c r="GP47">
        <f t="shared" si="57"/>
        <v>264.37</v>
      </c>
      <c r="GR47">
        <v>0</v>
      </c>
      <c r="GS47">
        <v>3</v>
      </c>
      <c r="GT47">
        <v>0</v>
      </c>
      <c r="GU47" t="s">
        <v>3</v>
      </c>
      <c r="GV47">
        <f t="shared" si="58"/>
        <v>0</v>
      </c>
      <c r="GW47">
        <v>1</v>
      </c>
      <c r="GX47">
        <f t="shared" si="59"/>
        <v>0</v>
      </c>
      <c r="HA47">
        <v>0</v>
      </c>
      <c r="HB47">
        <v>0</v>
      </c>
      <c r="HC47">
        <f t="shared" si="60"/>
        <v>0</v>
      </c>
      <c r="HE47" t="s">
        <v>3</v>
      </c>
      <c r="HF47" t="s">
        <v>3</v>
      </c>
      <c r="HM47" t="s">
        <v>3</v>
      </c>
      <c r="HN47" t="s">
        <v>3</v>
      </c>
      <c r="HO47" t="s">
        <v>3</v>
      </c>
      <c r="HP47" t="s">
        <v>3</v>
      </c>
      <c r="HQ47" t="s">
        <v>3</v>
      </c>
      <c r="IK47">
        <v>0</v>
      </c>
    </row>
    <row r="48" spans="1:245" x14ac:dyDescent="0.2">
      <c r="A48">
        <v>18</v>
      </c>
      <c r="B48">
        <v>1</v>
      </c>
      <c r="C48">
        <v>46</v>
      </c>
      <c r="E48" t="s">
        <v>75</v>
      </c>
      <c r="F48" t="s">
        <v>76</v>
      </c>
      <c r="G48" t="s">
        <v>77</v>
      </c>
      <c r="H48" t="s">
        <v>29</v>
      </c>
      <c r="I48">
        <f>I47*J48</f>
        <v>0</v>
      </c>
      <c r="J48">
        <v>0</v>
      </c>
      <c r="K48">
        <v>1</v>
      </c>
      <c r="O48">
        <f t="shared" si="28"/>
        <v>0</v>
      </c>
      <c r="P48">
        <f t="shared" si="29"/>
        <v>0</v>
      </c>
      <c r="Q48">
        <f t="shared" si="30"/>
        <v>0</v>
      </c>
      <c r="R48">
        <f t="shared" si="31"/>
        <v>0</v>
      </c>
      <c r="S48">
        <f t="shared" si="32"/>
        <v>0</v>
      </c>
      <c r="T48">
        <f t="shared" si="33"/>
        <v>0</v>
      </c>
      <c r="U48">
        <f t="shared" si="34"/>
        <v>0</v>
      </c>
      <c r="V48">
        <f t="shared" si="35"/>
        <v>0</v>
      </c>
      <c r="W48">
        <f t="shared" si="36"/>
        <v>0</v>
      </c>
      <c r="X48">
        <f t="shared" si="37"/>
        <v>0</v>
      </c>
      <c r="Y48">
        <f t="shared" si="38"/>
        <v>0</v>
      </c>
      <c r="AA48">
        <v>78131199</v>
      </c>
      <c r="AB48">
        <f t="shared" si="39"/>
        <v>0</v>
      </c>
      <c r="AC48">
        <f>ROUND((ES48),6)</f>
        <v>0</v>
      </c>
      <c r="AD48">
        <f>ROUND((((ET48)-(EU48))+AE48),6)</f>
        <v>0</v>
      </c>
      <c r="AE48">
        <f>ROUND((EU48),6)</f>
        <v>0</v>
      </c>
      <c r="AF48">
        <f>ROUND((EV48),6)</f>
        <v>0</v>
      </c>
      <c r="AG48">
        <f t="shared" si="40"/>
        <v>0</v>
      </c>
      <c r="AH48">
        <f>(EW48)</f>
        <v>0</v>
      </c>
      <c r="AI48">
        <f>(EX48)</f>
        <v>0</v>
      </c>
      <c r="AJ48">
        <f t="shared" si="41"/>
        <v>0</v>
      </c>
      <c r="AK48">
        <v>0</v>
      </c>
      <c r="AL48">
        <v>0</v>
      </c>
      <c r="AM48">
        <v>0</v>
      </c>
      <c r="AN48">
        <v>0</v>
      </c>
      <c r="AO48">
        <v>0</v>
      </c>
      <c r="AP48">
        <v>0</v>
      </c>
      <c r="AQ48">
        <v>0</v>
      </c>
      <c r="AR48">
        <v>0</v>
      </c>
      <c r="AS48">
        <v>0</v>
      </c>
      <c r="AT48">
        <v>70</v>
      </c>
      <c r="AU48">
        <v>10</v>
      </c>
      <c r="AV48">
        <v>1</v>
      </c>
      <c r="AW48">
        <v>1</v>
      </c>
      <c r="AZ48">
        <v>1</v>
      </c>
      <c r="BA48">
        <v>1</v>
      </c>
      <c r="BB48">
        <v>1</v>
      </c>
      <c r="BC48">
        <v>1</v>
      </c>
      <c r="BD48" t="s">
        <v>3</v>
      </c>
      <c r="BE48" t="s">
        <v>3</v>
      </c>
      <c r="BF48" t="s">
        <v>3</v>
      </c>
      <c r="BG48" t="s">
        <v>3</v>
      </c>
      <c r="BH48">
        <v>3</v>
      </c>
      <c r="BI48">
        <v>4</v>
      </c>
      <c r="BJ48" t="s">
        <v>3</v>
      </c>
      <c r="BM48">
        <v>0</v>
      </c>
      <c r="BN48">
        <v>77790596</v>
      </c>
      <c r="BO48" t="s">
        <v>3</v>
      </c>
      <c r="BP48">
        <v>0</v>
      </c>
      <c r="BQ48">
        <v>1</v>
      </c>
      <c r="BR48">
        <v>0</v>
      </c>
      <c r="BS48">
        <v>1</v>
      </c>
      <c r="BT48">
        <v>1</v>
      </c>
      <c r="BU48">
        <v>1</v>
      </c>
      <c r="BV48">
        <v>1</v>
      </c>
      <c r="BW48">
        <v>1</v>
      </c>
      <c r="BX48">
        <v>1</v>
      </c>
      <c r="BY48" t="s">
        <v>3</v>
      </c>
      <c r="BZ48">
        <v>70</v>
      </c>
      <c r="CA48">
        <v>10</v>
      </c>
      <c r="CB48" t="s">
        <v>3</v>
      </c>
      <c r="CE48">
        <v>0</v>
      </c>
      <c r="CF48">
        <v>0</v>
      </c>
      <c r="CG48">
        <v>0</v>
      </c>
      <c r="CM48">
        <v>0</v>
      </c>
      <c r="CN48" t="s">
        <v>3</v>
      </c>
      <c r="CO48">
        <v>0</v>
      </c>
      <c r="CP48">
        <f t="shared" si="42"/>
        <v>0</v>
      </c>
      <c r="CQ48">
        <f t="shared" si="43"/>
        <v>0</v>
      </c>
      <c r="CR48">
        <f>((((ET48)*BB48-(EU48)*BS48)+AE48*BS48)*AV48)</f>
        <v>0</v>
      </c>
      <c r="CS48">
        <f t="shared" si="44"/>
        <v>0</v>
      </c>
      <c r="CT48">
        <f t="shared" si="45"/>
        <v>0</v>
      </c>
      <c r="CU48">
        <f t="shared" si="46"/>
        <v>0</v>
      </c>
      <c r="CV48">
        <f t="shared" si="47"/>
        <v>0</v>
      </c>
      <c r="CW48">
        <f t="shared" si="48"/>
        <v>0</v>
      </c>
      <c r="CX48">
        <f t="shared" si="49"/>
        <v>0</v>
      </c>
      <c r="CY48">
        <f t="shared" si="50"/>
        <v>0</v>
      </c>
      <c r="CZ48">
        <f t="shared" si="51"/>
        <v>0</v>
      </c>
      <c r="DC48" t="s">
        <v>3</v>
      </c>
      <c r="DD48" t="s">
        <v>3</v>
      </c>
      <c r="DE48" t="s">
        <v>3</v>
      </c>
      <c r="DF48" t="s">
        <v>3</v>
      </c>
      <c r="DG48" t="s">
        <v>3</v>
      </c>
      <c r="DH48" t="s">
        <v>3</v>
      </c>
      <c r="DI48" t="s">
        <v>3</v>
      </c>
      <c r="DJ48" t="s">
        <v>3</v>
      </c>
      <c r="DK48" t="s">
        <v>3</v>
      </c>
      <c r="DL48" t="s">
        <v>3</v>
      </c>
      <c r="DM48" t="s">
        <v>3</v>
      </c>
      <c r="DN48">
        <v>0</v>
      </c>
      <c r="DO48">
        <v>0</v>
      </c>
      <c r="DP48">
        <v>1</v>
      </c>
      <c r="DQ48">
        <v>1</v>
      </c>
      <c r="DU48">
        <v>1010</v>
      </c>
      <c r="DV48" t="s">
        <v>29</v>
      </c>
      <c r="DW48" t="s">
        <v>29</v>
      </c>
      <c r="DX48">
        <v>1</v>
      </c>
      <c r="DZ48" t="s">
        <v>3</v>
      </c>
      <c r="EA48" t="s">
        <v>3</v>
      </c>
      <c r="EB48" t="s">
        <v>3</v>
      </c>
      <c r="EC48" t="s">
        <v>3</v>
      </c>
      <c r="EE48">
        <v>77790599</v>
      </c>
      <c r="EF48">
        <v>1</v>
      </c>
      <c r="EG48" t="s">
        <v>23</v>
      </c>
      <c r="EH48">
        <v>0</v>
      </c>
      <c r="EI48" t="s">
        <v>3</v>
      </c>
      <c r="EJ48">
        <v>4</v>
      </c>
      <c r="EK48">
        <v>0</v>
      </c>
      <c r="EL48" t="s">
        <v>24</v>
      </c>
      <c r="EM48" t="s">
        <v>25</v>
      </c>
      <c r="EO48" t="s">
        <v>3</v>
      </c>
      <c r="EQ48">
        <v>0</v>
      </c>
      <c r="ER48">
        <v>0</v>
      </c>
      <c r="ES48">
        <v>0</v>
      </c>
      <c r="ET48">
        <v>0</v>
      </c>
      <c r="EU48">
        <v>0</v>
      </c>
      <c r="EV48">
        <v>0</v>
      </c>
      <c r="EW48">
        <v>0</v>
      </c>
      <c r="EX48">
        <v>0</v>
      </c>
      <c r="FQ48">
        <v>0</v>
      </c>
      <c r="FR48">
        <f t="shared" si="52"/>
        <v>0</v>
      </c>
      <c r="FS48">
        <v>0</v>
      </c>
      <c r="FX48">
        <v>70</v>
      </c>
      <c r="FY48">
        <v>10</v>
      </c>
      <c r="GA48" t="s">
        <v>3</v>
      </c>
      <c r="GD48">
        <v>0</v>
      </c>
      <c r="GF48">
        <v>181685852</v>
      </c>
      <c r="GG48">
        <v>2</v>
      </c>
      <c r="GH48">
        <v>1</v>
      </c>
      <c r="GI48">
        <v>-2</v>
      </c>
      <c r="GJ48">
        <v>0</v>
      </c>
      <c r="GK48">
        <f>ROUND(R48*(R12)/100,2)</f>
        <v>0</v>
      </c>
      <c r="GL48">
        <f t="shared" si="53"/>
        <v>0</v>
      </c>
      <c r="GM48">
        <f t="shared" si="54"/>
        <v>0</v>
      </c>
      <c r="GN48">
        <f t="shared" si="55"/>
        <v>0</v>
      </c>
      <c r="GO48">
        <f t="shared" si="56"/>
        <v>0</v>
      </c>
      <c r="GP48">
        <f t="shared" si="57"/>
        <v>0</v>
      </c>
      <c r="GR48">
        <v>0</v>
      </c>
      <c r="GS48">
        <v>3</v>
      </c>
      <c r="GT48">
        <v>0</v>
      </c>
      <c r="GU48" t="s">
        <v>3</v>
      </c>
      <c r="GV48">
        <f t="shared" si="58"/>
        <v>0</v>
      </c>
      <c r="GW48">
        <v>1</v>
      </c>
      <c r="GX48">
        <f t="shared" si="59"/>
        <v>0</v>
      </c>
      <c r="HA48">
        <v>0</v>
      </c>
      <c r="HB48">
        <v>0</v>
      </c>
      <c r="HC48">
        <f t="shared" si="60"/>
        <v>0</v>
      </c>
      <c r="HE48" t="s">
        <v>3</v>
      </c>
      <c r="HF48" t="s">
        <v>3</v>
      </c>
      <c r="HM48" t="s">
        <v>21</v>
      </c>
      <c r="HN48" t="s">
        <v>3</v>
      </c>
      <c r="HO48" t="s">
        <v>3</v>
      </c>
      <c r="HP48" t="s">
        <v>3</v>
      </c>
      <c r="HQ48" t="s">
        <v>3</v>
      </c>
      <c r="IK48">
        <v>0</v>
      </c>
    </row>
    <row r="49" spans="1:245" x14ac:dyDescent="0.2">
      <c r="A49">
        <v>17</v>
      </c>
      <c r="B49">
        <v>1</v>
      </c>
      <c r="C49">
        <f>ROW(SmtRes!A50)</f>
        <v>50</v>
      </c>
      <c r="D49">
        <f>ROW(EtalonRes!A46)</f>
        <v>46</v>
      </c>
      <c r="E49" t="s">
        <v>78</v>
      </c>
      <c r="F49" t="s">
        <v>79</v>
      </c>
      <c r="G49" t="s">
        <v>80</v>
      </c>
      <c r="H49" t="s">
        <v>81</v>
      </c>
      <c r="I49">
        <f>ROUND(2/10,9)</f>
        <v>0.2</v>
      </c>
      <c r="J49">
        <v>0</v>
      </c>
      <c r="K49">
        <f>ROUND(2/10,9)</f>
        <v>0.2</v>
      </c>
      <c r="O49">
        <f t="shared" si="28"/>
        <v>29.99</v>
      </c>
      <c r="P49">
        <f t="shared" si="29"/>
        <v>0</v>
      </c>
      <c r="Q49">
        <f t="shared" si="30"/>
        <v>0</v>
      </c>
      <c r="R49">
        <f t="shared" si="31"/>
        <v>0</v>
      </c>
      <c r="S49">
        <f t="shared" si="32"/>
        <v>29.99</v>
      </c>
      <c r="T49">
        <f t="shared" si="33"/>
        <v>0</v>
      </c>
      <c r="U49">
        <f t="shared" si="34"/>
        <v>6.8800000000000014E-2</v>
      </c>
      <c r="V49">
        <f t="shared" si="35"/>
        <v>0</v>
      </c>
      <c r="W49">
        <f t="shared" si="36"/>
        <v>0</v>
      </c>
      <c r="X49">
        <f t="shared" si="37"/>
        <v>20.99</v>
      </c>
      <c r="Y49">
        <f t="shared" si="38"/>
        <v>3</v>
      </c>
      <c r="AA49">
        <v>78131199</v>
      </c>
      <c r="AB49">
        <f t="shared" si="39"/>
        <v>149.928</v>
      </c>
      <c r="AC49">
        <f>ROUND(((ES49*0)),6)</f>
        <v>0</v>
      </c>
      <c r="AD49">
        <f>ROUND(((((ET49*0.2))-((EU49*0.2)))+AE49),6)</f>
        <v>0</v>
      </c>
      <c r="AE49">
        <f>ROUND(((EU49*0.2)),6)</f>
        <v>0</v>
      </c>
      <c r="AF49">
        <f>ROUND(((EV49*0.2)),6)</f>
        <v>149.928</v>
      </c>
      <c r="AG49">
        <f t="shared" si="40"/>
        <v>0</v>
      </c>
      <c r="AH49">
        <f>((EW49*0.2))</f>
        <v>0.34400000000000003</v>
      </c>
      <c r="AI49">
        <f>((EX49*0.2))</f>
        <v>0</v>
      </c>
      <c r="AJ49">
        <f t="shared" si="41"/>
        <v>0</v>
      </c>
      <c r="AK49">
        <v>817.5</v>
      </c>
      <c r="AL49">
        <v>67.86</v>
      </c>
      <c r="AM49">
        <v>0</v>
      </c>
      <c r="AN49">
        <v>0</v>
      </c>
      <c r="AO49">
        <v>749.64</v>
      </c>
      <c r="AP49">
        <v>0</v>
      </c>
      <c r="AQ49">
        <v>1.72</v>
      </c>
      <c r="AR49">
        <v>0</v>
      </c>
      <c r="AS49">
        <v>0</v>
      </c>
      <c r="AT49">
        <v>70</v>
      </c>
      <c r="AU49">
        <v>10</v>
      </c>
      <c r="AV49">
        <v>1</v>
      </c>
      <c r="AW49">
        <v>1</v>
      </c>
      <c r="AZ49">
        <v>1</v>
      </c>
      <c r="BA49">
        <v>1</v>
      </c>
      <c r="BB49">
        <v>1</v>
      </c>
      <c r="BC49">
        <v>1</v>
      </c>
      <c r="BD49" t="s">
        <v>3</v>
      </c>
      <c r="BE49" t="s">
        <v>3</v>
      </c>
      <c r="BF49" t="s">
        <v>3</v>
      </c>
      <c r="BG49" t="s">
        <v>3</v>
      </c>
      <c r="BH49">
        <v>0</v>
      </c>
      <c r="BI49">
        <v>4</v>
      </c>
      <c r="BJ49" t="s">
        <v>82</v>
      </c>
      <c r="BM49">
        <v>0</v>
      </c>
      <c r="BN49">
        <v>77790596</v>
      </c>
      <c r="BO49" t="s">
        <v>3</v>
      </c>
      <c r="BP49">
        <v>0</v>
      </c>
      <c r="BQ49">
        <v>1</v>
      </c>
      <c r="BR49">
        <v>0</v>
      </c>
      <c r="BS49">
        <v>1</v>
      </c>
      <c r="BT49">
        <v>1</v>
      </c>
      <c r="BU49">
        <v>1</v>
      </c>
      <c r="BV49">
        <v>1</v>
      </c>
      <c r="BW49">
        <v>1</v>
      </c>
      <c r="BX49">
        <v>1</v>
      </c>
      <c r="BY49" t="s">
        <v>3</v>
      </c>
      <c r="BZ49">
        <v>70</v>
      </c>
      <c r="CA49">
        <v>10</v>
      </c>
      <c r="CB49" t="s">
        <v>3</v>
      </c>
      <c r="CE49">
        <v>0</v>
      </c>
      <c r="CF49">
        <v>0</v>
      </c>
      <c r="CG49">
        <v>0</v>
      </c>
      <c r="CM49">
        <v>0</v>
      </c>
      <c r="CN49" t="s">
        <v>3</v>
      </c>
      <c r="CO49">
        <v>0</v>
      </c>
      <c r="CP49">
        <f t="shared" si="42"/>
        <v>29.99</v>
      </c>
      <c r="CQ49">
        <f t="shared" si="43"/>
        <v>0</v>
      </c>
      <c r="CR49">
        <f>(((((ET49*0.2))*BB49-((EU49*0.2))*BS49)+AE49*BS49)*AV49)</f>
        <v>0</v>
      </c>
      <c r="CS49">
        <f t="shared" si="44"/>
        <v>0</v>
      </c>
      <c r="CT49">
        <f t="shared" si="45"/>
        <v>149.928</v>
      </c>
      <c r="CU49">
        <f t="shared" si="46"/>
        <v>0</v>
      </c>
      <c r="CV49">
        <f t="shared" si="47"/>
        <v>0.34400000000000003</v>
      </c>
      <c r="CW49">
        <f t="shared" si="48"/>
        <v>0</v>
      </c>
      <c r="CX49">
        <f t="shared" si="49"/>
        <v>0</v>
      </c>
      <c r="CY49">
        <f t="shared" si="50"/>
        <v>20.992999999999999</v>
      </c>
      <c r="CZ49">
        <f t="shared" si="51"/>
        <v>2.9989999999999997</v>
      </c>
      <c r="DC49" t="s">
        <v>3</v>
      </c>
      <c r="DD49" t="s">
        <v>21</v>
      </c>
      <c r="DE49" t="s">
        <v>22</v>
      </c>
      <c r="DF49" t="s">
        <v>22</v>
      </c>
      <c r="DG49" t="s">
        <v>22</v>
      </c>
      <c r="DH49" t="s">
        <v>3</v>
      </c>
      <c r="DI49" t="s">
        <v>22</v>
      </c>
      <c r="DJ49" t="s">
        <v>22</v>
      </c>
      <c r="DK49" t="s">
        <v>3</v>
      </c>
      <c r="DL49" t="s">
        <v>3</v>
      </c>
      <c r="DM49" t="s">
        <v>3</v>
      </c>
      <c r="DN49">
        <v>0</v>
      </c>
      <c r="DO49">
        <v>0</v>
      </c>
      <c r="DP49">
        <v>1</v>
      </c>
      <c r="DQ49">
        <v>1</v>
      </c>
      <c r="DU49">
        <v>1010</v>
      </c>
      <c r="DV49" t="s">
        <v>81</v>
      </c>
      <c r="DW49" t="s">
        <v>81</v>
      </c>
      <c r="DX49">
        <v>10</v>
      </c>
      <c r="DZ49" t="s">
        <v>3</v>
      </c>
      <c r="EA49" t="s">
        <v>3</v>
      </c>
      <c r="EB49" t="s">
        <v>3</v>
      </c>
      <c r="EC49" t="s">
        <v>3</v>
      </c>
      <c r="EE49">
        <v>77790599</v>
      </c>
      <c r="EF49">
        <v>1</v>
      </c>
      <c r="EG49" t="s">
        <v>23</v>
      </c>
      <c r="EH49">
        <v>0</v>
      </c>
      <c r="EI49" t="s">
        <v>3</v>
      </c>
      <c r="EJ49">
        <v>4</v>
      </c>
      <c r="EK49">
        <v>0</v>
      </c>
      <c r="EL49" t="s">
        <v>24</v>
      </c>
      <c r="EM49" t="s">
        <v>25</v>
      </c>
      <c r="EO49" t="s">
        <v>3</v>
      </c>
      <c r="EQ49">
        <v>131072</v>
      </c>
      <c r="ER49">
        <v>817.5</v>
      </c>
      <c r="ES49">
        <v>67.86</v>
      </c>
      <c r="ET49">
        <v>0</v>
      </c>
      <c r="EU49">
        <v>0</v>
      </c>
      <c r="EV49">
        <v>749.64</v>
      </c>
      <c r="EW49">
        <v>1.72</v>
      </c>
      <c r="EX49">
        <v>0</v>
      </c>
      <c r="EY49">
        <v>0</v>
      </c>
      <c r="FQ49">
        <v>0</v>
      </c>
      <c r="FR49">
        <f t="shared" si="52"/>
        <v>0</v>
      </c>
      <c r="FS49">
        <v>0</v>
      </c>
      <c r="FX49">
        <v>70</v>
      </c>
      <c r="FY49">
        <v>10</v>
      </c>
      <c r="GA49" t="s">
        <v>3</v>
      </c>
      <c r="GD49">
        <v>0</v>
      </c>
      <c r="GF49">
        <v>-1256547024</v>
      </c>
      <c r="GG49">
        <v>2</v>
      </c>
      <c r="GH49">
        <v>1</v>
      </c>
      <c r="GI49">
        <v>-2</v>
      </c>
      <c r="GJ49">
        <v>0</v>
      </c>
      <c r="GK49">
        <f>ROUND(R49*(R12)/100,2)</f>
        <v>0</v>
      </c>
      <c r="GL49">
        <f t="shared" si="53"/>
        <v>0</v>
      </c>
      <c r="GM49">
        <f t="shared" si="54"/>
        <v>53.98</v>
      </c>
      <c r="GN49">
        <f t="shared" si="55"/>
        <v>0</v>
      </c>
      <c r="GO49">
        <f t="shared" si="56"/>
        <v>0</v>
      </c>
      <c r="GP49">
        <f t="shared" si="57"/>
        <v>53.98</v>
      </c>
      <c r="GR49">
        <v>0</v>
      </c>
      <c r="GS49">
        <v>3</v>
      </c>
      <c r="GT49">
        <v>0</v>
      </c>
      <c r="GU49" t="s">
        <v>3</v>
      </c>
      <c r="GV49">
        <f t="shared" si="58"/>
        <v>0</v>
      </c>
      <c r="GW49">
        <v>1</v>
      </c>
      <c r="GX49">
        <f t="shared" si="59"/>
        <v>0</v>
      </c>
      <c r="HA49">
        <v>0</v>
      </c>
      <c r="HB49">
        <v>0</v>
      </c>
      <c r="HC49">
        <f t="shared" si="60"/>
        <v>0</v>
      </c>
      <c r="HE49" t="s">
        <v>3</v>
      </c>
      <c r="HF49" t="s">
        <v>3</v>
      </c>
      <c r="HM49" t="s">
        <v>3</v>
      </c>
      <c r="HN49" t="s">
        <v>3</v>
      </c>
      <c r="HO49" t="s">
        <v>3</v>
      </c>
      <c r="HP49" t="s">
        <v>3</v>
      </c>
      <c r="HQ49" t="s">
        <v>3</v>
      </c>
      <c r="IK49">
        <v>0</v>
      </c>
    </row>
    <row r="50" spans="1:245" x14ac:dyDescent="0.2">
      <c r="A50">
        <v>17</v>
      </c>
      <c r="B50">
        <v>1</v>
      </c>
      <c r="C50">
        <f>ROW(SmtRes!A55)</f>
        <v>55</v>
      </c>
      <c r="D50">
        <f>ROW(EtalonRes!A50)</f>
        <v>50</v>
      </c>
      <c r="E50" t="s">
        <v>83</v>
      </c>
      <c r="F50" t="s">
        <v>72</v>
      </c>
      <c r="G50" t="s">
        <v>73</v>
      </c>
      <c r="H50" t="s">
        <v>29</v>
      </c>
      <c r="I50">
        <v>2</v>
      </c>
      <c r="J50">
        <v>0</v>
      </c>
      <c r="K50">
        <v>2</v>
      </c>
      <c r="O50">
        <f t="shared" si="28"/>
        <v>758.3</v>
      </c>
      <c r="P50">
        <f t="shared" si="29"/>
        <v>14.96</v>
      </c>
      <c r="Q50">
        <f t="shared" si="30"/>
        <v>20.56</v>
      </c>
      <c r="R50">
        <f t="shared" si="31"/>
        <v>0.14000000000000001</v>
      </c>
      <c r="S50">
        <f t="shared" si="32"/>
        <v>722.78</v>
      </c>
      <c r="T50">
        <f t="shared" si="33"/>
        <v>0</v>
      </c>
      <c r="U50">
        <f t="shared" si="34"/>
        <v>1.72</v>
      </c>
      <c r="V50">
        <f t="shared" si="35"/>
        <v>0</v>
      </c>
      <c r="W50">
        <f t="shared" si="36"/>
        <v>0</v>
      </c>
      <c r="X50">
        <f t="shared" si="37"/>
        <v>505.95</v>
      </c>
      <c r="Y50">
        <f t="shared" si="38"/>
        <v>72.28</v>
      </c>
      <c r="AA50">
        <v>78131199</v>
      </c>
      <c r="AB50">
        <f t="shared" si="39"/>
        <v>379.15</v>
      </c>
      <c r="AC50">
        <f>ROUND((ES50),6)</f>
        <v>7.48</v>
      </c>
      <c r="AD50">
        <f>ROUND((((ET50)-(EU50))+AE50),6)</f>
        <v>10.28</v>
      </c>
      <c r="AE50">
        <f t="shared" ref="AE50:AF54" si="68">ROUND((EU50),6)</f>
        <v>7.0000000000000007E-2</v>
      </c>
      <c r="AF50">
        <f t="shared" si="68"/>
        <v>361.39</v>
      </c>
      <c r="AG50">
        <f t="shared" si="40"/>
        <v>0</v>
      </c>
      <c r="AH50">
        <f t="shared" ref="AH50:AI54" si="69">(EW50)</f>
        <v>0.86</v>
      </c>
      <c r="AI50">
        <f t="shared" si="69"/>
        <v>0</v>
      </c>
      <c r="AJ50">
        <f t="shared" si="41"/>
        <v>0</v>
      </c>
      <c r="AK50">
        <v>379.15</v>
      </c>
      <c r="AL50">
        <v>7.48</v>
      </c>
      <c r="AM50">
        <v>10.28</v>
      </c>
      <c r="AN50">
        <v>7.0000000000000007E-2</v>
      </c>
      <c r="AO50">
        <v>361.39</v>
      </c>
      <c r="AP50">
        <v>0</v>
      </c>
      <c r="AQ50">
        <v>0.86</v>
      </c>
      <c r="AR50">
        <v>0</v>
      </c>
      <c r="AS50">
        <v>0</v>
      </c>
      <c r="AT50">
        <v>70</v>
      </c>
      <c r="AU50">
        <v>10</v>
      </c>
      <c r="AV50">
        <v>1</v>
      </c>
      <c r="AW50">
        <v>1</v>
      </c>
      <c r="AZ50">
        <v>1</v>
      </c>
      <c r="BA50">
        <v>1</v>
      </c>
      <c r="BB50">
        <v>1</v>
      </c>
      <c r="BC50">
        <v>1</v>
      </c>
      <c r="BD50" t="s">
        <v>3</v>
      </c>
      <c r="BE50" t="s">
        <v>3</v>
      </c>
      <c r="BF50" t="s">
        <v>3</v>
      </c>
      <c r="BG50" t="s">
        <v>3</v>
      </c>
      <c r="BH50">
        <v>0</v>
      </c>
      <c r="BI50">
        <v>4</v>
      </c>
      <c r="BJ50" t="s">
        <v>74</v>
      </c>
      <c r="BM50">
        <v>0</v>
      </c>
      <c r="BN50">
        <v>77790596</v>
      </c>
      <c r="BO50" t="s">
        <v>3</v>
      </c>
      <c r="BP50">
        <v>0</v>
      </c>
      <c r="BQ50">
        <v>1</v>
      </c>
      <c r="BR50">
        <v>0</v>
      </c>
      <c r="BS50">
        <v>1</v>
      </c>
      <c r="BT50">
        <v>1</v>
      </c>
      <c r="BU50">
        <v>1</v>
      </c>
      <c r="BV50">
        <v>1</v>
      </c>
      <c r="BW50">
        <v>1</v>
      </c>
      <c r="BX50">
        <v>1</v>
      </c>
      <c r="BY50" t="s">
        <v>3</v>
      </c>
      <c r="BZ50">
        <v>70</v>
      </c>
      <c r="CA50">
        <v>10</v>
      </c>
      <c r="CB50" t="s">
        <v>3</v>
      </c>
      <c r="CE50">
        <v>0</v>
      </c>
      <c r="CF50">
        <v>0</v>
      </c>
      <c r="CG50">
        <v>0</v>
      </c>
      <c r="CM50">
        <v>0</v>
      </c>
      <c r="CN50" t="s">
        <v>3</v>
      </c>
      <c r="CO50">
        <v>0</v>
      </c>
      <c r="CP50">
        <f t="shared" si="42"/>
        <v>758.3</v>
      </c>
      <c r="CQ50">
        <f t="shared" si="43"/>
        <v>7.48</v>
      </c>
      <c r="CR50">
        <f>((((ET50)*BB50-(EU50)*BS50)+AE50*BS50)*AV50)</f>
        <v>10.28</v>
      </c>
      <c r="CS50">
        <f t="shared" si="44"/>
        <v>7.0000000000000007E-2</v>
      </c>
      <c r="CT50">
        <f t="shared" si="45"/>
        <v>361.39</v>
      </c>
      <c r="CU50">
        <f t="shared" si="46"/>
        <v>0</v>
      </c>
      <c r="CV50">
        <f t="shared" si="47"/>
        <v>0.86</v>
      </c>
      <c r="CW50">
        <f t="shared" si="48"/>
        <v>0</v>
      </c>
      <c r="CX50">
        <f t="shared" si="49"/>
        <v>0</v>
      </c>
      <c r="CY50">
        <f t="shared" si="50"/>
        <v>505.94599999999997</v>
      </c>
      <c r="CZ50">
        <f t="shared" si="51"/>
        <v>72.277999999999992</v>
      </c>
      <c r="DC50" t="s">
        <v>3</v>
      </c>
      <c r="DD50" t="s">
        <v>3</v>
      </c>
      <c r="DE50" t="s">
        <v>3</v>
      </c>
      <c r="DF50" t="s">
        <v>3</v>
      </c>
      <c r="DG50" t="s">
        <v>3</v>
      </c>
      <c r="DH50" t="s">
        <v>3</v>
      </c>
      <c r="DI50" t="s">
        <v>3</v>
      </c>
      <c r="DJ50" t="s">
        <v>3</v>
      </c>
      <c r="DK50" t="s">
        <v>3</v>
      </c>
      <c r="DL50" t="s">
        <v>3</v>
      </c>
      <c r="DM50" t="s">
        <v>3</v>
      </c>
      <c r="DN50">
        <v>0</v>
      </c>
      <c r="DO50">
        <v>0</v>
      </c>
      <c r="DP50">
        <v>1</v>
      </c>
      <c r="DQ50">
        <v>1</v>
      </c>
      <c r="DU50">
        <v>1010</v>
      </c>
      <c r="DV50" t="s">
        <v>29</v>
      </c>
      <c r="DW50" t="s">
        <v>29</v>
      </c>
      <c r="DX50">
        <v>1</v>
      </c>
      <c r="DZ50" t="s">
        <v>3</v>
      </c>
      <c r="EA50" t="s">
        <v>3</v>
      </c>
      <c r="EB50" t="s">
        <v>3</v>
      </c>
      <c r="EC50" t="s">
        <v>3</v>
      </c>
      <c r="EE50">
        <v>77790599</v>
      </c>
      <c r="EF50">
        <v>1</v>
      </c>
      <c r="EG50" t="s">
        <v>23</v>
      </c>
      <c r="EH50">
        <v>0</v>
      </c>
      <c r="EI50" t="s">
        <v>3</v>
      </c>
      <c r="EJ50">
        <v>4</v>
      </c>
      <c r="EK50">
        <v>0</v>
      </c>
      <c r="EL50" t="s">
        <v>24</v>
      </c>
      <c r="EM50" t="s">
        <v>25</v>
      </c>
      <c r="EO50" t="s">
        <v>3</v>
      </c>
      <c r="EQ50">
        <v>131072</v>
      </c>
      <c r="ER50">
        <v>379.15</v>
      </c>
      <c r="ES50">
        <v>7.48</v>
      </c>
      <c r="ET50">
        <v>10.28</v>
      </c>
      <c r="EU50">
        <v>7.0000000000000007E-2</v>
      </c>
      <c r="EV50">
        <v>361.39</v>
      </c>
      <c r="EW50">
        <v>0.86</v>
      </c>
      <c r="EX50">
        <v>0</v>
      </c>
      <c r="EY50">
        <v>0</v>
      </c>
      <c r="FQ50">
        <v>0</v>
      </c>
      <c r="FR50">
        <f t="shared" si="52"/>
        <v>0</v>
      </c>
      <c r="FS50">
        <v>0</v>
      </c>
      <c r="FX50">
        <v>70</v>
      </c>
      <c r="FY50">
        <v>10</v>
      </c>
      <c r="GA50" t="s">
        <v>3</v>
      </c>
      <c r="GD50">
        <v>0</v>
      </c>
      <c r="GF50">
        <v>-111932420</v>
      </c>
      <c r="GG50">
        <v>2</v>
      </c>
      <c r="GH50">
        <v>1</v>
      </c>
      <c r="GI50">
        <v>-2</v>
      </c>
      <c r="GJ50">
        <v>0</v>
      </c>
      <c r="GK50">
        <f>ROUND(R50*(R12)/100,2)</f>
        <v>0.22</v>
      </c>
      <c r="GL50">
        <f t="shared" si="53"/>
        <v>0</v>
      </c>
      <c r="GM50">
        <f t="shared" si="54"/>
        <v>1336.75</v>
      </c>
      <c r="GN50">
        <f t="shared" si="55"/>
        <v>0</v>
      </c>
      <c r="GO50">
        <f t="shared" si="56"/>
        <v>0</v>
      </c>
      <c r="GP50">
        <f t="shared" si="57"/>
        <v>1336.75</v>
      </c>
      <c r="GR50">
        <v>0</v>
      </c>
      <c r="GS50">
        <v>3</v>
      </c>
      <c r="GT50">
        <v>0</v>
      </c>
      <c r="GU50" t="s">
        <v>3</v>
      </c>
      <c r="GV50">
        <f t="shared" si="58"/>
        <v>0</v>
      </c>
      <c r="GW50">
        <v>1</v>
      </c>
      <c r="GX50">
        <f t="shared" si="59"/>
        <v>0</v>
      </c>
      <c r="HA50">
        <v>0</v>
      </c>
      <c r="HB50">
        <v>0</v>
      </c>
      <c r="HC50">
        <f t="shared" si="60"/>
        <v>0</v>
      </c>
      <c r="HE50" t="s">
        <v>3</v>
      </c>
      <c r="HF50" t="s">
        <v>3</v>
      </c>
      <c r="HM50" t="s">
        <v>3</v>
      </c>
      <c r="HN50" t="s">
        <v>3</v>
      </c>
      <c r="HO50" t="s">
        <v>3</v>
      </c>
      <c r="HP50" t="s">
        <v>3</v>
      </c>
      <c r="HQ50" t="s">
        <v>3</v>
      </c>
      <c r="IK50">
        <v>0</v>
      </c>
    </row>
    <row r="51" spans="1:245" x14ac:dyDescent="0.2">
      <c r="A51">
        <v>18</v>
      </c>
      <c r="B51">
        <v>1</v>
      </c>
      <c r="C51">
        <v>55</v>
      </c>
      <c r="E51" t="s">
        <v>84</v>
      </c>
      <c r="F51" t="s">
        <v>85</v>
      </c>
      <c r="G51" t="s">
        <v>86</v>
      </c>
      <c r="H51" t="s">
        <v>29</v>
      </c>
      <c r="I51">
        <f>I50*J51</f>
        <v>0</v>
      </c>
      <c r="J51">
        <v>0</v>
      </c>
      <c r="K51">
        <v>0</v>
      </c>
      <c r="O51">
        <f t="shared" si="28"/>
        <v>0</v>
      </c>
      <c r="P51">
        <f t="shared" si="29"/>
        <v>0</v>
      </c>
      <c r="Q51">
        <f t="shared" si="30"/>
        <v>0</v>
      </c>
      <c r="R51">
        <f t="shared" si="31"/>
        <v>0</v>
      </c>
      <c r="S51">
        <f t="shared" si="32"/>
        <v>0</v>
      </c>
      <c r="T51">
        <f t="shared" si="33"/>
        <v>0</v>
      </c>
      <c r="U51">
        <f t="shared" si="34"/>
        <v>0</v>
      </c>
      <c r="V51">
        <f t="shared" si="35"/>
        <v>0</v>
      </c>
      <c r="W51">
        <f t="shared" si="36"/>
        <v>0</v>
      </c>
      <c r="X51">
        <f t="shared" si="37"/>
        <v>0</v>
      </c>
      <c r="Y51">
        <f t="shared" si="38"/>
        <v>0</v>
      </c>
      <c r="AA51">
        <v>78131199</v>
      </c>
      <c r="AB51">
        <f t="shared" si="39"/>
        <v>6016.31</v>
      </c>
      <c r="AC51">
        <f>ROUND((ES51),6)</f>
        <v>6016.31</v>
      </c>
      <c r="AD51">
        <f>ROUND((((ET51)-(EU51))+AE51),6)</f>
        <v>0</v>
      </c>
      <c r="AE51">
        <f t="shared" si="68"/>
        <v>0</v>
      </c>
      <c r="AF51">
        <f t="shared" si="68"/>
        <v>0</v>
      </c>
      <c r="AG51">
        <f t="shared" si="40"/>
        <v>0</v>
      </c>
      <c r="AH51">
        <f t="shared" si="69"/>
        <v>0</v>
      </c>
      <c r="AI51">
        <f t="shared" si="69"/>
        <v>0</v>
      </c>
      <c r="AJ51">
        <f t="shared" si="41"/>
        <v>0</v>
      </c>
      <c r="AK51">
        <v>6016.31</v>
      </c>
      <c r="AL51">
        <v>6016.31</v>
      </c>
      <c r="AM51">
        <v>0</v>
      </c>
      <c r="AN51">
        <v>0</v>
      </c>
      <c r="AO51">
        <v>0</v>
      </c>
      <c r="AP51">
        <v>0</v>
      </c>
      <c r="AQ51">
        <v>0</v>
      </c>
      <c r="AR51">
        <v>0</v>
      </c>
      <c r="AS51">
        <v>0</v>
      </c>
      <c r="AT51">
        <v>70</v>
      </c>
      <c r="AU51">
        <v>10</v>
      </c>
      <c r="AV51">
        <v>1</v>
      </c>
      <c r="AW51">
        <v>1</v>
      </c>
      <c r="AZ51">
        <v>1</v>
      </c>
      <c r="BA51">
        <v>1</v>
      </c>
      <c r="BB51">
        <v>1</v>
      </c>
      <c r="BC51">
        <v>1</v>
      </c>
      <c r="BD51" t="s">
        <v>3</v>
      </c>
      <c r="BE51" t="s">
        <v>3</v>
      </c>
      <c r="BF51" t="s">
        <v>3</v>
      </c>
      <c r="BG51" t="s">
        <v>3</v>
      </c>
      <c r="BH51">
        <v>3</v>
      </c>
      <c r="BI51">
        <v>4</v>
      </c>
      <c r="BJ51" t="s">
        <v>87</v>
      </c>
      <c r="BM51">
        <v>0</v>
      </c>
      <c r="BN51">
        <v>77790596</v>
      </c>
      <c r="BO51" t="s">
        <v>3</v>
      </c>
      <c r="BP51">
        <v>0</v>
      </c>
      <c r="BQ51">
        <v>1</v>
      </c>
      <c r="BR51">
        <v>0</v>
      </c>
      <c r="BS51">
        <v>1</v>
      </c>
      <c r="BT51">
        <v>1</v>
      </c>
      <c r="BU51">
        <v>1</v>
      </c>
      <c r="BV51">
        <v>1</v>
      </c>
      <c r="BW51">
        <v>1</v>
      </c>
      <c r="BX51">
        <v>1</v>
      </c>
      <c r="BY51" t="s">
        <v>3</v>
      </c>
      <c r="BZ51">
        <v>70</v>
      </c>
      <c r="CA51">
        <v>10</v>
      </c>
      <c r="CB51" t="s">
        <v>3</v>
      </c>
      <c r="CE51">
        <v>0</v>
      </c>
      <c r="CF51">
        <v>0</v>
      </c>
      <c r="CG51">
        <v>0</v>
      </c>
      <c r="CM51">
        <v>0</v>
      </c>
      <c r="CN51" t="s">
        <v>3</v>
      </c>
      <c r="CO51">
        <v>0</v>
      </c>
      <c r="CP51">
        <f t="shared" si="42"/>
        <v>0</v>
      </c>
      <c r="CQ51">
        <f t="shared" si="43"/>
        <v>6016.31</v>
      </c>
      <c r="CR51">
        <f>((((ET51)*BB51-(EU51)*BS51)+AE51*BS51)*AV51)</f>
        <v>0</v>
      </c>
      <c r="CS51">
        <f t="shared" si="44"/>
        <v>0</v>
      </c>
      <c r="CT51">
        <f t="shared" si="45"/>
        <v>0</v>
      </c>
      <c r="CU51">
        <f t="shared" si="46"/>
        <v>0</v>
      </c>
      <c r="CV51">
        <f t="shared" si="47"/>
        <v>0</v>
      </c>
      <c r="CW51">
        <f t="shared" si="48"/>
        <v>0</v>
      </c>
      <c r="CX51">
        <f t="shared" si="49"/>
        <v>0</v>
      </c>
      <c r="CY51">
        <f t="shared" si="50"/>
        <v>0</v>
      </c>
      <c r="CZ51">
        <f t="shared" si="51"/>
        <v>0</v>
      </c>
      <c r="DC51" t="s">
        <v>3</v>
      </c>
      <c r="DD51" t="s">
        <v>3</v>
      </c>
      <c r="DE51" t="s">
        <v>3</v>
      </c>
      <c r="DF51" t="s">
        <v>3</v>
      </c>
      <c r="DG51" t="s">
        <v>3</v>
      </c>
      <c r="DH51" t="s">
        <v>3</v>
      </c>
      <c r="DI51" t="s">
        <v>3</v>
      </c>
      <c r="DJ51" t="s">
        <v>3</v>
      </c>
      <c r="DK51" t="s">
        <v>3</v>
      </c>
      <c r="DL51" t="s">
        <v>3</v>
      </c>
      <c r="DM51" t="s">
        <v>3</v>
      </c>
      <c r="DN51">
        <v>0</v>
      </c>
      <c r="DO51">
        <v>0</v>
      </c>
      <c r="DP51">
        <v>1</v>
      </c>
      <c r="DQ51">
        <v>1</v>
      </c>
      <c r="DU51">
        <v>1010</v>
      </c>
      <c r="DV51" t="s">
        <v>29</v>
      </c>
      <c r="DW51" t="s">
        <v>29</v>
      </c>
      <c r="DX51">
        <v>1</v>
      </c>
      <c r="DZ51" t="s">
        <v>3</v>
      </c>
      <c r="EA51" t="s">
        <v>3</v>
      </c>
      <c r="EB51" t="s">
        <v>3</v>
      </c>
      <c r="EC51" t="s">
        <v>3</v>
      </c>
      <c r="EE51">
        <v>77790599</v>
      </c>
      <c r="EF51">
        <v>1</v>
      </c>
      <c r="EG51" t="s">
        <v>23</v>
      </c>
      <c r="EH51">
        <v>0</v>
      </c>
      <c r="EI51" t="s">
        <v>3</v>
      </c>
      <c r="EJ51">
        <v>4</v>
      </c>
      <c r="EK51">
        <v>0</v>
      </c>
      <c r="EL51" t="s">
        <v>24</v>
      </c>
      <c r="EM51" t="s">
        <v>25</v>
      </c>
      <c r="EO51" t="s">
        <v>3</v>
      </c>
      <c r="EQ51">
        <v>0</v>
      </c>
      <c r="ER51">
        <v>6016.31</v>
      </c>
      <c r="ES51">
        <v>6016.31</v>
      </c>
      <c r="ET51">
        <v>0</v>
      </c>
      <c r="EU51">
        <v>0</v>
      </c>
      <c r="EV51">
        <v>0</v>
      </c>
      <c r="EW51">
        <v>0</v>
      </c>
      <c r="EX51">
        <v>0</v>
      </c>
      <c r="FQ51">
        <v>0</v>
      </c>
      <c r="FR51">
        <f t="shared" si="52"/>
        <v>0</v>
      </c>
      <c r="FS51">
        <v>0</v>
      </c>
      <c r="FX51">
        <v>70</v>
      </c>
      <c r="FY51">
        <v>10</v>
      </c>
      <c r="GA51" t="s">
        <v>3</v>
      </c>
      <c r="GD51">
        <v>0</v>
      </c>
      <c r="GF51">
        <v>-1846485765</v>
      </c>
      <c r="GG51">
        <v>2</v>
      </c>
      <c r="GH51">
        <v>1</v>
      </c>
      <c r="GI51">
        <v>-2</v>
      </c>
      <c r="GJ51">
        <v>0</v>
      </c>
      <c r="GK51">
        <f>ROUND(R51*(R12)/100,2)</f>
        <v>0</v>
      </c>
      <c r="GL51">
        <f t="shared" si="53"/>
        <v>0</v>
      </c>
      <c r="GM51">
        <f t="shared" si="54"/>
        <v>0</v>
      </c>
      <c r="GN51">
        <f t="shared" si="55"/>
        <v>0</v>
      </c>
      <c r="GO51">
        <f t="shared" si="56"/>
        <v>0</v>
      </c>
      <c r="GP51">
        <f t="shared" si="57"/>
        <v>0</v>
      </c>
      <c r="GR51">
        <v>0</v>
      </c>
      <c r="GS51">
        <v>3</v>
      </c>
      <c r="GT51">
        <v>0</v>
      </c>
      <c r="GU51" t="s">
        <v>3</v>
      </c>
      <c r="GV51">
        <f t="shared" si="58"/>
        <v>0</v>
      </c>
      <c r="GW51">
        <v>1</v>
      </c>
      <c r="GX51">
        <f t="shared" si="59"/>
        <v>0</v>
      </c>
      <c r="HA51">
        <v>0</v>
      </c>
      <c r="HB51">
        <v>0</v>
      </c>
      <c r="HC51">
        <f t="shared" si="60"/>
        <v>0</v>
      </c>
      <c r="HE51" t="s">
        <v>3</v>
      </c>
      <c r="HF51" t="s">
        <v>3</v>
      </c>
      <c r="HM51" t="s">
        <v>3</v>
      </c>
      <c r="HN51" t="s">
        <v>3</v>
      </c>
      <c r="HO51" t="s">
        <v>3</v>
      </c>
      <c r="HP51" t="s">
        <v>3</v>
      </c>
      <c r="HQ51" t="s">
        <v>3</v>
      </c>
      <c r="IK51">
        <v>0</v>
      </c>
    </row>
    <row r="52" spans="1:245" x14ac:dyDescent="0.2">
      <c r="A52">
        <v>18</v>
      </c>
      <c r="B52">
        <v>1</v>
      </c>
      <c r="C52">
        <v>54</v>
      </c>
      <c r="E52" t="s">
        <v>88</v>
      </c>
      <c r="F52" t="s">
        <v>89</v>
      </c>
      <c r="G52" t="s">
        <v>90</v>
      </c>
      <c r="H52" t="s">
        <v>29</v>
      </c>
      <c r="I52">
        <f>I50*J52</f>
        <v>2</v>
      </c>
      <c r="J52">
        <v>1</v>
      </c>
      <c r="K52">
        <v>1</v>
      </c>
      <c r="O52">
        <f t="shared" si="28"/>
        <v>8532.7199999999993</v>
      </c>
      <c r="P52">
        <f t="shared" si="29"/>
        <v>8532.7199999999993</v>
      </c>
      <c r="Q52">
        <f t="shared" si="30"/>
        <v>0</v>
      </c>
      <c r="R52">
        <f t="shared" si="31"/>
        <v>0</v>
      </c>
      <c r="S52">
        <f t="shared" si="32"/>
        <v>0</v>
      </c>
      <c r="T52">
        <f t="shared" si="33"/>
        <v>0</v>
      </c>
      <c r="U52">
        <f t="shared" si="34"/>
        <v>0</v>
      </c>
      <c r="V52">
        <f t="shared" si="35"/>
        <v>0</v>
      </c>
      <c r="W52">
        <f t="shared" si="36"/>
        <v>0</v>
      </c>
      <c r="X52">
        <f t="shared" si="37"/>
        <v>0</v>
      </c>
      <c r="Y52">
        <f t="shared" si="38"/>
        <v>0</v>
      </c>
      <c r="AA52">
        <v>78131199</v>
      </c>
      <c r="AB52">
        <f t="shared" si="39"/>
        <v>4266.3599999999997</v>
      </c>
      <c r="AC52">
        <f>ROUND((ES52),6)</f>
        <v>4266.3599999999997</v>
      </c>
      <c r="AD52">
        <f>ROUND((((ET52)-(EU52))+AE52),6)</f>
        <v>0</v>
      </c>
      <c r="AE52">
        <f t="shared" si="68"/>
        <v>0</v>
      </c>
      <c r="AF52">
        <f t="shared" si="68"/>
        <v>0</v>
      </c>
      <c r="AG52">
        <f t="shared" si="40"/>
        <v>0</v>
      </c>
      <c r="AH52">
        <f t="shared" si="69"/>
        <v>0</v>
      </c>
      <c r="AI52">
        <f t="shared" si="69"/>
        <v>0</v>
      </c>
      <c r="AJ52">
        <f t="shared" si="41"/>
        <v>0</v>
      </c>
      <c r="AK52">
        <v>4266.3599999999997</v>
      </c>
      <c r="AL52">
        <v>4266.3599999999997</v>
      </c>
      <c r="AM52">
        <v>0</v>
      </c>
      <c r="AN52">
        <v>0</v>
      </c>
      <c r="AO52">
        <v>0</v>
      </c>
      <c r="AP52">
        <v>0</v>
      </c>
      <c r="AQ52">
        <v>0</v>
      </c>
      <c r="AR52">
        <v>0</v>
      </c>
      <c r="AS52">
        <v>0</v>
      </c>
      <c r="AT52">
        <v>70</v>
      </c>
      <c r="AU52">
        <v>10</v>
      </c>
      <c r="AV52">
        <v>1</v>
      </c>
      <c r="AW52">
        <v>1</v>
      </c>
      <c r="AZ52">
        <v>1</v>
      </c>
      <c r="BA52">
        <v>1</v>
      </c>
      <c r="BB52">
        <v>1</v>
      </c>
      <c r="BC52">
        <v>1</v>
      </c>
      <c r="BD52" t="s">
        <v>3</v>
      </c>
      <c r="BE52" t="s">
        <v>3</v>
      </c>
      <c r="BF52" t="s">
        <v>3</v>
      </c>
      <c r="BG52" t="s">
        <v>3</v>
      </c>
      <c r="BH52">
        <v>3</v>
      </c>
      <c r="BI52">
        <v>4</v>
      </c>
      <c r="BJ52" t="s">
        <v>91</v>
      </c>
      <c r="BM52">
        <v>0</v>
      </c>
      <c r="BN52">
        <v>77790596</v>
      </c>
      <c r="BO52" t="s">
        <v>3</v>
      </c>
      <c r="BP52">
        <v>0</v>
      </c>
      <c r="BQ52">
        <v>1</v>
      </c>
      <c r="BR52">
        <v>0</v>
      </c>
      <c r="BS52">
        <v>1</v>
      </c>
      <c r="BT52">
        <v>1</v>
      </c>
      <c r="BU52">
        <v>1</v>
      </c>
      <c r="BV52">
        <v>1</v>
      </c>
      <c r="BW52">
        <v>1</v>
      </c>
      <c r="BX52">
        <v>1</v>
      </c>
      <c r="BY52" t="s">
        <v>3</v>
      </c>
      <c r="BZ52">
        <v>70</v>
      </c>
      <c r="CA52">
        <v>10</v>
      </c>
      <c r="CB52" t="s">
        <v>3</v>
      </c>
      <c r="CE52">
        <v>0</v>
      </c>
      <c r="CF52">
        <v>0</v>
      </c>
      <c r="CG52">
        <v>0</v>
      </c>
      <c r="CM52">
        <v>0</v>
      </c>
      <c r="CN52" t="s">
        <v>3</v>
      </c>
      <c r="CO52">
        <v>0</v>
      </c>
      <c r="CP52">
        <f t="shared" si="42"/>
        <v>8532.7199999999993</v>
      </c>
      <c r="CQ52">
        <f t="shared" si="43"/>
        <v>4266.3599999999997</v>
      </c>
      <c r="CR52">
        <f>((((ET52)*BB52-(EU52)*BS52)+AE52*BS52)*AV52)</f>
        <v>0</v>
      </c>
      <c r="CS52">
        <f t="shared" si="44"/>
        <v>0</v>
      </c>
      <c r="CT52">
        <f t="shared" si="45"/>
        <v>0</v>
      </c>
      <c r="CU52">
        <f t="shared" si="46"/>
        <v>0</v>
      </c>
      <c r="CV52">
        <f t="shared" si="47"/>
        <v>0</v>
      </c>
      <c r="CW52">
        <f t="shared" si="48"/>
        <v>0</v>
      </c>
      <c r="CX52">
        <f t="shared" si="49"/>
        <v>0</v>
      </c>
      <c r="CY52">
        <f t="shared" si="50"/>
        <v>0</v>
      </c>
      <c r="CZ52">
        <f t="shared" si="51"/>
        <v>0</v>
      </c>
      <c r="DC52" t="s">
        <v>3</v>
      </c>
      <c r="DD52" t="s">
        <v>3</v>
      </c>
      <c r="DE52" t="s">
        <v>3</v>
      </c>
      <c r="DF52" t="s">
        <v>3</v>
      </c>
      <c r="DG52" t="s">
        <v>3</v>
      </c>
      <c r="DH52" t="s">
        <v>3</v>
      </c>
      <c r="DI52" t="s">
        <v>3</v>
      </c>
      <c r="DJ52" t="s">
        <v>3</v>
      </c>
      <c r="DK52" t="s">
        <v>3</v>
      </c>
      <c r="DL52" t="s">
        <v>3</v>
      </c>
      <c r="DM52" t="s">
        <v>3</v>
      </c>
      <c r="DN52">
        <v>0</v>
      </c>
      <c r="DO52">
        <v>0</v>
      </c>
      <c r="DP52">
        <v>1</v>
      </c>
      <c r="DQ52">
        <v>1</v>
      </c>
      <c r="DU52">
        <v>1010</v>
      </c>
      <c r="DV52" t="s">
        <v>29</v>
      </c>
      <c r="DW52" t="s">
        <v>29</v>
      </c>
      <c r="DX52">
        <v>1</v>
      </c>
      <c r="DZ52" t="s">
        <v>3</v>
      </c>
      <c r="EA52" t="s">
        <v>3</v>
      </c>
      <c r="EB52" t="s">
        <v>3</v>
      </c>
      <c r="EC52" t="s">
        <v>3</v>
      </c>
      <c r="EE52">
        <v>77790599</v>
      </c>
      <c r="EF52">
        <v>1</v>
      </c>
      <c r="EG52" t="s">
        <v>23</v>
      </c>
      <c r="EH52">
        <v>0</v>
      </c>
      <c r="EI52" t="s">
        <v>3</v>
      </c>
      <c r="EJ52">
        <v>4</v>
      </c>
      <c r="EK52">
        <v>0</v>
      </c>
      <c r="EL52" t="s">
        <v>24</v>
      </c>
      <c r="EM52" t="s">
        <v>25</v>
      </c>
      <c r="EO52" t="s">
        <v>3</v>
      </c>
      <c r="EQ52">
        <v>0</v>
      </c>
      <c r="ER52">
        <v>4266.3599999999997</v>
      </c>
      <c r="ES52">
        <v>4266.3599999999997</v>
      </c>
      <c r="ET52">
        <v>0</v>
      </c>
      <c r="EU52">
        <v>0</v>
      </c>
      <c r="EV52">
        <v>0</v>
      </c>
      <c r="EW52">
        <v>0</v>
      </c>
      <c r="EX52">
        <v>0</v>
      </c>
      <c r="FQ52">
        <v>0</v>
      </c>
      <c r="FR52">
        <f t="shared" si="52"/>
        <v>0</v>
      </c>
      <c r="FS52">
        <v>0</v>
      </c>
      <c r="FX52">
        <v>70</v>
      </c>
      <c r="FY52">
        <v>10</v>
      </c>
      <c r="GA52" t="s">
        <v>3</v>
      </c>
      <c r="GD52">
        <v>0</v>
      </c>
      <c r="GF52">
        <v>-97954409</v>
      </c>
      <c r="GG52">
        <v>2</v>
      </c>
      <c r="GH52">
        <v>1</v>
      </c>
      <c r="GI52">
        <v>-2</v>
      </c>
      <c r="GJ52">
        <v>0</v>
      </c>
      <c r="GK52">
        <f>ROUND(R52*(R12)/100,2)</f>
        <v>0</v>
      </c>
      <c r="GL52">
        <f t="shared" si="53"/>
        <v>0</v>
      </c>
      <c r="GM52">
        <f t="shared" si="54"/>
        <v>8532.7199999999993</v>
      </c>
      <c r="GN52">
        <f t="shared" si="55"/>
        <v>0</v>
      </c>
      <c r="GO52">
        <f t="shared" si="56"/>
        <v>0</v>
      </c>
      <c r="GP52">
        <f t="shared" si="57"/>
        <v>8532.7199999999993</v>
      </c>
      <c r="GR52">
        <v>0</v>
      </c>
      <c r="GS52">
        <v>3</v>
      </c>
      <c r="GT52">
        <v>0</v>
      </c>
      <c r="GU52" t="s">
        <v>3</v>
      </c>
      <c r="GV52">
        <f t="shared" si="58"/>
        <v>0</v>
      </c>
      <c r="GW52">
        <v>1</v>
      </c>
      <c r="GX52">
        <f t="shared" si="59"/>
        <v>0</v>
      </c>
      <c r="HA52">
        <v>0</v>
      </c>
      <c r="HB52">
        <v>0</v>
      </c>
      <c r="HC52">
        <f t="shared" si="60"/>
        <v>0</v>
      </c>
      <c r="HE52" t="s">
        <v>3</v>
      </c>
      <c r="HF52" t="s">
        <v>3</v>
      </c>
      <c r="HM52" t="s">
        <v>3</v>
      </c>
      <c r="HN52" t="s">
        <v>3</v>
      </c>
      <c r="HO52" t="s">
        <v>3</v>
      </c>
      <c r="HP52" t="s">
        <v>3</v>
      </c>
      <c r="HQ52" t="s">
        <v>3</v>
      </c>
      <c r="IK52">
        <v>0</v>
      </c>
    </row>
    <row r="53" spans="1:245" x14ac:dyDescent="0.2">
      <c r="A53">
        <v>17</v>
      </c>
      <c r="B53">
        <v>1</v>
      </c>
      <c r="C53">
        <f>ROW(SmtRes!A60)</f>
        <v>60</v>
      </c>
      <c r="D53">
        <f>ROW(EtalonRes!A54)</f>
        <v>54</v>
      </c>
      <c r="E53" t="s">
        <v>92</v>
      </c>
      <c r="F53" t="s">
        <v>79</v>
      </c>
      <c r="G53" t="s">
        <v>80</v>
      </c>
      <c r="H53" t="s">
        <v>81</v>
      </c>
      <c r="I53">
        <f>ROUND(2/10,9)</f>
        <v>0.2</v>
      </c>
      <c r="J53">
        <v>0</v>
      </c>
      <c r="K53">
        <f>ROUND(2/10,9)</f>
        <v>0.2</v>
      </c>
      <c r="O53">
        <f t="shared" si="28"/>
        <v>163.5</v>
      </c>
      <c r="P53">
        <f t="shared" si="29"/>
        <v>13.57</v>
      </c>
      <c r="Q53">
        <f t="shared" si="30"/>
        <v>0</v>
      </c>
      <c r="R53">
        <f t="shared" si="31"/>
        <v>0</v>
      </c>
      <c r="S53">
        <f t="shared" si="32"/>
        <v>149.93</v>
      </c>
      <c r="T53">
        <f t="shared" si="33"/>
        <v>0</v>
      </c>
      <c r="U53">
        <f t="shared" si="34"/>
        <v>0.34400000000000003</v>
      </c>
      <c r="V53">
        <f t="shared" si="35"/>
        <v>0</v>
      </c>
      <c r="W53">
        <f t="shared" si="36"/>
        <v>0</v>
      </c>
      <c r="X53">
        <f t="shared" si="37"/>
        <v>104.95</v>
      </c>
      <c r="Y53">
        <f t="shared" si="38"/>
        <v>14.99</v>
      </c>
      <c r="AA53">
        <v>78131199</v>
      </c>
      <c r="AB53">
        <f t="shared" si="39"/>
        <v>817.5</v>
      </c>
      <c r="AC53">
        <f>ROUND((ES53),6)</f>
        <v>67.86</v>
      </c>
      <c r="AD53">
        <f>ROUND((((ET53)-(EU53))+AE53),6)</f>
        <v>0</v>
      </c>
      <c r="AE53">
        <f t="shared" si="68"/>
        <v>0</v>
      </c>
      <c r="AF53">
        <f t="shared" si="68"/>
        <v>749.64</v>
      </c>
      <c r="AG53">
        <f t="shared" si="40"/>
        <v>0</v>
      </c>
      <c r="AH53">
        <f t="shared" si="69"/>
        <v>1.72</v>
      </c>
      <c r="AI53">
        <f t="shared" si="69"/>
        <v>0</v>
      </c>
      <c r="AJ53">
        <f t="shared" si="41"/>
        <v>0</v>
      </c>
      <c r="AK53">
        <v>817.5</v>
      </c>
      <c r="AL53">
        <v>67.86</v>
      </c>
      <c r="AM53">
        <v>0</v>
      </c>
      <c r="AN53">
        <v>0</v>
      </c>
      <c r="AO53">
        <v>749.64</v>
      </c>
      <c r="AP53">
        <v>0</v>
      </c>
      <c r="AQ53">
        <v>1.72</v>
      </c>
      <c r="AR53">
        <v>0</v>
      </c>
      <c r="AS53">
        <v>0</v>
      </c>
      <c r="AT53">
        <v>70</v>
      </c>
      <c r="AU53">
        <v>10</v>
      </c>
      <c r="AV53">
        <v>1</v>
      </c>
      <c r="AW53">
        <v>1</v>
      </c>
      <c r="AZ53">
        <v>1</v>
      </c>
      <c r="BA53">
        <v>1</v>
      </c>
      <c r="BB53">
        <v>1</v>
      </c>
      <c r="BC53">
        <v>1</v>
      </c>
      <c r="BD53" t="s">
        <v>3</v>
      </c>
      <c r="BE53" t="s">
        <v>3</v>
      </c>
      <c r="BF53" t="s">
        <v>3</v>
      </c>
      <c r="BG53" t="s">
        <v>3</v>
      </c>
      <c r="BH53">
        <v>0</v>
      </c>
      <c r="BI53">
        <v>4</v>
      </c>
      <c r="BJ53" t="s">
        <v>82</v>
      </c>
      <c r="BM53">
        <v>0</v>
      </c>
      <c r="BN53">
        <v>77790596</v>
      </c>
      <c r="BO53" t="s">
        <v>3</v>
      </c>
      <c r="BP53">
        <v>0</v>
      </c>
      <c r="BQ53">
        <v>1</v>
      </c>
      <c r="BR53">
        <v>0</v>
      </c>
      <c r="BS53">
        <v>1</v>
      </c>
      <c r="BT53">
        <v>1</v>
      </c>
      <c r="BU53">
        <v>1</v>
      </c>
      <c r="BV53">
        <v>1</v>
      </c>
      <c r="BW53">
        <v>1</v>
      </c>
      <c r="BX53">
        <v>1</v>
      </c>
      <c r="BY53" t="s">
        <v>3</v>
      </c>
      <c r="BZ53">
        <v>70</v>
      </c>
      <c r="CA53">
        <v>10</v>
      </c>
      <c r="CB53" t="s">
        <v>3</v>
      </c>
      <c r="CE53">
        <v>0</v>
      </c>
      <c r="CF53">
        <v>0</v>
      </c>
      <c r="CG53">
        <v>0</v>
      </c>
      <c r="CM53">
        <v>0</v>
      </c>
      <c r="CN53" t="s">
        <v>3</v>
      </c>
      <c r="CO53">
        <v>0</v>
      </c>
      <c r="CP53">
        <f t="shared" si="42"/>
        <v>163.5</v>
      </c>
      <c r="CQ53">
        <f t="shared" si="43"/>
        <v>67.86</v>
      </c>
      <c r="CR53">
        <f>((((ET53)*BB53-(EU53)*BS53)+AE53*BS53)*AV53)</f>
        <v>0</v>
      </c>
      <c r="CS53">
        <f t="shared" si="44"/>
        <v>0</v>
      </c>
      <c r="CT53">
        <f t="shared" si="45"/>
        <v>749.64</v>
      </c>
      <c r="CU53">
        <f t="shared" si="46"/>
        <v>0</v>
      </c>
      <c r="CV53">
        <f t="shared" si="47"/>
        <v>1.72</v>
      </c>
      <c r="CW53">
        <f t="shared" si="48"/>
        <v>0</v>
      </c>
      <c r="CX53">
        <f t="shared" si="49"/>
        <v>0</v>
      </c>
      <c r="CY53">
        <f t="shared" si="50"/>
        <v>104.95100000000001</v>
      </c>
      <c r="CZ53">
        <f t="shared" si="51"/>
        <v>14.993000000000002</v>
      </c>
      <c r="DC53" t="s">
        <v>3</v>
      </c>
      <c r="DD53" t="s">
        <v>3</v>
      </c>
      <c r="DE53" t="s">
        <v>3</v>
      </c>
      <c r="DF53" t="s">
        <v>3</v>
      </c>
      <c r="DG53" t="s">
        <v>3</v>
      </c>
      <c r="DH53" t="s">
        <v>3</v>
      </c>
      <c r="DI53" t="s">
        <v>3</v>
      </c>
      <c r="DJ53" t="s">
        <v>3</v>
      </c>
      <c r="DK53" t="s">
        <v>3</v>
      </c>
      <c r="DL53" t="s">
        <v>3</v>
      </c>
      <c r="DM53" t="s">
        <v>3</v>
      </c>
      <c r="DN53">
        <v>0</v>
      </c>
      <c r="DO53">
        <v>0</v>
      </c>
      <c r="DP53">
        <v>1</v>
      </c>
      <c r="DQ53">
        <v>1</v>
      </c>
      <c r="DU53">
        <v>1010</v>
      </c>
      <c r="DV53" t="s">
        <v>81</v>
      </c>
      <c r="DW53" t="s">
        <v>81</v>
      </c>
      <c r="DX53">
        <v>10</v>
      </c>
      <c r="DZ53" t="s">
        <v>3</v>
      </c>
      <c r="EA53" t="s">
        <v>3</v>
      </c>
      <c r="EB53" t="s">
        <v>3</v>
      </c>
      <c r="EC53" t="s">
        <v>3</v>
      </c>
      <c r="EE53">
        <v>77790599</v>
      </c>
      <c r="EF53">
        <v>1</v>
      </c>
      <c r="EG53" t="s">
        <v>23</v>
      </c>
      <c r="EH53">
        <v>0</v>
      </c>
      <c r="EI53" t="s">
        <v>3</v>
      </c>
      <c r="EJ53">
        <v>4</v>
      </c>
      <c r="EK53">
        <v>0</v>
      </c>
      <c r="EL53" t="s">
        <v>24</v>
      </c>
      <c r="EM53" t="s">
        <v>25</v>
      </c>
      <c r="EO53" t="s">
        <v>3</v>
      </c>
      <c r="EQ53">
        <v>131072</v>
      </c>
      <c r="ER53">
        <v>817.5</v>
      </c>
      <c r="ES53">
        <v>67.86</v>
      </c>
      <c r="ET53">
        <v>0</v>
      </c>
      <c r="EU53">
        <v>0</v>
      </c>
      <c r="EV53">
        <v>749.64</v>
      </c>
      <c r="EW53">
        <v>1.72</v>
      </c>
      <c r="EX53">
        <v>0</v>
      </c>
      <c r="EY53">
        <v>0</v>
      </c>
      <c r="FQ53">
        <v>0</v>
      </c>
      <c r="FR53">
        <f t="shared" si="52"/>
        <v>0</v>
      </c>
      <c r="FS53">
        <v>0</v>
      </c>
      <c r="FX53">
        <v>70</v>
      </c>
      <c r="FY53">
        <v>10</v>
      </c>
      <c r="GA53" t="s">
        <v>3</v>
      </c>
      <c r="GD53">
        <v>0</v>
      </c>
      <c r="GF53">
        <v>-1256547024</v>
      </c>
      <c r="GG53">
        <v>2</v>
      </c>
      <c r="GH53">
        <v>1</v>
      </c>
      <c r="GI53">
        <v>-2</v>
      </c>
      <c r="GJ53">
        <v>0</v>
      </c>
      <c r="GK53">
        <f>ROUND(R53*(R12)/100,2)</f>
        <v>0</v>
      </c>
      <c r="GL53">
        <f t="shared" si="53"/>
        <v>0</v>
      </c>
      <c r="GM53">
        <f t="shared" si="54"/>
        <v>283.44</v>
      </c>
      <c r="GN53">
        <f t="shared" si="55"/>
        <v>0</v>
      </c>
      <c r="GO53">
        <f t="shared" si="56"/>
        <v>0</v>
      </c>
      <c r="GP53">
        <f t="shared" si="57"/>
        <v>283.44</v>
      </c>
      <c r="GR53">
        <v>0</v>
      </c>
      <c r="GS53">
        <v>3</v>
      </c>
      <c r="GT53">
        <v>0</v>
      </c>
      <c r="GU53" t="s">
        <v>3</v>
      </c>
      <c r="GV53">
        <f t="shared" si="58"/>
        <v>0</v>
      </c>
      <c r="GW53">
        <v>1</v>
      </c>
      <c r="GX53">
        <f t="shared" si="59"/>
        <v>0</v>
      </c>
      <c r="HA53">
        <v>0</v>
      </c>
      <c r="HB53">
        <v>0</v>
      </c>
      <c r="HC53">
        <f t="shared" si="60"/>
        <v>0</v>
      </c>
      <c r="HE53" t="s">
        <v>3</v>
      </c>
      <c r="HF53" t="s">
        <v>3</v>
      </c>
      <c r="HM53" t="s">
        <v>3</v>
      </c>
      <c r="HN53" t="s">
        <v>3</v>
      </c>
      <c r="HO53" t="s">
        <v>3</v>
      </c>
      <c r="HP53" t="s">
        <v>3</v>
      </c>
      <c r="HQ53" t="s">
        <v>3</v>
      </c>
      <c r="IK53">
        <v>0</v>
      </c>
    </row>
    <row r="54" spans="1:245" x14ac:dyDescent="0.2">
      <c r="A54">
        <v>18</v>
      </c>
      <c r="B54">
        <v>1</v>
      </c>
      <c r="C54">
        <v>58</v>
      </c>
      <c r="E54" t="s">
        <v>93</v>
      </c>
      <c r="F54" t="s">
        <v>94</v>
      </c>
      <c r="G54" t="s">
        <v>95</v>
      </c>
      <c r="H54" t="s">
        <v>29</v>
      </c>
      <c r="I54">
        <f>I53*J54</f>
        <v>2</v>
      </c>
      <c r="J54">
        <v>10</v>
      </c>
      <c r="K54">
        <v>10</v>
      </c>
      <c r="O54">
        <f t="shared" si="28"/>
        <v>12220.24</v>
      </c>
      <c r="P54">
        <f t="shared" si="29"/>
        <v>12220.24</v>
      </c>
      <c r="Q54">
        <f t="shared" si="30"/>
        <v>0</v>
      </c>
      <c r="R54">
        <f t="shared" si="31"/>
        <v>0</v>
      </c>
      <c r="S54">
        <f t="shared" si="32"/>
        <v>0</v>
      </c>
      <c r="T54">
        <f t="shared" si="33"/>
        <v>0</v>
      </c>
      <c r="U54">
        <f t="shared" si="34"/>
        <v>0</v>
      </c>
      <c r="V54">
        <f t="shared" si="35"/>
        <v>0</v>
      </c>
      <c r="W54">
        <f t="shared" si="36"/>
        <v>0</v>
      </c>
      <c r="X54">
        <f t="shared" si="37"/>
        <v>0</v>
      </c>
      <c r="Y54">
        <f t="shared" si="38"/>
        <v>0</v>
      </c>
      <c r="AA54">
        <v>78131199</v>
      </c>
      <c r="AB54">
        <f t="shared" si="39"/>
        <v>6110.12</v>
      </c>
      <c r="AC54">
        <f>ROUND((ES54),6)</f>
        <v>6110.12</v>
      </c>
      <c r="AD54">
        <f>ROUND((((ET54)-(EU54))+AE54),6)</f>
        <v>0</v>
      </c>
      <c r="AE54">
        <f t="shared" si="68"/>
        <v>0</v>
      </c>
      <c r="AF54">
        <f t="shared" si="68"/>
        <v>0</v>
      </c>
      <c r="AG54">
        <f t="shared" si="40"/>
        <v>0</v>
      </c>
      <c r="AH54">
        <f t="shared" si="69"/>
        <v>0</v>
      </c>
      <c r="AI54">
        <f t="shared" si="69"/>
        <v>0</v>
      </c>
      <c r="AJ54">
        <f t="shared" si="41"/>
        <v>0</v>
      </c>
      <c r="AK54">
        <v>6110.12</v>
      </c>
      <c r="AL54">
        <v>6110.12</v>
      </c>
      <c r="AM54">
        <v>0</v>
      </c>
      <c r="AN54">
        <v>0</v>
      </c>
      <c r="AO54">
        <v>0</v>
      </c>
      <c r="AP54">
        <v>0</v>
      </c>
      <c r="AQ54">
        <v>0</v>
      </c>
      <c r="AR54">
        <v>0</v>
      </c>
      <c r="AS54">
        <v>0</v>
      </c>
      <c r="AT54">
        <v>70</v>
      </c>
      <c r="AU54">
        <v>10</v>
      </c>
      <c r="AV54">
        <v>1</v>
      </c>
      <c r="AW54">
        <v>1</v>
      </c>
      <c r="AZ54">
        <v>1</v>
      </c>
      <c r="BA54">
        <v>1</v>
      </c>
      <c r="BB54">
        <v>1</v>
      </c>
      <c r="BC54">
        <v>1</v>
      </c>
      <c r="BD54" t="s">
        <v>3</v>
      </c>
      <c r="BE54" t="s">
        <v>3</v>
      </c>
      <c r="BF54" t="s">
        <v>3</v>
      </c>
      <c r="BG54" t="s">
        <v>3</v>
      </c>
      <c r="BH54">
        <v>3</v>
      </c>
      <c r="BI54">
        <v>4</v>
      </c>
      <c r="BJ54" t="s">
        <v>96</v>
      </c>
      <c r="BM54">
        <v>0</v>
      </c>
      <c r="BN54">
        <v>77790596</v>
      </c>
      <c r="BO54" t="s">
        <v>3</v>
      </c>
      <c r="BP54">
        <v>0</v>
      </c>
      <c r="BQ54">
        <v>1</v>
      </c>
      <c r="BR54">
        <v>0</v>
      </c>
      <c r="BS54">
        <v>1</v>
      </c>
      <c r="BT54">
        <v>1</v>
      </c>
      <c r="BU54">
        <v>1</v>
      </c>
      <c r="BV54">
        <v>1</v>
      </c>
      <c r="BW54">
        <v>1</v>
      </c>
      <c r="BX54">
        <v>1</v>
      </c>
      <c r="BY54" t="s">
        <v>3</v>
      </c>
      <c r="BZ54">
        <v>70</v>
      </c>
      <c r="CA54">
        <v>10</v>
      </c>
      <c r="CB54" t="s">
        <v>3</v>
      </c>
      <c r="CE54">
        <v>0</v>
      </c>
      <c r="CF54">
        <v>0</v>
      </c>
      <c r="CG54">
        <v>0</v>
      </c>
      <c r="CM54">
        <v>0</v>
      </c>
      <c r="CN54" t="s">
        <v>3</v>
      </c>
      <c r="CO54">
        <v>0</v>
      </c>
      <c r="CP54">
        <f t="shared" si="42"/>
        <v>12220.24</v>
      </c>
      <c r="CQ54">
        <f t="shared" si="43"/>
        <v>6110.12</v>
      </c>
      <c r="CR54">
        <f>((((ET54)*BB54-(EU54)*BS54)+AE54*BS54)*AV54)</f>
        <v>0</v>
      </c>
      <c r="CS54">
        <f t="shared" si="44"/>
        <v>0</v>
      </c>
      <c r="CT54">
        <f t="shared" si="45"/>
        <v>0</v>
      </c>
      <c r="CU54">
        <f t="shared" si="46"/>
        <v>0</v>
      </c>
      <c r="CV54">
        <f t="shared" si="47"/>
        <v>0</v>
      </c>
      <c r="CW54">
        <f t="shared" si="48"/>
        <v>0</v>
      </c>
      <c r="CX54">
        <f t="shared" si="49"/>
        <v>0</v>
      </c>
      <c r="CY54">
        <f t="shared" si="50"/>
        <v>0</v>
      </c>
      <c r="CZ54">
        <f t="shared" si="51"/>
        <v>0</v>
      </c>
      <c r="DC54" t="s">
        <v>3</v>
      </c>
      <c r="DD54" t="s">
        <v>3</v>
      </c>
      <c r="DE54" t="s">
        <v>3</v>
      </c>
      <c r="DF54" t="s">
        <v>3</v>
      </c>
      <c r="DG54" t="s">
        <v>3</v>
      </c>
      <c r="DH54" t="s">
        <v>3</v>
      </c>
      <c r="DI54" t="s">
        <v>3</v>
      </c>
      <c r="DJ54" t="s">
        <v>3</v>
      </c>
      <c r="DK54" t="s">
        <v>3</v>
      </c>
      <c r="DL54" t="s">
        <v>3</v>
      </c>
      <c r="DM54" t="s">
        <v>3</v>
      </c>
      <c r="DN54">
        <v>0</v>
      </c>
      <c r="DO54">
        <v>0</v>
      </c>
      <c r="DP54">
        <v>1</v>
      </c>
      <c r="DQ54">
        <v>1</v>
      </c>
      <c r="DU54">
        <v>1010</v>
      </c>
      <c r="DV54" t="s">
        <v>29</v>
      </c>
      <c r="DW54" t="s">
        <v>29</v>
      </c>
      <c r="DX54">
        <v>1</v>
      </c>
      <c r="DZ54" t="s">
        <v>3</v>
      </c>
      <c r="EA54" t="s">
        <v>3</v>
      </c>
      <c r="EB54" t="s">
        <v>3</v>
      </c>
      <c r="EC54" t="s">
        <v>3</v>
      </c>
      <c r="EE54">
        <v>77790599</v>
      </c>
      <c r="EF54">
        <v>1</v>
      </c>
      <c r="EG54" t="s">
        <v>23</v>
      </c>
      <c r="EH54">
        <v>0</v>
      </c>
      <c r="EI54" t="s">
        <v>3</v>
      </c>
      <c r="EJ54">
        <v>4</v>
      </c>
      <c r="EK54">
        <v>0</v>
      </c>
      <c r="EL54" t="s">
        <v>24</v>
      </c>
      <c r="EM54" t="s">
        <v>25</v>
      </c>
      <c r="EO54" t="s">
        <v>3</v>
      </c>
      <c r="EQ54">
        <v>0</v>
      </c>
      <c r="ER54">
        <v>6110.12</v>
      </c>
      <c r="ES54">
        <v>6110.12</v>
      </c>
      <c r="ET54">
        <v>0</v>
      </c>
      <c r="EU54">
        <v>0</v>
      </c>
      <c r="EV54">
        <v>0</v>
      </c>
      <c r="EW54">
        <v>0</v>
      </c>
      <c r="EX54">
        <v>0</v>
      </c>
      <c r="FQ54">
        <v>0</v>
      </c>
      <c r="FR54">
        <f t="shared" si="52"/>
        <v>0</v>
      </c>
      <c r="FS54">
        <v>0</v>
      </c>
      <c r="FX54">
        <v>70</v>
      </c>
      <c r="FY54">
        <v>10</v>
      </c>
      <c r="GA54" t="s">
        <v>3</v>
      </c>
      <c r="GD54">
        <v>0</v>
      </c>
      <c r="GF54">
        <v>1950520833</v>
      </c>
      <c r="GG54">
        <v>2</v>
      </c>
      <c r="GH54">
        <v>1</v>
      </c>
      <c r="GI54">
        <v>-2</v>
      </c>
      <c r="GJ54">
        <v>0</v>
      </c>
      <c r="GK54">
        <f>ROUND(R54*(R12)/100,2)</f>
        <v>0</v>
      </c>
      <c r="GL54">
        <f t="shared" si="53"/>
        <v>0</v>
      </c>
      <c r="GM54">
        <f t="shared" si="54"/>
        <v>12220.24</v>
      </c>
      <c r="GN54">
        <f t="shared" si="55"/>
        <v>0</v>
      </c>
      <c r="GO54">
        <f t="shared" si="56"/>
        <v>0</v>
      </c>
      <c r="GP54">
        <f t="shared" si="57"/>
        <v>12220.24</v>
      </c>
      <c r="GR54">
        <v>0</v>
      </c>
      <c r="GS54">
        <v>3</v>
      </c>
      <c r="GT54">
        <v>0</v>
      </c>
      <c r="GU54" t="s">
        <v>3</v>
      </c>
      <c r="GV54">
        <f t="shared" si="58"/>
        <v>0</v>
      </c>
      <c r="GW54">
        <v>1</v>
      </c>
      <c r="GX54">
        <f t="shared" si="59"/>
        <v>0</v>
      </c>
      <c r="HA54">
        <v>0</v>
      </c>
      <c r="HB54">
        <v>0</v>
      </c>
      <c r="HC54">
        <f t="shared" si="60"/>
        <v>0</v>
      </c>
      <c r="HE54" t="s">
        <v>3</v>
      </c>
      <c r="HF54" t="s">
        <v>3</v>
      </c>
      <c r="HM54" t="s">
        <v>3</v>
      </c>
      <c r="HN54" t="s">
        <v>3</v>
      </c>
      <c r="HO54" t="s">
        <v>3</v>
      </c>
      <c r="HP54" t="s">
        <v>3</v>
      </c>
      <c r="HQ54" t="s">
        <v>3</v>
      </c>
      <c r="IK54">
        <v>0</v>
      </c>
    </row>
    <row r="56" spans="1:245" x14ac:dyDescent="0.2">
      <c r="A56" s="2">
        <v>51</v>
      </c>
      <c r="B56" s="2">
        <f>B28</f>
        <v>1</v>
      </c>
      <c r="C56" s="2">
        <f>A28</f>
        <v>5</v>
      </c>
      <c r="D56" s="2">
        <f>ROW(A28)</f>
        <v>28</v>
      </c>
      <c r="E56" s="2"/>
      <c r="F56" s="2" t="str">
        <f>IF(F28&lt;&gt;"",F28,"")</f>
        <v>Новый подраздел</v>
      </c>
      <c r="G56" s="2" t="str">
        <f>IF(G28&lt;&gt;"",G28,"")</f>
        <v>ГВС/ХВС</v>
      </c>
      <c r="H56" s="2">
        <v>0</v>
      </c>
      <c r="I56" s="2"/>
      <c r="J56" s="2"/>
      <c r="K56" s="2"/>
      <c r="L56" s="2"/>
      <c r="M56" s="2"/>
      <c r="N56" s="2"/>
      <c r="O56" s="2">
        <f t="shared" ref="O56:T56" si="70">ROUND(AB56,2)</f>
        <v>21853.42</v>
      </c>
      <c r="P56" s="2">
        <f t="shared" si="70"/>
        <v>20781.490000000002</v>
      </c>
      <c r="Q56" s="2">
        <f t="shared" si="70"/>
        <v>24.67</v>
      </c>
      <c r="R56" s="2">
        <f t="shared" si="70"/>
        <v>0.17</v>
      </c>
      <c r="S56" s="2">
        <f t="shared" si="70"/>
        <v>1047.26</v>
      </c>
      <c r="T56" s="2">
        <f t="shared" si="70"/>
        <v>0</v>
      </c>
      <c r="U56" s="2">
        <f>AH56</f>
        <v>2.4767999999999999</v>
      </c>
      <c r="V56" s="2">
        <f>AI56</f>
        <v>0</v>
      </c>
      <c r="W56" s="2">
        <f>ROUND(AJ56,2)</f>
        <v>0</v>
      </c>
      <c r="X56" s="2">
        <f>ROUND(AK56,2)</f>
        <v>733.08</v>
      </c>
      <c r="Y56" s="2">
        <f>ROUND(AL56,2)</f>
        <v>104.73</v>
      </c>
      <c r="Z56" s="2"/>
      <c r="AA56" s="2"/>
      <c r="AB56" s="2">
        <f>ROUND(SUMIF(AA32:AA54,"=78131199",O32:O54),2)</f>
        <v>21853.42</v>
      </c>
      <c r="AC56" s="2">
        <f>ROUND(SUMIF(AA32:AA54,"=78131199",P32:P54),2)</f>
        <v>20781.490000000002</v>
      </c>
      <c r="AD56" s="2">
        <f>ROUND(SUMIF(AA32:AA54,"=78131199",Q32:Q54),2)</f>
        <v>24.67</v>
      </c>
      <c r="AE56" s="2">
        <f>ROUND(SUMIF(AA32:AA54,"=78131199",R32:R54),2)</f>
        <v>0.17</v>
      </c>
      <c r="AF56" s="2">
        <f>ROUND(SUMIF(AA32:AA54,"=78131199",S32:S54),2)</f>
        <v>1047.26</v>
      </c>
      <c r="AG56" s="2">
        <f>ROUND(SUMIF(AA32:AA54,"=78131199",T32:T54),2)</f>
        <v>0</v>
      </c>
      <c r="AH56" s="2">
        <f>SUMIF(AA32:AA54,"=78131199",U32:U54)</f>
        <v>2.4767999999999999</v>
      </c>
      <c r="AI56" s="2">
        <f>SUMIF(AA32:AA54,"=78131199",V32:V54)</f>
        <v>0</v>
      </c>
      <c r="AJ56" s="2">
        <f>ROUND(SUMIF(AA32:AA54,"=78131199",W32:W54),2)</f>
        <v>0</v>
      </c>
      <c r="AK56" s="2">
        <f>ROUND(SUMIF(AA32:AA54,"=78131199",X32:X54),2)</f>
        <v>733.08</v>
      </c>
      <c r="AL56" s="2">
        <f>ROUND(SUMIF(AA32:AA54,"=78131199",Y32:Y54),2)</f>
        <v>104.73</v>
      </c>
      <c r="AM56" s="2"/>
      <c r="AN56" s="2"/>
      <c r="AO56" s="2">
        <f t="shared" ref="AO56:BD56" si="71">ROUND(BX56,2)</f>
        <v>0</v>
      </c>
      <c r="AP56" s="2">
        <f t="shared" si="71"/>
        <v>0</v>
      </c>
      <c r="AQ56" s="2">
        <f t="shared" si="71"/>
        <v>0</v>
      </c>
      <c r="AR56" s="2">
        <f t="shared" si="71"/>
        <v>22691.5</v>
      </c>
      <c r="AS56" s="2">
        <f t="shared" si="71"/>
        <v>0</v>
      </c>
      <c r="AT56" s="2">
        <f t="shared" si="71"/>
        <v>0</v>
      </c>
      <c r="AU56" s="2">
        <f t="shared" si="71"/>
        <v>22691.5</v>
      </c>
      <c r="AV56" s="2">
        <f t="shared" si="71"/>
        <v>20781.490000000002</v>
      </c>
      <c r="AW56" s="2">
        <f t="shared" si="71"/>
        <v>20781.490000000002</v>
      </c>
      <c r="AX56" s="2">
        <f t="shared" si="71"/>
        <v>0</v>
      </c>
      <c r="AY56" s="2">
        <f t="shared" si="71"/>
        <v>20781.490000000002</v>
      </c>
      <c r="AZ56" s="2">
        <f t="shared" si="71"/>
        <v>0</v>
      </c>
      <c r="BA56" s="2">
        <f t="shared" si="71"/>
        <v>0</v>
      </c>
      <c r="BB56" s="2">
        <f t="shared" si="71"/>
        <v>0</v>
      </c>
      <c r="BC56" s="2">
        <f t="shared" si="71"/>
        <v>0</v>
      </c>
      <c r="BD56" s="2">
        <f t="shared" si="71"/>
        <v>0</v>
      </c>
      <c r="BE56" s="2"/>
      <c r="BF56" s="2"/>
      <c r="BG56" s="2"/>
      <c r="BH56" s="2"/>
      <c r="BI56" s="2"/>
      <c r="BJ56" s="2"/>
      <c r="BK56" s="2"/>
      <c r="BL56" s="2"/>
      <c r="BM56" s="2"/>
      <c r="BN56" s="2"/>
      <c r="BO56" s="2"/>
      <c r="BP56" s="2"/>
      <c r="BQ56" s="2"/>
      <c r="BR56" s="2"/>
      <c r="BS56" s="2"/>
      <c r="BT56" s="2"/>
      <c r="BU56" s="2"/>
      <c r="BV56" s="2"/>
      <c r="BW56" s="2"/>
      <c r="BX56" s="2">
        <f>ROUND(SUMIF(AA32:AA54,"=78131199",FQ32:FQ54),2)</f>
        <v>0</v>
      </c>
      <c r="BY56" s="2">
        <f>ROUND(SUMIF(AA32:AA54,"=78131199",FR32:FR54),2)</f>
        <v>0</v>
      </c>
      <c r="BZ56" s="2">
        <f>ROUND(SUMIF(AA32:AA54,"=78131199",GL32:GL54),2)</f>
        <v>0</v>
      </c>
      <c r="CA56" s="2">
        <f>ROUND(SUMIF(AA32:AA54,"=78131199",GM32:GM54),2)</f>
        <v>22691.5</v>
      </c>
      <c r="CB56" s="2">
        <f>ROUND(SUMIF(AA32:AA54,"=78131199",GN32:GN54),2)</f>
        <v>0</v>
      </c>
      <c r="CC56" s="2">
        <f>ROUND(SUMIF(AA32:AA54,"=78131199",GO32:GO54),2)</f>
        <v>0</v>
      </c>
      <c r="CD56" s="2">
        <f>ROUND(SUMIF(AA32:AA54,"=78131199",GP32:GP54),2)</f>
        <v>22691.5</v>
      </c>
      <c r="CE56" s="2">
        <f>AC56-BX56</f>
        <v>20781.490000000002</v>
      </c>
      <c r="CF56" s="2">
        <f>AC56-BY56</f>
        <v>20781.490000000002</v>
      </c>
      <c r="CG56" s="2">
        <f>BX56-BZ56</f>
        <v>0</v>
      </c>
      <c r="CH56" s="2">
        <f>AC56-BX56-BY56+BZ56</f>
        <v>20781.490000000002</v>
      </c>
      <c r="CI56" s="2">
        <f>BY56-BZ56</f>
        <v>0</v>
      </c>
      <c r="CJ56" s="2">
        <f>ROUND(SUMIF(AA32:AA54,"=78131199",GX32:GX54),2)</f>
        <v>0</v>
      </c>
      <c r="CK56" s="2">
        <f>ROUND(SUMIF(AA32:AA54,"=78131199",GY32:GY54),2)</f>
        <v>0</v>
      </c>
      <c r="CL56" s="2">
        <f>ROUND(SUMIF(AA32:AA54,"=78131199",GZ32:GZ54),2)</f>
        <v>0</v>
      </c>
      <c r="CM56" s="2">
        <f>ROUND(SUMIF(AA32:AA54,"=78131199",HD32:HD54),2)</f>
        <v>0</v>
      </c>
      <c r="CN56" s="2"/>
      <c r="CO56" s="2"/>
      <c r="CP56" s="2"/>
      <c r="CQ56" s="2"/>
      <c r="CR56" s="2"/>
      <c r="CS56" s="2"/>
      <c r="CT56" s="2"/>
      <c r="CU56" s="2"/>
      <c r="CV56" s="2"/>
      <c r="CW56" s="2"/>
      <c r="CX56" s="2"/>
      <c r="CY56" s="2"/>
      <c r="CZ56" s="2"/>
      <c r="DA56" s="2"/>
      <c r="DB56" s="2"/>
      <c r="DC56" s="2"/>
      <c r="DD56" s="2"/>
      <c r="DE56" s="2"/>
      <c r="DF56" s="2"/>
      <c r="DG56" s="3"/>
      <c r="DH56" s="3"/>
      <c r="DI56" s="3"/>
      <c r="DJ56" s="3"/>
      <c r="DK56" s="3"/>
      <c r="DL56" s="3"/>
      <c r="DM56" s="3"/>
      <c r="DN56" s="3"/>
      <c r="DO56" s="3"/>
      <c r="DP56" s="3"/>
      <c r="DQ56" s="3"/>
      <c r="DR56" s="3"/>
      <c r="DS56" s="3"/>
      <c r="DT56" s="3"/>
      <c r="DU56" s="3"/>
      <c r="DV56" s="3"/>
      <c r="DW56" s="3"/>
      <c r="DX56" s="3"/>
      <c r="DY56" s="3"/>
      <c r="DZ56" s="3"/>
      <c r="EA56" s="3"/>
      <c r="EB56" s="3"/>
      <c r="EC56" s="3"/>
      <c r="ED56" s="3"/>
      <c r="EE56" s="3"/>
      <c r="EF56" s="3"/>
      <c r="EG56" s="3"/>
      <c r="EH56" s="3"/>
      <c r="EI56" s="3"/>
      <c r="EJ56" s="3"/>
      <c r="EK56" s="3"/>
      <c r="EL56" s="3"/>
      <c r="EM56" s="3"/>
      <c r="EN56" s="3"/>
      <c r="EO56" s="3"/>
      <c r="EP56" s="3"/>
      <c r="EQ56" s="3"/>
      <c r="ER56" s="3"/>
      <c r="ES56" s="3"/>
      <c r="ET56" s="3"/>
      <c r="EU56" s="3"/>
      <c r="EV56" s="3"/>
      <c r="EW56" s="3"/>
      <c r="EX56" s="3"/>
      <c r="EY56" s="3"/>
      <c r="EZ56" s="3"/>
      <c r="FA56" s="3"/>
      <c r="FB56" s="3"/>
      <c r="FC56" s="3"/>
      <c r="FD56" s="3"/>
      <c r="FE56" s="3"/>
      <c r="FF56" s="3"/>
      <c r="FG56" s="3"/>
      <c r="FH56" s="3"/>
      <c r="FI56" s="3"/>
      <c r="FJ56" s="3"/>
      <c r="FK56" s="3"/>
      <c r="FL56" s="3"/>
      <c r="FM56" s="3"/>
      <c r="FN56" s="3"/>
      <c r="FO56" s="3"/>
      <c r="FP56" s="3"/>
      <c r="FQ56" s="3"/>
      <c r="FR56" s="3"/>
      <c r="FS56" s="3"/>
      <c r="FT56" s="3"/>
      <c r="FU56" s="3"/>
      <c r="FV56" s="3"/>
      <c r="FW56" s="3"/>
      <c r="FX56" s="3"/>
      <c r="FY56" s="3"/>
      <c r="FZ56" s="3"/>
      <c r="GA56" s="3"/>
      <c r="GB56" s="3"/>
      <c r="GC56" s="3"/>
      <c r="GD56" s="3"/>
      <c r="GE56" s="3"/>
      <c r="GF56" s="3"/>
      <c r="GG56" s="3"/>
      <c r="GH56" s="3"/>
      <c r="GI56" s="3"/>
      <c r="GJ56" s="3"/>
      <c r="GK56" s="3"/>
      <c r="GL56" s="3"/>
      <c r="GM56" s="3"/>
      <c r="GN56" s="3"/>
      <c r="GO56" s="3"/>
      <c r="GP56" s="3"/>
      <c r="GQ56" s="3"/>
      <c r="GR56" s="3"/>
      <c r="GS56" s="3"/>
      <c r="GT56" s="3"/>
      <c r="GU56" s="3"/>
      <c r="GV56" s="3"/>
      <c r="GW56" s="3"/>
      <c r="GX56" s="3">
        <v>0</v>
      </c>
    </row>
    <row r="58" spans="1:245" x14ac:dyDescent="0.2">
      <c r="A58" s="4">
        <v>50</v>
      </c>
      <c r="B58" s="4">
        <v>0</v>
      </c>
      <c r="C58" s="4">
        <v>0</v>
      </c>
      <c r="D58" s="4">
        <v>1</v>
      </c>
      <c r="E58" s="4">
        <v>201</v>
      </c>
      <c r="F58" s="4">
        <f>ROUND(Source!O56,O58)</f>
        <v>21853.42</v>
      </c>
      <c r="G58" s="4" t="s">
        <v>97</v>
      </c>
      <c r="H58" s="4" t="s">
        <v>98</v>
      </c>
      <c r="I58" s="4"/>
      <c r="J58" s="4"/>
      <c r="K58" s="4">
        <v>201</v>
      </c>
      <c r="L58" s="4">
        <v>1</v>
      </c>
      <c r="M58" s="4">
        <v>3</v>
      </c>
      <c r="N58" s="4" t="s">
        <v>3</v>
      </c>
      <c r="O58" s="4">
        <v>2</v>
      </c>
      <c r="P58" s="4"/>
      <c r="Q58" s="4"/>
      <c r="R58" s="4"/>
      <c r="S58" s="4"/>
      <c r="T58" s="4"/>
      <c r="U58" s="4"/>
      <c r="V58" s="4"/>
      <c r="W58" s="4">
        <v>21853.42</v>
      </c>
      <c r="X58" s="4">
        <v>1</v>
      </c>
      <c r="Y58" s="4">
        <v>21853.42</v>
      </c>
      <c r="Z58" s="4"/>
      <c r="AA58" s="4"/>
      <c r="AB58" s="4"/>
    </row>
    <row r="59" spans="1:245" x14ac:dyDescent="0.2">
      <c r="A59" s="4">
        <v>50</v>
      </c>
      <c r="B59" s="4">
        <v>0</v>
      </c>
      <c r="C59" s="4">
        <v>0</v>
      </c>
      <c r="D59" s="4">
        <v>1</v>
      </c>
      <c r="E59" s="4">
        <v>202</v>
      </c>
      <c r="F59" s="4">
        <f>ROUND(Source!P56,O59)</f>
        <v>20781.490000000002</v>
      </c>
      <c r="G59" s="4" t="s">
        <v>99</v>
      </c>
      <c r="H59" s="4" t="s">
        <v>100</v>
      </c>
      <c r="I59" s="4"/>
      <c r="J59" s="4"/>
      <c r="K59" s="4">
        <v>202</v>
      </c>
      <c r="L59" s="4">
        <v>2</v>
      </c>
      <c r="M59" s="4">
        <v>3</v>
      </c>
      <c r="N59" s="4" t="s">
        <v>3</v>
      </c>
      <c r="O59" s="4">
        <v>2</v>
      </c>
      <c r="P59" s="4"/>
      <c r="Q59" s="4"/>
      <c r="R59" s="4"/>
      <c r="S59" s="4"/>
      <c r="T59" s="4"/>
      <c r="U59" s="4"/>
      <c r="V59" s="4"/>
      <c r="W59" s="4">
        <v>20781.490000000002</v>
      </c>
      <c r="X59" s="4">
        <v>1</v>
      </c>
      <c r="Y59" s="4">
        <v>20781.490000000002</v>
      </c>
      <c r="Z59" s="4"/>
      <c r="AA59" s="4"/>
      <c r="AB59" s="4"/>
    </row>
    <row r="60" spans="1:245" x14ac:dyDescent="0.2">
      <c r="A60" s="4">
        <v>50</v>
      </c>
      <c r="B60" s="4">
        <v>0</v>
      </c>
      <c r="C60" s="4">
        <v>0</v>
      </c>
      <c r="D60" s="4">
        <v>1</v>
      </c>
      <c r="E60" s="4">
        <v>222</v>
      </c>
      <c r="F60" s="4">
        <f>ROUND(Source!AO56,O60)</f>
        <v>0</v>
      </c>
      <c r="G60" s="4" t="s">
        <v>101</v>
      </c>
      <c r="H60" s="4" t="s">
        <v>102</v>
      </c>
      <c r="I60" s="4"/>
      <c r="J60" s="4"/>
      <c r="K60" s="4">
        <v>222</v>
      </c>
      <c r="L60" s="4">
        <v>3</v>
      </c>
      <c r="M60" s="4">
        <v>3</v>
      </c>
      <c r="N60" s="4" t="s">
        <v>3</v>
      </c>
      <c r="O60" s="4">
        <v>2</v>
      </c>
      <c r="P60" s="4"/>
      <c r="Q60" s="4"/>
      <c r="R60" s="4"/>
      <c r="S60" s="4"/>
      <c r="T60" s="4"/>
      <c r="U60" s="4"/>
      <c r="V60" s="4"/>
      <c r="W60" s="4">
        <v>0</v>
      </c>
      <c r="X60" s="4">
        <v>1</v>
      </c>
      <c r="Y60" s="4">
        <v>0</v>
      </c>
      <c r="Z60" s="4"/>
      <c r="AA60" s="4"/>
      <c r="AB60" s="4"/>
    </row>
    <row r="61" spans="1:245" x14ac:dyDescent="0.2">
      <c r="A61" s="4">
        <v>50</v>
      </c>
      <c r="B61" s="4">
        <v>0</v>
      </c>
      <c r="C61" s="4">
        <v>0</v>
      </c>
      <c r="D61" s="4">
        <v>1</v>
      </c>
      <c r="E61" s="4">
        <v>225</v>
      </c>
      <c r="F61" s="4">
        <f>ROUND(Source!AV56,O61)</f>
        <v>20781.490000000002</v>
      </c>
      <c r="G61" s="4" t="s">
        <v>103</v>
      </c>
      <c r="H61" s="4" t="s">
        <v>104</v>
      </c>
      <c r="I61" s="4"/>
      <c r="J61" s="4"/>
      <c r="K61" s="4">
        <v>225</v>
      </c>
      <c r="L61" s="4">
        <v>4</v>
      </c>
      <c r="M61" s="4">
        <v>3</v>
      </c>
      <c r="N61" s="4" t="s">
        <v>3</v>
      </c>
      <c r="O61" s="4">
        <v>2</v>
      </c>
      <c r="P61" s="4"/>
      <c r="Q61" s="4"/>
      <c r="R61" s="4"/>
      <c r="S61" s="4"/>
      <c r="T61" s="4"/>
      <c r="U61" s="4"/>
      <c r="V61" s="4"/>
      <c r="W61" s="4">
        <v>20781.490000000002</v>
      </c>
      <c r="X61" s="4">
        <v>1</v>
      </c>
      <c r="Y61" s="4">
        <v>20781.490000000002</v>
      </c>
      <c r="Z61" s="4"/>
      <c r="AA61" s="4"/>
      <c r="AB61" s="4"/>
    </row>
    <row r="62" spans="1:245" x14ac:dyDescent="0.2">
      <c r="A62" s="4">
        <v>50</v>
      </c>
      <c r="B62" s="4">
        <v>0</v>
      </c>
      <c r="C62" s="4">
        <v>0</v>
      </c>
      <c r="D62" s="4">
        <v>1</v>
      </c>
      <c r="E62" s="4">
        <v>226</v>
      </c>
      <c r="F62" s="4">
        <f>ROUND(Source!AW56,O62)</f>
        <v>20781.490000000002</v>
      </c>
      <c r="G62" s="4" t="s">
        <v>105</v>
      </c>
      <c r="H62" s="4" t="s">
        <v>106</v>
      </c>
      <c r="I62" s="4"/>
      <c r="J62" s="4"/>
      <c r="K62" s="4">
        <v>226</v>
      </c>
      <c r="L62" s="4">
        <v>5</v>
      </c>
      <c r="M62" s="4">
        <v>3</v>
      </c>
      <c r="N62" s="4" t="s">
        <v>3</v>
      </c>
      <c r="O62" s="4">
        <v>2</v>
      </c>
      <c r="P62" s="4"/>
      <c r="Q62" s="4"/>
      <c r="R62" s="4"/>
      <c r="S62" s="4"/>
      <c r="T62" s="4"/>
      <c r="U62" s="4"/>
      <c r="V62" s="4"/>
      <c r="W62" s="4">
        <v>20781.490000000002</v>
      </c>
      <c r="X62" s="4">
        <v>1</v>
      </c>
      <c r="Y62" s="4">
        <v>20781.490000000002</v>
      </c>
      <c r="Z62" s="4"/>
      <c r="AA62" s="4"/>
      <c r="AB62" s="4"/>
    </row>
    <row r="63" spans="1:245" x14ac:dyDescent="0.2">
      <c r="A63" s="4">
        <v>50</v>
      </c>
      <c r="B63" s="4">
        <v>0</v>
      </c>
      <c r="C63" s="4">
        <v>0</v>
      </c>
      <c r="D63" s="4">
        <v>1</v>
      </c>
      <c r="E63" s="4">
        <v>227</v>
      </c>
      <c r="F63" s="4">
        <f>ROUND(Source!AX56,O63)</f>
        <v>0</v>
      </c>
      <c r="G63" s="4" t="s">
        <v>107</v>
      </c>
      <c r="H63" s="4" t="s">
        <v>108</v>
      </c>
      <c r="I63" s="4"/>
      <c r="J63" s="4"/>
      <c r="K63" s="4">
        <v>227</v>
      </c>
      <c r="L63" s="4">
        <v>6</v>
      </c>
      <c r="M63" s="4">
        <v>3</v>
      </c>
      <c r="N63" s="4" t="s">
        <v>3</v>
      </c>
      <c r="O63" s="4">
        <v>2</v>
      </c>
      <c r="P63" s="4"/>
      <c r="Q63" s="4"/>
      <c r="R63" s="4"/>
      <c r="S63" s="4"/>
      <c r="T63" s="4"/>
      <c r="U63" s="4"/>
      <c r="V63" s="4"/>
      <c r="W63" s="4">
        <v>0</v>
      </c>
      <c r="X63" s="4">
        <v>1</v>
      </c>
      <c r="Y63" s="4">
        <v>0</v>
      </c>
      <c r="Z63" s="4"/>
      <c r="AA63" s="4"/>
      <c r="AB63" s="4"/>
    </row>
    <row r="64" spans="1:245" x14ac:dyDescent="0.2">
      <c r="A64" s="4">
        <v>50</v>
      </c>
      <c r="B64" s="4">
        <v>0</v>
      </c>
      <c r="C64" s="4">
        <v>0</v>
      </c>
      <c r="D64" s="4">
        <v>1</v>
      </c>
      <c r="E64" s="4">
        <v>228</v>
      </c>
      <c r="F64" s="4">
        <f>ROUND(Source!AY56,O64)</f>
        <v>20781.490000000002</v>
      </c>
      <c r="G64" s="4" t="s">
        <v>109</v>
      </c>
      <c r="H64" s="4" t="s">
        <v>110</v>
      </c>
      <c r="I64" s="4"/>
      <c r="J64" s="4"/>
      <c r="K64" s="4">
        <v>228</v>
      </c>
      <c r="L64" s="4">
        <v>7</v>
      </c>
      <c r="M64" s="4">
        <v>3</v>
      </c>
      <c r="N64" s="4" t="s">
        <v>3</v>
      </c>
      <c r="O64" s="4">
        <v>2</v>
      </c>
      <c r="P64" s="4"/>
      <c r="Q64" s="4"/>
      <c r="R64" s="4"/>
      <c r="S64" s="4"/>
      <c r="T64" s="4"/>
      <c r="U64" s="4"/>
      <c r="V64" s="4"/>
      <c r="W64" s="4">
        <v>20781.490000000002</v>
      </c>
      <c r="X64" s="4">
        <v>1</v>
      </c>
      <c r="Y64" s="4">
        <v>20781.490000000002</v>
      </c>
      <c r="Z64" s="4"/>
      <c r="AA64" s="4"/>
      <c r="AB64" s="4"/>
    </row>
    <row r="65" spans="1:28" x14ac:dyDescent="0.2">
      <c r="A65" s="4">
        <v>50</v>
      </c>
      <c r="B65" s="4">
        <v>0</v>
      </c>
      <c r="C65" s="4">
        <v>0</v>
      </c>
      <c r="D65" s="4">
        <v>1</v>
      </c>
      <c r="E65" s="4">
        <v>216</v>
      </c>
      <c r="F65" s="4">
        <f>ROUND(Source!AP56,O65)</f>
        <v>0</v>
      </c>
      <c r="G65" s="4" t="s">
        <v>111</v>
      </c>
      <c r="H65" s="4" t="s">
        <v>112</v>
      </c>
      <c r="I65" s="4"/>
      <c r="J65" s="4"/>
      <c r="K65" s="4">
        <v>216</v>
      </c>
      <c r="L65" s="4">
        <v>8</v>
      </c>
      <c r="M65" s="4">
        <v>3</v>
      </c>
      <c r="N65" s="4" t="s">
        <v>3</v>
      </c>
      <c r="O65" s="4">
        <v>2</v>
      </c>
      <c r="P65" s="4"/>
      <c r="Q65" s="4"/>
      <c r="R65" s="4"/>
      <c r="S65" s="4"/>
      <c r="T65" s="4"/>
      <c r="U65" s="4"/>
      <c r="V65" s="4"/>
      <c r="W65" s="4">
        <v>0</v>
      </c>
      <c r="X65" s="4">
        <v>1</v>
      </c>
      <c r="Y65" s="4">
        <v>0</v>
      </c>
      <c r="Z65" s="4"/>
      <c r="AA65" s="4"/>
      <c r="AB65" s="4"/>
    </row>
    <row r="66" spans="1:28" x14ac:dyDescent="0.2">
      <c r="A66" s="4">
        <v>50</v>
      </c>
      <c r="B66" s="4">
        <v>0</v>
      </c>
      <c r="C66" s="4">
        <v>0</v>
      </c>
      <c r="D66" s="4">
        <v>1</v>
      </c>
      <c r="E66" s="4">
        <v>223</v>
      </c>
      <c r="F66" s="4">
        <f>ROUND(Source!AQ56,O66)</f>
        <v>0</v>
      </c>
      <c r="G66" s="4" t="s">
        <v>113</v>
      </c>
      <c r="H66" s="4" t="s">
        <v>114</v>
      </c>
      <c r="I66" s="4"/>
      <c r="J66" s="4"/>
      <c r="K66" s="4">
        <v>223</v>
      </c>
      <c r="L66" s="4">
        <v>9</v>
      </c>
      <c r="M66" s="4">
        <v>3</v>
      </c>
      <c r="N66" s="4" t="s">
        <v>3</v>
      </c>
      <c r="O66" s="4">
        <v>2</v>
      </c>
      <c r="P66" s="4"/>
      <c r="Q66" s="4"/>
      <c r="R66" s="4"/>
      <c r="S66" s="4"/>
      <c r="T66" s="4"/>
      <c r="U66" s="4"/>
      <c r="V66" s="4"/>
      <c r="W66" s="4">
        <v>0</v>
      </c>
      <c r="X66" s="4">
        <v>1</v>
      </c>
      <c r="Y66" s="4">
        <v>0</v>
      </c>
      <c r="Z66" s="4"/>
      <c r="AA66" s="4"/>
      <c r="AB66" s="4"/>
    </row>
    <row r="67" spans="1:28" x14ac:dyDescent="0.2">
      <c r="A67" s="4">
        <v>50</v>
      </c>
      <c r="B67" s="4">
        <v>0</v>
      </c>
      <c r="C67" s="4">
        <v>0</v>
      </c>
      <c r="D67" s="4">
        <v>1</v>
      </c>
      <c r="E67" s="4">
        <v>229</v>
      </c>
      <c r="F67" s="4">
        <f>ROUND(Source!AZ56,O67)</f>
        <v>0</v>
      </c>
      <c r="G67" s="4" t="s">
        <v>115</v>
      </c>
      <c r="H67" s="4" t="s">
        <v>116</v>
      </c>
      <c r="I67" s="4"/>
      <c r="J67" s="4"/>
      <c r="K67" s="4">
        <v>229</v>
      </c>
      <c r="L67" s="4">
        <v>10</v>
      </c>
      <c r="M67" s="4">
        <v>3</v>
      </c>
      <c r="N67" s="4" t="s">
        <v>3</v>
      </c>
      <c r="O67" s="4">
        <v>2</v>
      </c>
      <c r="P67" s="4"/>
      <c r="Q67" s="4"/>
      <c r="R67" s="4"/>
      <c r="S67" s="4"/>
      <c r="T67" s="4"/>
      <c r="U67" s="4"/>
      <c r="V67" s="4"/>
      <c r="W67" s="4">
        <v>0</v>
      </c>
      <c r="X67" s="4">
        <v>1</v>
      </c>
      <c r="Y67" s="4">
        <v>0</v>
      </c>
      <c r="Z67" s="4"/>
      <c r="AA67" s="4"/>
      <c r="AB67" s="4"/>
    </row>
    <row r="68" spans="1:28" x14ac:dyDescent="0.2">
      <c r="A68" s="4">
        <v>50</v>
      </c>
      <c r="B68" s="4">
        <v>0</v>
      </c>
      <c r="C68" s="4">
        <v>0</v>
      </c>
      <c r="D68" s="4">
        <v>1</v>
      </c>
      <c r="E68" s="4">
        <v>203</v>
      </c>
      <c r="F68" s="4">
        <f>ROUND(Source!Q56,O68)</f>
        <v>24.67</v>
      </c>
      <c r="G68" s="4" t="s">
        <v>117</v>
      </c>
      <c r="H68" s="4" t="s">
        <v>118</v>
      </c>
      <c r="I68" s="4"/>
      <c r="J68" s="4"/>
      <c r="K68" s="4">
        <v>203</v>
      </c>
      <c r="L68" s="4">
        <v>11</v>
      </c>
      <c r="M68" s="4">
        <v>3</v>
      </c>
      <c r="N68" s="4" t="s">
        <v>3</v>
      </c>
      <c r="O68" s="4">
        <v>2</v>
      </c>
      <c r="P68" s="4"/>
      <c r="Q68" s="4"/>
      <c r="R68" s="4"/>
      <c r="S68" s="4"/>
      <c r="T68" s="4"/>
      <c r="U68" s="4"/>
      <c r="V68" s="4"/>
      <c r="W68" s="4">
        <v>24.67</v>
      </c>
      <c r="X68" s="4">
        <v>1</v>
      </c>
      <c r="Y68" s="4">
        <v>24.67</v>
      </c>
      <c r="Z68" s="4"/>
      <c r="AA68" s="4"/>
      <c r="AB68" s="4"/>
    </row>
    <row r="69" spans="1:28" x14ac:dyDescent="0.2">
      <c r="A69" s="4">
        <v>50</v>
      </c>
      <c r="B69" s="4">
        <v>0</v>
      </c>
      <c r="C69" s="4">
        <v>0</v>
      </c>
      <c r="D69" s="4">
        <v>1</v>
      </c>
      <c r="E69" s="4">
        <v>231</v>
      </c>
      <c r="F69" s="4">
        <f>ROUND(Source!BB56,O69)</f>
        <v>0</v>
      </c>
      <c r="G69" s="4" t="s">
        <v>119</v>
      </c>
      <c r="H69" s="4" t="s">
        <v>120</v>
      </c>
      <c r="I69" s="4"/>
      <c r="J69" s="4"/>
      <c r="K69" s="4">
        <v>231</v>
      </c>
      <c r="L69" s="4">
        <v>12</v>
      </c>
      <c r="M69" s="4">
        <v>3</v>
      </c>
      <c r="N69" s="4" t="s">
        <v>3</v>
      </c>
      <c r="O69" s="4">
        <v>2</v>
      </c>
      <c r="P69" s="4"/>
      <c r="Q69" s="4"/>
      <c r="R69" s="4"/>
      <c r="S69" s="4"/>
      <c r="T69" s="4"/>
      <c r="U69" s="4"/>
      <c r="V69" s="4"/>
      <c r="W69" s="4">
        <v>0</v>
      </c>
      <c r="X69" s="4">
        <v>1</v>
      </c>
      <c r="Y69" s="4">
        <v>0</v>
      </c>
      <c r="Z69" s="4"/>
      <c r="AA69" s="4"/>
      <c r="AB69" s="4"/>
    </row>
    <row r="70" spans="1:28" x14ac:dyDescent="0.2">
      <c r="A70" s="4">
        <v>50</v>
      </c>
      <c r="B70" s="4">
        <v>0</v>
      </c>
      <c r="C70" s="4">
        <v>0</v>
      </c>
      <c r="D70" s="4">
        <v>1</v>
      </c>
      <c r="E70" s="4">
        <v>204</v>
      </c>
      <c r="F70" s="4">
        <f>ROUND(Source!R56,O70)</f>
        <v>0.17</v>
      </c>
      <c r="G70" s="4" t="s">
        <v>121</v>
      </c>
      <c r="H70" s="4" t="s">
        <v>122</v>
      </c>
      <c r="I70" s="4"/>
      <c r="J70" s="4"/>
      <c r="K70" s="4">
        <v>204</v>
      </c>
      <c r="L70" s="4">
        <v>13</v>
      </c>
      <c r="M70" s="4">
        <v>3</v>
      </c>
      <c r="N70" s="4" t="s">
        <v>3</v>
      </c>
      <c r="O70" s="4">
        <v>2</v>
      </c>
      <c r="P70" s="4"/>
      <c r="Q70" s="4"/>
      <c r="R70" s="4"/>
      <c r="S70" s="4"/>
      <c r="T70" s="4"/>
      <c r="U70" s="4"/>
      <c r="V70" s="4"/>
      <c r="W70" s="4">
        <v>0.17</v>
      </c>
      <c r="X70" s="4">
        <v>1</v>
      </c>
      <c r="Y70" s="4">
        <v>0.17</v>
      </c>
      <c r="Z70" s="4"/>
      <c r="AA70" s="4"/>
      <c r="AB70" s="4"/>
    </row>
    <row r="71" spans="1:28" x14ac:dyDescent="0.2">
      <c r="A71" s="4">
        <v>50</v>
      </c>
      <c r="B71" s="4">
        <v>0</v>
      </c>
      <c r="C71" s="4">
        <v>0</v>
      </c>
      <c r="D71" s="4">
        <v>1</v>
      </c>
      <c r="E71" s="4">
        <v>205</v>
      </c>
      <c r="F71" s="4">
        <f>ROUND(Source!S56,O71)</f>
        <v>1047.26</v>
      </c>
      <c r="G71" s="4" t="s">
        <v>123</v>
      </c>
      <c r="H71" s="4" t="s">
        <v>124</v>
      </c>
      <c r="I71" s="4"/>
      <c r="J71" s="4"/>
      <c r="K71" s="4">
        <v>205</v>
      </c>
      <c r="L71" s="4">
        <v>14</v>
      </c>
      <c r="M71" s="4">
        <v>3</v>
      </c>
      <c r="N71" s="4" t="s">
        <v>3</v>
      </c>
      <c r="O71" s="4">
        <v>2</v>
      </c>
      <c r="P71" s="4"/>
      <c r="Q71" s="4"/>
      <c r="R71" s="4"/>
      <c r="S71" s="4"/>
      <c r="T71" s="4"/>
      <c r="U71" s="4"/>
      <c r="V71" s="4"/>
      <c r="W71" s="4">
        <v>1047.26</v>
      </c>
      <c r="X71" s="4">
        <v>1</v>
      </c>
      <c r="Y71" s="4">
        <v>1047.26</v>
      </c>
      <c r="Z71" s="4"/>
      <c r="AA71" s="4"/>
      <c r="AB71" s="4"/>
    </row>
    <row r="72" spans="1:28" x14ac:dyDescent="0.2">
      <c r="A72" s="4">
        <v>50</v>
      </c>
      <c r="B72" s="4">
        <v>0</v>
      </c>
      <c r="C72" s="4">
        <v>0</v>
      </c>
      <c r="D72" s="4">
        <v>1</v>
      </c>
      <c r="E72" s="4">
        <v>232</v>
      </c>
      <c r="F72" s="4">
        <f>ROUND(Source!BC56,O72)</f>
        <v>0</v>
      </c>
      <c r="G72" s="4" t="s">
        <v>125</v>
      </c>
      <c r="H72" s="4" t="s">
        <v>126</v>
      </c>
      <c r="I72" s="4"/>
      <c r="J72" s="4"/>
      <c r="K72" s="4">
        <v>232</v>
      </c>
      <c r="L72" s="4">
        <v>15</v>
      </c>
      <c r="M72" s="4">
        <v>3</v>
      </c>
      <c r="N72" s="4" t="s">
        <v>3</v>
      </c>
      <c r="O72" s="4">
        <v>2</v>
      </c>
      <c r="P72" s="4"/>
      <c r="Q72" s="4"/>
      <c r="R72" s="4"/>
      <c r="S72" s="4"/>
      <c r="T72" s="4"/>
      <c r="U72" s="4"/>
      <c r="V72" s="4"/>
      <c r="W72" s="4">
        <v>0</v>
      </c>
      <c r="X72" s="4">
        <v>1</v>
      </c>
      <c r="Y72" s="4">
        <v>0</v>
      </c>
      <c r="Z72" s="4"/>
      <c r="AA72" s="4"/>
      <c r="AB72" s="4"/>
    </row>
    <row r="73" spans="1:28" x14ac:dyDescent="0.2">
      <c r="A73" s="4">
        <v>50</v>
      </c>
      <c r="B73" s="4">
        <v>0</v>
      </c>
      <c r="C73" s="4">
        <v>0</v>
      </c>
      <c r="D73" s="4">
        <v>1</v>
      </c>
      <c r="E73" s="4">
        <v>214</v>
      </c>
      <c r="F73" s="4">
        <f>ROUND(Source!AS56,O73)</f>
        <v>0</v>
      </c>
      <c r="G73" s="4" t="s">
        <v>127</v>
      </c>
      <c r="H73" s="4" t="s">
        <v>128</v>
      </c>
      <c r="I73" s="4"/>
      <c r="J73" s="4"/>
      <c r="K73" s="4">
        <v>214</v>
      </c>
      <c r="L73" s="4">
        <v>16</v>
      </c>
      <c r="M73" s="4">
        <v>3</v>
      </c>
      <c r="N73" s="4" t="s">
        <v>3</v>
      </c>
      <c r="O73" s="4">
        <v>2</v>
      </c>
      <c r="P73" s="4"/>
      <c r="Q73" s="4"/>
      <c r="R73" s="4"/>
      <c r="S73" s="4"/>
      <c r="T73" s="4"/>
      <c r="U73" s="4"/>
      <c r="V73" s="4"/>
      <c r="W73" s="4">
        <v>0</v>
      </c>
      <c r="X73" s="4">
        <v>1</v>
      </c>
      <c r="Y73" s="4">
        <v>0</v>
      </c>
      <c r="Z73" s="4"/>
      <c r="AA73" s="4"/>
      <c r="AB73" s="4"/>
    </row>
    <row r="74" spans="1:28" x14ac:dyDescent="0.2">
      <c r="A74" s="4">
        <v>50</v>
      </c>
      <c r="B74" s="4">
        <v>0</v>
      </c>
      <c r="C74" s="4">
        <v>0</v>
      </c>
      <c r="D74" s="4">
        <v>1</v>
      </c>
      <c r="E74" s="4">
        <v>215</v>
      </c>
      <c r="F74" s="4">
        <f>ROUND(Source!AT56,O74)</f>
        <v>0</v>
      </c>
      <c r="G74" s="4" t="s">
        <v>129</v>
      </c>
      <c r="H74" s="4" t="s">
        <v>130</v>
      </c>
      <c r="I74" s="4"/>
      <c r="J74" s="4"/>
      <c r="K74" s="4">
        <v>215</v>
      </c>
      <c r="L74" s="4">
        <v>17</v>
      </c>
      <c r="M74" s="4">
        <v>3</v>
      </c>
      <c r="N74" s="4" t="s">
        <v>3</v>
      </c>
      <c r="O74" s="4">
        <v>2</v>
      </c>
      <c r="P74" s="4"/>
      <c r="Q74" s="4"/>
      <c r="R74" s="4"/>
      <c r="S74" s="4"/>
      <c r="T74" s="4"/>
      <c r="U74" s="4"/>
      <c r="V74" s="4"/>
      <c r="W74" s="4">
        <v>0</v>
      </c>
      <c r="X74" s="4">
        <v>1</v>
      </c>
      <c r="Y74" s="4">
        <v>0</v>
      </c>
      <c r="Z74" s="4"/>
      <c r="AA74" s="4"/>
      <c r="AB74" s="4"/>
    </row>
    <row r="75" spans="1:28" x14ac:dyDescent="0.2">
      <c r="A75" s="4">
        <v>50</v>
      </c>
      <c r="B75" s="4">
        <v>0</v>
      </c>
      <c r="C75" s="4">
        <v>0</v>
      </c>
      <c r="D75" s="4">
        <v>1</v>
      </c>
      <c r="E75" s="4">
        <v>217</v>
      </c>
      <c r="F75" s="4">
        <f>ROUND(Source!AU56,O75)</f>
        <v>22691.5</v>
      </c>
      <c r="G75" s="4" t="s">
        <v>131</v>
      </c>
      <c r="H75" s="4" t="s">
        <v>132</v>
      </c>
      <c r="I75" s="4"/>
      <c r="J75" s="4"/>
      <c r="K75" s="4">
        <v>217</v>
      </c>
      <c r="L75" s="4">
        <v>18</v>
      </c>
      <c r="M75" s="4">
        <v>3</v>
      </c>
      <c r="N75" s="4" t="s">
        <v>3</v>
      </c>
      <c r="O75" s="4">
        <v>2</v>
      </c>
      <c r="P75" s="4"/>
      <c r="Q75" s="4"/>
      <c r="R75" s="4"/>
      <c r="S75" s="4"/>
      <c r="T75" s="4"/>
      <c r="U75" s="4"/>
      <c r="V75" s="4"/>
      <c r="W75" s="4">
        <v>22691.5</v>
      </c>
      <c r="X75" s="4">
        <v>1</v>
      </c>
      <c r="Y75" s="4">
        <v>22691.5</v>
      </c>
      <c r="Z75" s="4"/>
      <c r="AA75" s="4"/>
      <c r="AB75" s="4"/>
    </row>
    <row r="76" spans="1:28" x14ac:dyDescent="0.2">
      <c r="A76" s="4">
        <v>50</v>
      </c>
      <c r="B76" s="4">
        <v>0</v>
      </c>
      <c r="C76" s="4">
        <v>0</v>
      </c>
      <c r="D76" s="4">
        <v>1</v>
      </c>
      <c r="E76" s="4">
        <v>230</v>
      </c>
      <c r="F76" s="4">
        <f>ROUND(Source!BA56,O76)</f>
        <v>0</v>
      </c>
      <c r="G76" s="4" t="s">
        <v>133</v>
      </c>
      <c r="H76" s="4" t="s">
        <v>134</v>
      </c>
      <c r="I76" s="4"/>
      <c r="J76" s="4"/>
      <c r="K76" s="4">
        <v>230</v>
      </c>
      <c r="L76" s="4">
        <v>19</v>
      </c>
      <c r="M76" s="4">
        <v>3</v>
      </c>
      <c r="N76" s="4" t="s">
        <v>3</v>
      </c>
      <c r="O76" s="4">
        <v>2</v>
      </c>
      <c r="P76" s="4"/>
      <c r="Q76" s="4"/>
      <c r="R76" s="4"/>
      <c r="S76" s="4"/>
      <c r="T76" s="4"/>
      <c r="U76" s="4"/>
      <c r="V76" s="4"/>
      <c r="W76" s="4">
        <v>0</v>
      </c>
      <c r="X76" s="4">
        <v>1</v>
      </c>
      <c r="Y76" s="4">
        <v>0</v>
      </c>
      <c r="Z76" s="4"/>
      <c r="AA76" s="4"/>
      <c r="AB76" s="4"/>
    </row>
    <row r="77" spans="1:28" x14ac:dyDescent="0.2">
      <c r="A77" s="4">
        <v>50</v>
      </c>
      <c r="B77" s="4">
        <v>0</v>
      </c>
      <c r="C77" s="4">
        <v>0</v>
      </c>
      <c r="D77" s="4">
        <v>1</v>
      </c>
      <c r="E77" s="4">
        <v>206</v>
      </c>
      <c r="F77" s="4">
        <f>ROUND(Source!T56,O77)</f>
        <v>0</v>
      </c>
      <c r="G77" s="4" t="s">
        <v>135</v>
      </c>
      <c r="H77" s="4" t="s">
        <v>136</v>
      </c>
      <c r="I77" s="4"/>
      <c r="J77" s="4"/>
      <c r="K77" s="4">
        <v>206</v>
      </c>
      <c r="L77" s="4">
        <v>20</v>
      </c>
      <c r="M77" s="4">
        <v>3</v>
      </c>
      <c r="N77" s="4" t="s">
        <v>3</v>
      </c>
      <c r="O77" s="4">
        <v>2</v>
      </c>
      <c r="P77" s="4"/>
      <c r="Q77" s="4"/>
      <c r="R77" s="4"/>
      <c r="S77" s="4"/>
      <c r="T77" s="4"/>
      <c r="U77" s="4"/>
      <c r="V77" s="4"/>
      <c r="W77" s="4">
        <v>0</v>
      </c>
      <c r="X77" s="4">
        <v>1</v>
      </c>
      <c r="Y77" s="4">
        <v>0</v>
      </c>
      <c r="Z77" s="4"/>
      <c r="AA77" s="4"/>
      <c r="AB77" s="4"/>
    </row>
    <row r="78" spans="1:28" x14ac:dyDescent="0.2">
      <c r="A78" s="4">
        <v>50</v>
      </c>
      <c r="B78" s="4">
        <v>0</v>
      </c>
      <c r="C78" s="4">
        <v>0</v>
      </c>
      <c r="D78" s="4">
        <v>1</v>
      </c>
      <c r="E78" s="4">
        <v>207</v>
      </c>
      <c r="F78" s="4">
        <f>Source!U56</f>
        <v>2.4767999999999999</v>
      </c>
      <c r="G78" s="4" t="s">
        <v>137</v>
      </c>
      <c r="H78" s="4" t="s">
        <v>138</v>
      </c>
      <c r="I78" s="4"/>
      <c r="J78" s="4"/>
      <c r="K78" s="4">
        <v>207</v>
      </c>
      <c r="L78" s="4">
        <v>21</v>
      </c>
      <c r="M78" s="4">
        <v>3</v>
      </c>
      <c r="N78" s="4" t="s">
        <v>3</v>
      </c>
      <c r="O78" s="4">
        <v>-1</v>
      </c>
      <c r="P78" s="4"/>
      <c r="Q78" s="4"/>
      <c r="R78" s="4"/>
      <c r="S78" s="4"/>
      <c r="T78" s="4"/>
      <c r="U78" s="4"/>
      <c r="V78" s="4"/>
      <c r="W78" s="4">
        <v>2.4767999999999999</v>
      </c>
      <c r="X78" s="4">
        <v>1</v>
      </c>
      <c r="Y78" s="4">
        <v>2.4767999999999999</v>
      </c>
      <c r="Z78" s="4"/>
      <c r="AA78" s="4"/>
      <c r="AB78" s="4"/>
    </row>
    <row r="79" spans="1:28" x14ac:dyDescent="0.2">
      <c r="A79" s="4">
        <v>50</v>
      </c>
      <c r="B79" s="4">
        <v>0</v>
      </c>
      <c r="C79" s="4">
        <v>0</v>
      </c>
      <c r="D79" s="4">
        <v>1</v>
      </c>
      <c r="E79" s="4">
        <v>208</v>
      </c>
      <c r="F79" s="4">
        <f>Source!V56</f>
        <v>0</v>
      </c>
      <c r="G79" s="4" t="s">
        <v>139</v>
      </c>
      <c r="H79" s="4" t="s">
        <v>140</v>
      </c>
      <c r="I79" s="4"/>
      <c r="J79" s="4"/>
      <c r="K79" s="4">
        <v>208</v>
      </c>
      <c r="L79" s="4">
        <v>22</v>
      </c>
      <c r="M79" s="4">
        <v>3</v>
      </c>
      <c r="N79" s="4" t="s">
        <v>3</v>
      </c>
      <c r="O79" s="4">
        <v>-1</v>
      </c>
      <c r="P79" s="4"/>
      <c r="Q79" s="4"/>
      <c r="R79" s="4"/>
      <c r="S79" s="4"/>
      <c r="T79" s="4"/>
      <c r="U79" s="4"/>
      <c r="V79" s="4"/>
      <c r="W79" s="4">
        <v>0</v>
      </c>
      <c r="X79" s="4">
        <v>1</v>
      </c>
      <c r="Y79" s="4">
        <v>0</v>
      </c>
      <c r="Z79" s="4"/>
      <c r="AA79" s="4"/>
      <c r="AB79" s="4"/>
    </row>
    <row r="80" spans="1:28" x14ac:dyDescent="0.2">
      <c r="A80" s="4">
        <v>50</v>
      </c>
      <c r="B80" s="4">
        <v>0</v>
      </c>
      <c r="C80" s="4">
        <v>0</v>
      </c>
      <c r="D80" s="4">
        <v>1</v>
      </c>
      <c r="E80" s="4">
        <v>209</v>
      </c>
      <c r="F80" s="4">
        <f>ROUND(Source!W56,O80)</f>
        <v>0</v>
      </c>
      <c r="G80" s="4" t="s">
        <v>141</v>
      </c>
      <c r="H80" s="4" t="s">
        <v>142</v>
      </c>
      <c r="I80" s="4"/>
      <c r="J80" s="4"/>
      <c r="K80" s="4">
        <v>209</v>
      </c>
      <c r="L80" s="4">
        <v>23</v>
      </c>
      <c r="M80" s="4">
        <v>3</v>
      </c>
      <c r="N80" s="4" t="s">
        <v>3</v>
      </c>
      <c r="O80" s="4">
        <v>2</v>
      </c>
      <c r="P80" s="4"/>
      <c r="Q80" s="4"/>
      <c r="R80" s="4"/>
      <c r="S80" s="4"/>
      <c r="T80" s="4"/>
      <c r="U80" s="4"/>
      <c r="V80" s="4"/>
      <c r="W80" s="4">
        <v>0</v>
      </c>
      <c r="X80" s="4">
        <v>1</v>
      </c>
      <c r="Y80" s="4">
        <v>0</v>
      </c>
      <c r="Z80" s="4"/>
      <c r="AA80" s="4"/>
      <c r="AB80" s="4"/>
    </row>
    <row r="81" spans="1:206" x14ac:dyDescent="0.2">
      <c r="A81" s="4">
        <v>50</v>
      </c>
      <c r="B81" s="4">
        <v>0</v>
      </c>
      <c r="C81" s="4">
        <v>0</v>
      </c>
      <c r="D81" s="4">
        <v>1</v>
      </c>
      <c r="E81" s="4">
        <v>233</v>
      </c>
      <c r="F81" s="4">
        <f>ROUND(Source!BD56,O81)</f>
        <v>0</v>
      </c>
      <c r="G81" s="4" t="s">
        <v>143</v>
      </c>
      <c r="H81" s="4" t="s">
        <v>144</v>
      </c>
      <c r="I81" s="4"/>
      <c r="J81" s="4"/>
      <c r="K81" s="4">
        <v>233</v>
      </c>
      <c r="L81" s="4">
        <v>24</v>
      </c>
      <c r="M81" s="4">
        <v>3</v>
      </c>
      <c r="N81" s="4" t="s">
        <v>3</v>
      </c>
      <c r="O81" s="4">
        <v>2</v>
      </c>
      <c r="P81" s="4"/>
      <c r="Q81" s="4"/>
      <c r="R81" s="4"/>
      <c r="S81" s="4"/>
      <c r="T81" s="4"/>
      <c r="U81" s="4"/>
      <c r="V81" s="4"/>
      <c r="W81" s="4">
        <v>0</v>
      </c>
      <c r="X81" s="4">
        <v>1</v>
      </c>
      <c r="Y81" s="4">
        <v>0</v>
      </c>
      <c r="Z81" s="4"/>
      <c r="AA81" s="4"/>
      <c r="AB81" s="4"/>
    </row>
    <row r="82" spans="1:206" x14ac:dyDescent="0.2">
      <c r="A82" s="4">
        <v>50</v>
      </c>
      <c r="B82" s="4">
        <v>0</v>
      </c>
      <c r="C82" s="4">
        <v>0</v>
      </c>
      <c r="D82" s="4">
        <v>1</v>
      </c>
      <c r="E82" s="4">
        <v>210</v>
      </c>
      <c r="F82" s="4">
        <f>ROUND(Source!X56,O82)</f>
        <v>733.08</v>
      </c>
      <c r="G82" s="4" t="s">
        <v>145</v>
      </c>
      <c r="H82" s="4" t="s">
        <v>146</v>
      </c>
      <c r="I82" s="4"/>
      <c r="J82" s="4"/>
      <c r="K82" s="4">
        <v>210</v>
      </c>
      <c r="L82" s="4">
        <v>25</v>
      </c>
      <c r="M82" s="4">
        <v>3</v>
      </c>
      <c r="N82" s="4" t="s">
        <v>3</v>
      </c>
      <c r="O82" s="4">
        <v>2</v>
      </c>
      <c r="P82" s="4"/>
      <c r="Q82" s="4"/>
      <c r="R82" s="4"/>
      <c r="S82" s="4"/>
      <c r="T82" s="4"/>
      <c r="U82" s="4"/>
      <c r="V82" s="4"/>
      <c r="W82" s="4">
        <v>733.08</v>
      </c>
      <c r="X82" s="4">
        <v>1</v>
      </c>
      <c r="Y82" s="4">
        <v>733.08</v>
      </c>
      <c r="Z82" s="4"/>
      <c r="AA82" s="4"/>
      <c r="AB82" s="4"/>
    </row>
    <row r="83" spans="1:206" x14ac:dyDescent="0.2">
      <c r="A83" s="4">
        <v>50</v>
      </c>
      <c r="B83" s="4">
        <v>0</v>
      </c>
      <c r="C83" s="4">
        <v>0</v>
      </c>
      <c r="D83" s="4">
        <v>1</v>
      </c>
      <c r="E83" s="4">
        <v>211</v>
      </c>
      <c r="F83" s="4">
        <f>ROUND(Source!Y56,O83)</f>
        <v>104.73</v>
      </c>
      <c r="G83" s="4" t="s">
        <v>147</v>
      </c>
      <c r="H83" s="4" t="s">
        <v>148</v>
      </c>
      <c r="I83" s="4"/>
      <c r="J83" s="4"/>
      <c r="K83" s="4">
        <v>211</v>
      </c>
      <c r="L83" s="4">
        <v>26</v>
      </c>
      <c r="M83" s="4">
        <v>3</v>
      </c>
      <c r="N83" s="4" t="s">
        <v>3</v>
      </c>
      <c r="O83" s="4">
        <v>2</v>
      </c>
      <c r="P83" s="4"/>
      <c r="Q83" s="4"/>
      <c r="R83" s="4"/>
      <c r="S83" s="4"/>
      <c r="T83" s="4"/>
      <c r="U83" s="4"/>
      <c r="V83" s="4"/>
      <c r="W83" s="4">
        <v>104.73</v>
      </c>
      <c r="X83" s="4">
        <v>1</v>
      </c>
      <c r="Y83" s="4">
        <v>104.73</v>
      </c>
      <c r="Z83" s="4"/>
      <c r="AA83" s="4"/>
      <c r="AB83" s="4"/>
    </row>
    <row r="84" spans="1:206" x14ac:dyDescent="0.2">
      <c r="A84" s="4">
        <v>50</v>
      </c>
      <c r="B84" s="4">
        <v>0</v>
      </c>
      <c r="C84" s="4">
        <v>0</v>
      </c>
      <c r="D84" s="4">
        <v>1</v>
      </c>
      <c r="E84" s="4">
        <v>224</v>
      </c>
      <c r="F84" s="4">
        <f>ROUND(Source!AR56,O84)</f>
        <v>22691.5</v>
      </c>
      <c r="G84" s="4" t="s">
        <v>149</v>
      </c>
      <c r="H84" s="4" t="s">
        <v>150</v>
      </c>
      <c r="I84" s="4"/>
      <c r="J84" s="4"/>
      <c r="K84" s="4">
        <v>224</v>
      </c>
      <c r="L84" s="4">
        <v>27</v>
      </c>
      <c r="M84" s="4">
        <v>3</v>
      </c>
      <c r="N84" s="4" t="s">
        <v>3</v>
      </c>
      <c r="O84" s="4">
        <v>2</v>
      </c>
      <c r="P84" s="4"/>
      <c r="Q84" s="4"/>
      <c r="R84" s="4"/>
      <c r="S84" s="4"/>
      <c r="T84" s="4"/>
      <c r="U84" s="4"/>
      <c r="V84" s="4"/>
      <c r="W84" s="4">
        <v>22691.5</v>
      </c>
      <c r="X84" s="4">
        <v>1</v>
      </c>
      <c r="Y84" s="4">
        <v>22691.5</v>
      </c>
      <c r="Z84" s="4"/>
      <c r="AA84" s="4"/>
      <c r="AB84" s="4"/>
    </row>
    <row r="86" spans="1:206" x14ac:dyDescent="0.2">
      <c r="A86" s="2">
        <v>51</v>
      </c>
      <c r="B86" s="2">
        <f>B24</f>
        <v>1</v>
      </c>
      <c r="C86" s="2">
        <f>A24</f>
        <v>4</v>
      </c>
      <c r="D86" s="2">
        <f>ROW(A24)</f>
        <v>24</v>
      </c>
      <c r="E86" s="2"/>
      <c r="F86" s="2" t="str">
        <f>IF(F24&lt;&gt;"",F24,"")</f>
        <v>Новый раздел</v>
      </c>
      <c r="G86" s="2" t="str">
        <f>IF(G24&lt;&gt;"",G24,"")</f>
        <v>2 эт. Санузел</v>
      </c>
      <c r="H86" s="2">
        <v>0</v>
      </c>
      <c r="I86" s="2"/>
      <c r="J86" s="2"/>
      <c r="K86" s="2"/>
      <c r="L86" s="2"/>
      <c r="M86" s="2"/>
      <c r="N86" s="2"/>
      <c r="O86" s="2">
        <f t="shared" ref="O86:T86" si="72">ROUND(O56+AB86,2)</f>
        <v>21853.42</v>
      </c>
      <c r="P86" s="2">
        <f t="shared" si="72"/>
        <v>20781.490000000002</v>
      </c>
      <c r="Q86" s="2">
        <f t="shared" si="72"/>
        <v>24.67</v>
      </c>
      <c r="R86" s="2">
        <f t="shared" si="72"/>
        <v>0.17</v>
      </c>
      <c r="S86" s="2">
        <f t="shared" si="72"/>
        <v>1047.26</v>
      </c>
      <c r="T86" s="2">
        <f t="shared" si="72"/>
        <v>0</v>
      </c>
      <c r="U86" s="2">
        <f>U56+AH86</f>
        <v>2.4767999999999999</v>
      </c>
      <c r="V86" s="2">
        <f>V56+AI86</f>
        <v>0</v>
      </c>
      <c r="W86" s="2">
        <f>ROUND(W56+AJ86,2)</f>
        <v>0</v>
      </c>
      <c r="X86" s="2">
        <f>ROUND(X56+AK86,2)</f>
        <v>733.08</v>
      </c>
      <c r="Y86" s="2">
        <f>ROUND(Y56+AL86,2)</f>
        <v>104.73</v>
      </c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  <c r="AL86" s="2"/>
      <c r="AM86" s="2"/>
      <c r="AN86" s="2"/>
      <c r="AO86" s="2">
        <f t="shared" ref="AO86:BD86" si="73">ROUND(AO56+BX86,2)</f>
        <v>0</v>
      </c>
      <c r="AP86" s="2">
        <f t="shared" si="73"/>
        <v>0</v>
      </c>
      <c r="AQ86" s="2">
        <f t="shared" si="73"/>
        <v>0</v>
      </c>
      <c r="AR86" s="2">
        <f t="shared" si="73"/>
        <v>22691.5</v>
      </c>
      <c r="AS86" s="2">
        <f t="shared" si="73"/>
        <v>0</v>
      </c>
      <c r="AT86" s="2">
        <f t="shared" si="73"/>
        <v>0</v>
      </c>
      <c r="AU86" s="2">
        <f t="shared" si="73"/>
        <v>22691.5</v>
      </c>
      <c r="AV86" s="2">
        <f t="shared" si="73"/>
        <v>20781.490000000002</v>
      </c>
      <c r="AW86" s="2">
        <f t="shared" si="73"/>
        <v>20781.490000000002</v>
      </c>
      <c r="AX86" s="2">
        <f t="shared" si="73"/>
        <v>0</v>
      </c>
      <c r="AY86" s="2">
        <f t="shared" si="73"/>
        <v>20781.490000000002</v>
      </c>
      <c r="AZ86" s="2">
        <f t="shared" si="73"/>
        <v>0</v>
      </c>
      <c r="BA86" s="2">
        <f t="shared" si="73"/>
        <v>0</v>
      </c>
      <c r="BB86" s="2">
        <f t="shared" si="73"/>
        <v>0</v>
      </c>
      <c r="BC86" s="2">
        <f t="shared" si="73"/>
        <v>0</v>
      </c>
      <c r="BD86" s="2">
        <f t="shared" si="73"/>
        <v>0</v>
      </c>
      <c r="BE86" s="2"/>
      <c r="BF86" s="2"/>
      <c r="BG86" s="2"/>
      <c r="BH86" s="2"/>
      <c r="BI86" s="2"/>
      <c r="BJ86" s="2"/>
      <c r="BK86" s="2"/>
      <c r="BL86" s="2"/>
      <c r="BM86" s="2"/>
      <c r="BN86" s="2"/>
      <c r="BO86" s="2"/>
      <c r="BP86" s="2"/>
      <c r="BQ86" s="2"/>
      <c r="BR86" s="2"/>
      <c r="BS86" s="2"/>
      <c r="BT86" s="2"/>
      <c r="BU86" s="2"/>
      <c r="BV86" s="2"/>
      <c r="BW86" s="2"/>
      <c r="BX86" s="2"/>
      <c r="BY86" s="2"/>
      <c r="BZ86" s="2"/>
      <c r="CA86" s="2"/>
      <c r="CB86" s="2"/>
      <c r="CC86" s="2"/>
      <c r="CD86" s="2"/>
      <c r="CE86" s="2"/>
      <c r="CF86" s="2"/>
      <c r="CG86" s="2"/>
      <c r="CH86" s="2"/>
      <c r="CI86" s="2"/>
      <c r="CJ86" s="2"/>
      <c r="CK86" s="2"/>
      <c r="CL86" s="2"/>
      <c r="CM86" s="2"/>
      <c r="CN86" s="2"/>
      <c r="CO86" s="2"/>
      <c r="CP86" s="2"/>
      <c r="CQ86" s="2"/>
      <c r="CR86" s="2"/>
      <c r="CS86" s="2"/>
      <c r="CT86" s="2"/>
      <c r="CU86" s="2"/>
      <c r="CV86" s="2"/>
      <c r="CW86" s="2"/>
      <c r="CX86" s="2"/>
      <c r="CY86" s="2"/>
      <c r="CZ86" s="2"/>
      <c r="DA86" s="2"/>
      <c r="DB86" s="2"/>
      <c r="DC86" s="2"/>
      <c r="DD86" s="2"/>
      <c r="DE86" s="2"/>
      <c r="DF86" s="2"/>
      <c r="DG86" s="3"/>
      <c r="DH86" s="3"/>
      <c r="DI86" s="3"/>
      <c r="DJ86" s="3"/>
      <c r="DK86" s="3"/>
      <c r="DL86" s="3"/>
      <c r="DM86" s="3"/>
      <c r="DN86" s="3"/>
      <c r="DO86" s="3"/>
      <c r="DP86" s="3"/>
      <c r="DQ86" s="3"/>
      <c r="DR86" s="3"/>
      <c r="DS86" s="3"/>
      <c r="DT86" s="3"/>
      <c r="DU86" s="3"/>
      <c r="DV86" s="3"/>
      <c r="DW86" s="3"/>
      <c r="DX86" s="3"/>
      <c r="DY86" s="3"/>
      <c r="DZ86" s="3"/>
      <c r="EA86" s="3"/>
      <c r="EB86" s="3"/>
      <c r="EC86" s="3"/>
      <c r="ED86" s="3"/>
      <c r="EE86" s="3"/>
      <c r="EF86" s="3"/>
      <c r="EG86" s="3"/>
      <c r="EH86" s="3"/>
      <c r="EI86" s="3"/>
      <c r="EJ86" s="3"/>
      <c r="EK86" s="3"/>
      <c r="EL86" s="3"/>
      <c r="EM86" s="3"/>
      <c r="EN86" s="3"/>
      <c r="EO86" s="3"/>
      <c r="EP86" s="3"/>
      <c r="EQ86" s="3"/>
      <c r="ER86" s="3"/>
      <c r="ES86" s="3"/>
      <c r="ET86" s="3"/>
      <c r="EU86" s="3"/>
      <c r="EV86" s="3"/>
      <c r="EW86" s="3"/>
      <c r="EX86" s="3"/>
      <c r="EY86" s="3"/>
      <c r="EZ86" s="3"/>
      <c r="FA86" s="3"/>
      <c r="FB86" s="3"/>
      <c r="FC86" s="3"/>
      <c r="FD86" s="3"/>
      <c r="FE86" s="3"/>
      <c r="FF86" s="3"/>
      <c r="FG86" s="3"/>
      <c r="FH86" s="3"/>
      <c r="FI86" s="3"/>
      <c r="FJ86" s="3"/>
      <c r="FK86" s="3"/>
      <c r="FL86" s="3"/>
      <c r="FM86" s="3"/>
      <c r="FN86" s="3"/>
      <c r="FO86" s="3"/>
      <c r="FP86" s="3"/>
      <c r="FQ86" s="3"/>
      <c r="FR86" s="3"/>
      <c r="FS86" s="3"/>
      <c r="FT86" s="3"/>
      <c r="FU86" s="3"/>
      <c r="FV86" s="3"/>
      <c r="FW86" s="3"/>
      <c r="FX86" s="3"/>
      <c r="FY86" s="3"/>
      <c r="FZ86" s="3"/>
      <c r="GA86" s="3"/>
      <c r="GB86" s="3"/>
      <c r="GC86" s="3"/>
      <c r="GD86" s="3"/>
      <c r="GE86" s="3"/>
      <c r="GF86" s="3"/>
      <c r="GG86" s="3"/>
      <c r="GH86" s="3"/>
      <c r="GI86" s="3"/>
      <c r="GJ86" s="3"/>
      <c r="GK86" s="3"/>
      <c r="GL86" s="3"/>
      <c r="GM86" s="3"/>
      <c r="GN86" s="3"/>
      <c r="GO86" s="3"/>
      <c r="GP86" s="3"/>
      <c r="GQ86" s="3"/>
      <c r="GR86" s="3"/>
      <c r="GS86" s="3"/>
      <c r="GT86" s="3"/>
      <c r="GU86" s="3"/>
      <c r="GV86" s="3"/>
      <c r="GW86" s="3"/>
      <c r="GX86" s="3">
        <v>0</v>
      </c>
    </row>
    <row r="88" spans="1:206" x14ac:dyDescent="0.2">
      <c r="A88" s="4">
        <v>50</v>
      </c>
      <c r="B88" s="4">
        <v>0</v>
      </c>
      <c r="C88" s="4">
        <v>0</v>
      </c>
      <c r="D88" s="4">
        <v>1</v>
      </c>
      <c r="E88" s="4">
        <v>201</v>
      </c>
      <c r="F88" s="4">
        <f>ROUND(Source!O86,O88)</f>
        <v>21853.42</v>
      </c>
      <c r="G88" s="4" t="s">
        <v>97</v>
      </c>
      <c r="H88" s="4" t="s">
        <v>98</v>
      </c>
      <c r="I88" s="4"/>
      <c r="J88" s="4"/>
      <c r="K88" s="4">
        <v>201</v>
      </c>
      <c r="L88" s="4">
        <v>1</v>
      </c>
      <c r="M88" s="4">
        <v>3</v>
      </c>
      <c r="N88" s="4" t="s">
        <v>3</v>
      </c>
      <c r="O88" s="4">
        <v>2</v>
      </c>
      <c r="P88" s="4"/>
      <c r="Q88" s="4"/>
      <c r="R88" s="4"/>
      <c r="S88" s="4"/>
      <c r="T88" s="4"/>
      <c r="U88" s="4"/>
      <c r="V88" s="4"/>
      <c r="W88" s="4">
        <v>21853.42</v>
      </c>
      <c r="X88" s="4">
        <v>1</v>
      </c>
      <c r="Y88" s="4">
        <v>21853.42</v>
      </c>
      <c r="Z88" s="4"/>
      <c r="AA88" s="4"/>
      <c r="AB88" s="4"/>
    </row>
    <row r="89" spans="1:206" x14ac:dyDescent="0.2">
      <c r="A89" s="4">
        <v>50</v>
      </c>
      <c r="B89" s="4">
        <v>0</v>
      </c>
      <c r="C89" s="4">
        <v>0</v>
      </c>
      <c r="D89" s="4">
        <v>1</v>
      </c>
      <c r="E89" s="4">
        <v>202</v>
      </c>
      <c r="F89" s="4">
        <f>ROUND(Source!P86,O89)</f>
        <v>20781.490000000002</v>
      </c>
      <c r="G89" s="4" t="s">
        <v>99</v>
      </c>
      <c r="H89" s="4" t="s">
        <v>100</v>
      </c>
      <c r="I89" s="4"/>
      <c r="J89" s="4"/>
      <c r="K89" s="4">
        <v>202</v>
      </c>
      <c r="L89" s="4">
        <v>2</v>
      </c>
      <c r="M89" s="4">
        <v>3</v>
      </c>
      <c r="N89" s="4" t="s">
        <v>3</v>
      </c>
      <c r="O89" s="4">
        <v>2</v>
      </c>
      <c r="P89" s="4"/>
      <c r="Q89" s="4"/>
      <c r="R89" s="4"/>
      <c r="S89" s="4"/>
      <c r="T89" s="4"/>
      <c r="U89" s="4"/>
      <c r="V89" s="4"/>
      <c r="W89" s="4">
        <v>20781.490000000002</v>
      </c>
      <c r="X89" s="4">
        <v>1</v>
      </c>
      <c r="Y89" s="4">
        <v>20781.490000000002</v>
      </c>
      <c r="Z89" s="4"/>
      <c r="AA89" s="4"/>
      <c r="AB89" s="4"/>
    </row>
    <row r="90" spans="1:206" x14ac:dyDescent="0.2">
      <c r="A90" s="4">
        <v>50</v>
      </c>
      <c r="B90" s="4">
        <v>0</v>
      </c>
      <c r="C90" s="4">
        <v>0</v>
      </c>
      <c r="D90" s="4">
        <v>1</v>
      </c>
      <c r="E90" s="4">
        <v>222</v>
      </c>
      <c r="F90" s="4">
        <f>ROUND(Source!AO86,O90)</f>
        <v>0</v>
      </c>
      <c r="G90" s="4" t="s">
        <v>101</v>
      </c>
      <c r="H90" s="4" t="s">
        <v>102</v>
      </c>
      <c r="I90" s="4"/>
      <c r="J90" s="4"/>
      <c r="K90" s="4">
        <v>222</v>
      </c>
      <c r="L90" s="4">
        <v>3</v>
      </c>
      <c r="M90" s="4">
        <v>3</v>
      </c>
      <c r="N90" s="4" t="s">
        <v>3</v>
      </c>
      <c r="O90" s="4">
        <v>2</v>
      </c>
      <c r="P90" s="4"/>
      <c r="Q90" s="4"/>
      <c r="R90" s="4"/>
      <c r="S90" s="4"/>
      <c r="T90" s="4"/>
      <c r="U90" s="4"/>
      <c r="V90" s="4"/>
      <c r="W90" s="4">
        <v>0</v>
      </c>
      <c r="X90" s="4">
        <v>1</v>
      </c>
      <c r="Y90" s="4">
        <v>0</v>
      </c>
      <c r="Z90" s="4"/>
      <c r="AA90" s="4"/>
      <c r="AB90" s="4"/>
    </row>
    <row r="91" spans="1:206" x14ac:dyDescent="0.2">
      <c r="A91" s="4">
        <v>50</v>
      </c>
      <c r="B91" s="4">
        <v>0</v>
      </c>
      <c r="C91" s="4">
        <v>0</v>
      </c>
      <c r="D91" s="4">
        <v>1</v>
      </c>
      <c r="E91" s="4">
        <v>225</v>
      </c>
      <c r="F91" s="4">
        <f>ROUND(Source!AV86,O91)</f>
        <v>20781.490000000002</v>
      </c>
      <c r="G91" s="4" t="s">
        <v>103</v>
      </c>
      <c r="H91" s="4" t="s">
        <v>104</v>
      </c>
      <c r="I91" s="4"/>
      <c r="J91" s="4"/>
      <c r="K91" s="4">
        <v>225</v>
      </c>
      <c r="L91" s="4">
        <v>4</v>
      </c>
      <c r="M91" s="4">
        <v>3</v>
      </c>
      <c r="N91" s="4" t="s">
        <v>3</v>
      </c>
      <c r="O91" s="4">
        <v>2</v>
      </c>
      <c r="P91" s="4"/>
      <c r="Q91" s="4"/>
      <c r="R91" s="4"/>
      <c r="S91" s="4"/>
      <c r="T91" s="4"/>
      <c r="U91" s="4"/>
      <c r="V91" s="4"/>
      <c r="W91" s="4">
        <v>20781.490000000002</v>
      </c>
      <c r="X91" s="4">
        <v>1</v>
      </c>
      <c r="Y91" s="4">
        <v>20781.490000000002</v>
      </c>
      <c r="Z91" s="4"/>
      <c r="AA91" s="4"/>
      <c r="AB91" s="4"/>
    </row>
    <row r="92" spans="1:206" x14ac:dyDescent="0.2">
      <c r="A92" s="4">
        <v>50</v>
      </c>
      <c r="B92" s="4">
        <v>0</v>
      </c>
      <c r="C92" s="4">
        <v>0</v>
      </c>
      <c r="D92" s="4">
        <v>1</v>
      </c>
      <c r="E92" s="4">
        <v>226</v>
      </c>
      <c r="F92" s="4">
        <f>ROUND(Source!AW86,O92)</f>
        <v>20781.490000000002</v>
      </c>
      <c r="G92" s="4" t="s">
        <v>105</v>
      </c>
      <c r="H92" s="4" t="s">
        <v>106</v>
      </c>
      <c r="I92" s="4"/>
      <c r="J92" s="4"/>
      <c r="K92" s="4">
        <v>226</v>
      </c>
      <c r="L92" s="4">
        <v>5</v>
      </c>
      <c r="M92" s="4">
        <v>3</v>
      </c>
      <c r="N92" s="4" t="s">
        <v>3</v>
      </c>
      <c r="O92" s="4">
        <v>2</v>
      </c>
      <c r="P92" s="4"/>
      <c r="Q92" s="4"/>
      <c r="R92" s="4"/>
      <c r="S92" s="4"/>
      <c r="T92" s="4"/>
      <c r="U92" s="4"/>
      <c r="V92" s="4"/>
      <c r="W92" s="4">
        <v>20781.490000000002</v>
      </c>
      <c r="X92" s="4">
        <v>1</v>
      </c>
      <c r="Y92" s="4">
        <v>20781.490000000002</v>
      </c>
      <c r="Z92" s="4"/>
      <c r="AA92" s="4"/>
      <c r="AB92" s="4"/>
    </row>
    <row r="93" spans="1:206" x14ac:dyDescent="0.2">
      <c r="A93" s="4">
        <v>50</v>
      </c>
      <c r="B93" s="4">
        <v>0</v>
      </c>
      <c r="C93" s="4">
        <v>0</v>
      </c>
      <c r="D93" s="4">
        <v>1</v>
      </c>
      <c r="E93" s="4">
        <v>227</v>
      </c>
      <c r="F93" s="4">
        <f>ROUND(Source!AX86,O93)</f>
        <v>0</v>
      </c>
      <c r="G93" s="4" t="s">
        <v>107</v>
      </c>
      <c r="H93" s="4" t="s">
        <v>108</v>
      </c>
      <c r="I93" s="4"/>
      <c r="J93" s="4"/>
      <c r="K93" s="4">
        <v>227</v>
      </c>
      <c r="L93" s="4">
        <v>6</v>
      </c>
      <c r="M93" s="4">
        <v>3</v>
      </c>
      <c r="N93" s="4" t="s">
        <v>3</v>
      </c>
      <c r="O93" s="4">
        <v>2</v>
      </c>
      <c r="P93" s="4"/>
      <c r="Q93" s="4"/>
      <c r="R93" s="4"/>
      <c r="S93" s="4"/>
      <c r="T93" s="4"/>
      <c r="U93" s="4"/>
      <c r="V93" s="4"/>
      <c r="W93" s="4">
        <v>0</v>
      </c>
      <c r="X93" s="4">
        <v>1</v>
      </c>
      <c r="Y93" s="4">
        <v>0</v>
      </c>
      <c r="Z93" s="4"/>
      <c r="AA93" s="4"/>
      <c r="AB93" s="4"/>
    </row>
    <row r="94" spans="1:206" x14ac:dyDescent="0.2">
      <c r="A94" s="4">
        <v>50</v>
      </c>
      <c r="B94" s="4">
        <v>0</v>
      </c>
      <c r="C94" s="4">
        <v>0</v>
      </c>
      <c r="D94" s="4">
        <v>1</v>
      </c>
      <c r="E94" s="4">
        <v>228</v>
      </c>
      <c r="F94" s="4">
        <f>ROUND(Source!AY86,O94)</f>
        <v>20781.490000000002</v>
      </c>
      <c r="G94" s="4" t="s">
        <v>109</v>
      </c>
      <c r="H94" s="4" t="s">
        <v>110</v>
      </c>
      <c r="I94" s="4"/>
      <c r="J94" s="4"/>
      <c r="K94" s="4">
        <v>228</v>
      </c>
      <c r="L94" s="4">
        <v>7</v>
      </c>
      <c r="M94" s="4">
        <v>3</v>
      </c>
      <c r="N94" s="4" t="s">
        <v>3</v>
      </c>
      <c r="O94" s="4">
        <v>2</v>
      </c>
      <c r="P94" s="4"/>
      <c r="Q94" s="4"/>
      <c r="R94" s="4"/>
      <c r="S94" s="4"/>
      <c r="T94" s="4"/>
      <c r="U94" s="4"/>
      <c r="V94" s="4"/>
      <c r="W94" s="4">
        <v>20781.490000000002</v>
      </c>
      <c r="X94" s="4">
        <v>1</v>
      </c>
      <c r="Y94" s="4">
        <v>20781.490000000002</v>
      </c>
      <c r="Z94" s="4"/>
      <c r="AA94" s="4"/>
      <c r="AB94" s="4"/>
    </row>
    <row r="95" spans="1:206" x14ac:dyDescent="0.2">
      <c r="A95" s="4">
        <v>50</v>
      </c>
      <c r="B95" s="4">
        <v>0</v>
      </c>
      <c r="C95" s="4">
        <v>0</v>
      </c>
      <c r="D95" s="4">
        <v>1</v>
      </c>
      <c r="E95" s="4">
        <v>216</v>
      </c>
      <c r="F95" s="4">
        <f>ROUND(Source!AP86,O95)</f>
        <v>0</v>
      </c>
      <c r="G95" s="4" t="s">
        <v>111</v>
      </c>
      <c r="H95" s="4" t="s">
        <v>112</v>
      </c>
      <c r="I95" s="4"/>
      <c r="J95" s="4"/>
      <c r="K95" s="4">
        <v>216</v>
      </c>
      <c r="L95" s="4">
        <v>8</v>
      </c>
      <c r="M95" s="4">
        <v>3</v>
      </c>
      <c r="N95" s="4" t="s">
        <v>3</v>
      </c>
      <c r="O95" s="4">
        <v>2</v>
      </c>
      <c r="P95" s="4"/>
      <c r="Q95" s="4"/>
      <c r="R95" s="4"/>
      <c r="S95" s="4"/>
      <c r="T95" s="4"/>
      <c r="U95" s="4"/>
      <c r="V95" s="4"/>
      <c r="W95" s="4">
        <v>0</v>
      </c>
      <c r="X95" s="4">
        <v>1</v>
      </c>
      <c r="Y95" s="4">
        <v>0</v>
      </c>
      <c r="Z95" s="4"/>
      <c r="AA95" s="4"/>
      <c r="AB95" s="4"/>
    </row>
    <row r="96" spans="1:206" x14ac:dyDescent="0.2">
      <c r="A96" s="4">
        <v>50</v>
      </c>
      <c r="B96" s="4">
        <v>0</v>
      </c>
      <c r="C96" s="4">
        <v>0</v>
      </c>
      <c r="D96" s="4">
        <v>1</v>
      </c>
      <c r="E96" s="4">
        <v>223</v>
      </c>
      <c r="F96" s="4">
        <f>ROUND(Source!AQ86,O96)</f>
        <v>0</v>
      </c>
      <c r="G96" s="4" t="s">
        <v>113</v>
      </c>
      <c r="H96" s="4" t="s">
        <v>114</v>
      </c>
      <c r="I96" s="4"/>
      <c r="J96" s="4"/>
      <c r="K96" s="4">
        <v>223</v>
      </c>
      <c r="L96" s="4">
        <v>9</v>
      </c>
      <c r="M96" s="4">
        <v>3</v>
      </c>
      <c r="N96" s="4" t="s">
        <v>3</v>
      </c>
      <c r="O96" s="4">
        <v>2</v>
      </c>
      <c r="P96" s="4"/>
      <c r="Q96" s="4"/>
      <c r="R96" s="4"/>
      <c r="S96" s="4"/>
      <c r="T96" s="4"/>
      <c r="U96" s="4"/>
      <c r="V96" s="4"/>
      <c r="W96" s="4">
        <v>0</v>
      </c>
      <c r="X96" s="4">
        <v>1</v>
      </c>
      <c r="Y96" s="4">
        <v>0</v>
      </c>
      <c r="Z96" s="4"/>
      <c r="AA96" s="4"/>
      <c r="AB96" s="4"/>
    </row>
    <row r="97" spans="1:28" x14ac:dyDescent="0.2">
      <c r="A97" s="4">
        <v>50</v>
      </c>
      <c r="B97" s="4">
        <v>0</v>
      </c>
      <c r="C97" s="4">
        <v>0</v>
      </c>
      <c r="D97" s="4">
        <v>1</v>
      </c>
      <c r="E97" s="4">
        <v>229</v>
      </c>
      <c r="F97" s="4">
        <f>ROUND(Source!AZ86,O97)</f>
        <v>0</v>
      </c>
      <c r="G97" s="4" t="s">
        <v>115</v>
      </c>
      <c r="H97" s="4" t="s">
        <v>116</v>
      </c>
      <c r="I97" s="4"/>
      <c r="J97" s="4"/>
      <c r="K97" s="4">
        <v>229</v>
      </c>
      <c r="L97" s="4">
        <v>10</v>
      </c>
      <c r="M97" s="4">
        <v>3</v>
      </c>
      <c r="N97" s="4" t="s">
        <v>3</v>
      </c>
      <c r="O97" s="4">
        <v>2</v>
      </c>
      <c r="P97" s="4"/>
      <c r="Q97" s="4"/>
      <c r="R97" s="4"/>
      <c r="S97" s="4"/>
      <c r="T97" s="4"/>
      <c r="U97" s="4"/>
      <c r="V97" s="4"/>
      <c r="W97" s="4">
        <v>0</v>
      </c>
      <c r="X97" s="4">
        <v>1</v>
      </c>
      <c r="Y97" s="4">
        <v>0</v>
      </c>
      <c r="Z97" s="4"/>
      <c r="AA97" s="4"/>
      <c r="AB97" s="4"/>
    </row>
    <row r="98" spans="1:28" x14ac:dyDescent="0.2">
      <c r="A98" s="4">
        <v>50</v>
      </c>
      <c r="B98" s="4">
        <v>0</v>
      </c>
      <c r="C98" s="4">
        <v>0</v>
      </c>
      <c r="D98" s="4">
        <v>1</v>
      </c>
      <c r="E98" s="4">
        <v>203</v>
      </c>
      <c r="F98" s="4">
        <f>ROUND(Source!Q86,O98)</f>
        <v>24.67</v>
      </c>
      <c r="G98" s="4" t="s">
        <v>117</v>
      </c>
      <c r="H98" s="4" t="s">
        <v>118</v>
      </c>
      <c r="I98" s="4"/>
      <c r="J98" s="4"/>
      <c r="K98" s="4">
        <v>203</v>
      </c>
      <c r="L98" s="4">
        <v>11</v>
      </c>
      <c r="M98" s="4">
        <v>3</v>
      </c>
      <c r="N98" s="4" t="s">
        <v>3</v>
      </c>
      <c r="O98" s="4">
        <v>2</v>
      </c>
      <c r="P98" s="4"/>
      <c r="Q98" s="4"/>
      <c r="R98" s="4"/>
      <c r="S98" s="4"/>
      <c r="T98" s="4"/>
      <c r="U98" s="4"/>
      <c r="V98" s="4"/>
      <c r="W98" s="4">
        <v>24.67</v>
      </c>
      <c r="X98" s="4">
        <v>1</v>
      </c>
      <c r="Y98" s="4">
        <v>24.67</v>
      </c>
      <c r="Z98" s="4"/>
      <c r="AA98" s="4"/>
      <c r="AB98" s="4"/>
    </row>
    <row r="99" spans="1:28" x14ac:dyDescent="0.2">
      <c r="A99" s="4">
        <v>50</v>
      </c>
      <c r="B99" s="4">
        <v>0</v>
      </c>
      <c r="C99" s="4">
        <v>0</v>
      </c>
      <c r="D99" s="4">
        <v>1</v>
      </c>
      <c r="E99" s="4">
        <v>231</v>
      </c>
      <c r="F99" s="4">
        <f>ROUND(Source!BB86,O99)</f>
        <v>0</v>
      </c>
      <c r="G99" s="4" t="s">
        <v>119</v>
      </c>
      <c r="H99" s="4" t="s">
        <v>120</v>
      </c>
      <c r="I99" s="4"/>
      <c r="J99" s="4"/>
      <c r="K99" s="4">
        <v>231</v>
      </c>
      <c r="L99" s="4">
        <v>12</v>
      </c>
      <c r="M99" s="4">
        <v>3</v>
      </c>
      <c r="N99" s="4" t="s">
        <v>3</v>
      </c>
      <c r="O99" s="4">
        <v>2</v>
      </c>
      <c r="P99" s="4"/>
      <c r="Q99" s="4"/>
      <c r="R99" s="4"/>
      <c r="S99" s="4"/>
      <c r="T99" s="4"/>
      <c r="U99" s="4"/>
      <c r="V99" s="4"/>
      <c r="W99" s="4">
        <v>0</v>
      </c>
      <c r="X99" s="4">
        <v>1</v>
      </c>
      <c r="Y99" s="4">
        <v>0</v>
      </c>
      <c r="Z99" s="4"/>
      <c r="AA99" s="4"/>
      <c r="AB99" s="4"/>
    </row>
    <row r="100" spans="1:28" x14ac:dyDescent="0.2">
      <c r="A100" s="4">
        <v>50</v>
      </c>
      <c r="B100" s="4">
        <v>0</v>
      </c>
      <c r="C100" s="4">
        <v>0</v>
      </c>
      <c r="D100" s="4">
        <v>1</v>
      </c>
      <c r="E100" s="4">
        <v>204</v>
      </c>
      <c r="F100" s="4">
        <f>ROUND(Source!R86,O100)</f>
        <v>0.17</v>
      </c>
      <c r="G100" s="4" t="s">
        <v>121</v>
      </c>
      <c r="H100" s="4" t="s">
        <v>122</v>
      </c>
      <c r="I100" s="4"/>
      <c r="J100" s="4"/>
      <c r="K100" s="4">
        <v>204</v>
      </c>
      <c r="L100" s="4">
        <v>13</v>
      </c>
      <c r="M100" s="4">
        <v>3</v>
      </c>
      <c r="N100" s="4" t="s">
        <v>3</v>
      </c>
      <c r="O100" s="4">
        <v>2</v>
      </c>
      <c r="P100" s="4"/>
      <c r="Q100" s="4"/>
      <c r="R100" s="4"/>
      <c r="S100" s="4"/>
      <c r="T100" s="4"/>
      <c r="U100" s="4"/>
      <c r="V100" s="4"/>
      <c r="W100" s="4">
        <v>0.17</v>
      </c>
      <c r="X100" s="4">
        <v>1</v>
      </c>
      <c r="Y100" s="4">
        <v>0.17</v>
      </c>
      <c r="Z100" s="4"/>
      <c r="AA100" s="4"/>
      <c r="AB100" s="4"/>
    </row>
    <row r="101" spans="1:28" x14ac:dyDescent="0.2">
      <c r="A101" s="4">
        <v>50</v>
      </c>
      <c r="B101" s="4">
        <v>0</v>
      </c>
      <c r="C101" s="4">
        <v>0</v>
      </c>
      <c r="D101" s="4">
        <v>1</v>
      </c>
      <c r="E101" s="4">
        <v>205</v>
      </c>
      <c r="F101" s="4">
        <f>ROUND(Source!S86,O101)</f>
        <v>1047.26</v>
      </c>
      <c r="G101" s="4" t="s">
        <v>123</v>
      </c>
      <c r="H101" s="4" t="s">
        <v>124</v>
      </c>
      <c r="I101" s="4"/>
      <c r="J101" s="4"/>
      <c r="K101" s="4">
        <v>205</v>
      </c>
      <c r="L101" s="4">
        <v>14</v>
      </c>
      <c r="M101" s="4">
        <v>3</v>
      </c>
      <c r="N101" s="4" t="s">
        <v>3</v>
      </c>
      <c r="O101" s="4">
        <v>2</v>
      </c>
      <c r="P101" s="4"/>
      <c r="Q101" s="4"/>
      <c r="R101" s="4"/>
      <c r="S101" s="4"/>
      <c r="T101" s="4"/>
      <c r="U101" s="4"/>
      <c r="V101" s="4"/>
      <c r="W101" s="4">
        <v>1047.26</v>
      </c>
      <c r="X101" s="4">
        <v>1</v>
      </c>
      <c r="Y101" s="4">
        <v>1047.26</v>
      </c>
      <c r="Z101" s="4"/>
      <c r="AA101" s="4"/>
      <c r="AB101" s="4"/>
    </row>
    <row r="102" spans="1:28" x14ac:dyDescent="0.2">
      <c r="A102" s="4">
        <v>50</v>
      </c>
      <c r="B102" s="4">
        <v>0</v>
      </c>
      <c r="C102" s="4">
        <v>0</v>
      </c>
      <c r="D102" s="4">
        <v>1</v>
      </c>
      <c r="E102" s="4">
        <v>232</v>
      </c>
      <c r="F102" s="4">
        <f>ROUND(Source!BC86,O102)</f>
        <v>0</v>
      </c>
      <c r="G102" s="4" t="s">
        <v>125</v>
      </c>
      <c r="H102" s="4" t="s">
        <v>126</v>
      </c>
      <c r="I102" s="4"/>
      <c r="J102" s="4"/>
      <c r="K102" s="4">
        <v>232</v>
      </c>
      <c r="L102" s="4">
        <v>15</v>
      </c>
      <c r="M102" s="4">
        <v>3</v>
      </c>
      <c r="N102" s="4" t="s">
        <v>3</v>
      </c>
      <c r="O102" s="4">
        <v>2</v>
      </c>
      <c r="P102" s="4"/>
      <c r="Q102" s="4"/>
      <c r="R102" s="4"/>
      <c r="S102" s="4"/>
      <c r="T102" s="4"/>
      <c r="U102" s="4"/>
      <c r="V102" s="4"/>
      <c r="W102" s="4">
        <v>0</v>
      </c>
      <c r="X102" s="4">
        <v>1</v>
      </c>
      <c r="Y102" s="4">
        <v>0</v>
      </c>
      <c r="Z102" s="4"/>
      <c r="AA102" s="4"/>
      <c r="AB102" s="4"/>
    </row>
    <row r="103" spans="1:28" x14ac:dyDescent="0.2">
      <c r="A103" s="4">
        <v>50</v>
      </c>
      <c r="B103" s="4">
        <v>0</v>
      </c>
      <c r="C103" s="4">
        <v>0</v>
      </c>
      <c r="D103" s="4">
        <v>1</v>
      </c>
      <c r="E103" s="4">
        <v>214</v>
      </c>
      <c r="F103" s="4">
        <f>ROUND(Source!AS86,O103)</f>
        <v>0</v>
      </c>
      <c r="G103" s="4" t="s">
        <v>127</v>
      </c>
      <c r="H103" s="4" t="s">
        <v>128</v>
      </c>
      <c r="I103" s="4"/>
      <c r="J103" s="4"/>
      <c r="K103" s="4">
        <v>214</v>
      </c>
      <c r="L103" s="4">
        <v>16</v>
      </c>
      <c r="M103" s="4">
        <v>3</v>
      </c>
      <c r="N103" s="4" t="s">
        <v>3</v>
      </c>
      <c r="O103" s="4">
        <v>2</v>
      </c>
      <c r="P103" s="4"/>
      <c r="Q103" s="4"/>
      <c r="R103" s="4"/>
      <c r="S103" s="4"/>
      <c r="T103" s="4"/>
      <c r="U103" s="4"/>
      <c r="V103" s="4"/>
      <c r="W103" s="4">
        <v>0</v>
      </c>
      <c r="X103" s="4">
        <v>1</v>
      </c>
      <c r="Y103" s="4">
        <v>0</v>
      </c>
      <c r="Z103" s="4"/>
      <c r="AA103" s="4"/>
      <c r="AB103" s="4"/>
    </row>
    <row r="104" spans="1:28" x14ac:dyDescent="0.2">
      <c r="A104" s="4">
        <v>50</v>
      </c>
      <c r="B104" s="4">
        <v>0</v>
      </c>
      <c r="C104" s="4">
        <v>0</v>
      </c>
      <c r="D104" s="4">
        <v>1</v>
      </c>
      <c r="E104" s="4">
        <v>215</v>
      </c>
      <c r="F104" s="4">
        <f>ROUND(Source!AT86,O104)</f>
        <v>0</v>
      </c>
      <c r="G104" s="4" t="s">
        <v>129</v>
      </c>
      <c r="H104" s="4" t="s">
        <v>130</v>
      </c>
      <c r="I104" s="4"/>
      <c r="J104" s="4"/>
      <c r="K104" s="4">
        <v>215</v>
      </c>
      <c r="L104" s="4">
        <v>17</v>
      </c>
      <c r="M104" s="4">
        <v>3</v>
      </c>
      <c r="N104" s="4" t="s">
        <v>3</v>
      </c>
      <c r="O104" s="4">
        <v>2</v>
      </c>
      <c r="P104" s="4"/>
      <c r="Q104" s="4"/>
      <c r="R104" s="4"/>
      <c r="S104" s="4"/>
      <c r="T104" s="4"/>
      <c r="U104" s="4"/>
      <c r="V104" s="4"/>
      <c r="W104" s="4">
        <v>0</v>
      </c>
      <c r="X104" s="4">
        <v>1</v>
      </c>
      <c r="Y104" s="4">
        <v>0</v>
      </c>
      <c r="Z104" s="4"/>
      <c r="AA104" s="4"/>
      <c r="AB104" s="4"/>
    </row>
    <row r="105" spans="1:28" x14ac:dyDescent="0.2">
      <c r="A105" s="4">
        <v>50</v>
      </c>
      <c r="B105" s="4">
        <v>0</v>
      </c>
      <c r="C105" s="4">
        <v>0</v>
      </c>
      <c r="D105" s="4">
        <v>1</v>
      </c>
      <c r="E105" s="4">
        <v>217</v>
      </c>
      <c r="F105" s="4">
        <f>ROUND(Source!AU86,O105)</f>
        <v>22691.5</v>
      </c>
      <c r="G105" s="4" t="s">
        <v>131</v>
      </c>
      <c r="H105" s="4" t="s">
        <v>132</v>
      </c>
      <c r="I105" s="4"/>
      <c r="J105" s="4"/>
      <c r="K105" s="4">
        <v>217</v>
      </c>
      <c r="L105" s="4">
        <v>18</v>
      </c>
      <c r="M105" s="4">
        <v>3</v>
      </c>
      <c r="N105" s="4" t="s">
        <v>3</v>
      </c>
      <c r="O105" s="4">
        <v>2</v>
      </c>
      <c r="P105" s="4"/>
      <c r="Q105" s="4"/>
      <c r="R105" s="4"/>
      <c r="S105" s="4"/>
      <c r="T105" s="4"/>
      <c r="U105" s="4"/>
      <c r="V105" s="4"/>
      <c r="W105" s="4">
        <v>22691.5</v>
      </c>
      <c r="X105" s="4">
        <v>1</v>
      </c>
      <c r="Y105" s="4">
        <v>22691.5</v>
      </c>
      <c r="Z105" s="4"/>
      <c r="AA105" s="4"/>
      <c r="AB105" s="4"/>
    </row>
    <row r="106" spans="1:28" x14ac:dyDescent="0.2">
      <c r="A106" s="4">
        <v>50</v>
      </c>
      <c r="B106" s="4">
        <v>0</v>
      </c>
      <c r="C106" s="4">
        <v>0</v>
      </c>
      <c r="D106" s="4">
        <v>1</v>
      </c>
      <c r="E106" s="4">
        <v>230</v>
      </c>
      <c r="F106" s="4">
        <f>ROUND(Source!BA86,O106)</f>
        <v>0</v>
      </c>
      <c r="G106" s="4" t="s">
        <v>133</v>
      </c>
      <c r="H106" s="4" t="s">
        <v>134</v>
      </c>
      <c r="I106" s="4"/>
      <c r="J106" s="4"/>
      <c r="K106" s="4">
        <v>230</v>
      </c>
      <c r="L106" s="4">
        <v>19</v>
      </c>
      <c r="M106" s="4">
        <v>3</v>
      </c>
      <c r="N106" s="4" t="s">
        <v>3</v>
      </c>
      <c r="O106" s="4">
        <v>2</v>
      </c>
      <c r="P106" s="4"/>
      <c r="Q106" s="4"/>
      <c r="R106" s="4"/>
      <c r="S106" s="4"/>
      <c r="T106" s="4"/>
      <c r="U106" s="4"/>
      <c r="V106" s="4"/>
      <c r="W106" s="4">
        <v>0</v>
      </c>
      <c r="X106" s="4">
        <v>1</v>
      </c>
      <c r="Y106" s="4">
        <v>0</v>
      </c>
      <c r="Z106" s="4"/>
      <c r="AA106" s="4"/>
      <c r="AB106" s="4"/>
    </row>
    <row r="107" spans="1:28" x14ac:dyDescent="0.2">
      <c r="A107" s="4">
        <v>50</v>
      </c>
      <c r="B107" s="4">
        <v>0</v>
      </c>
      <c r="C107" s="4">
        <v>0</v>
      </c>
      <c r="D107" s="4">
        <v>1</v>
      </c>
      <c r="E107" s="4">
        <v>206</v>
      </c>
      <c r="F107" s="4">
        <f>ROUND(Source!T86,O107)</f>
        <v>0</v>
      </c>
      <c r="G107" s="4" t="s">
        <v>135</v>
      </c>
      <c r="H107" s="4" t="s">
        <v>136</v>
      </c>
      <c r="I107" s="4"/>
      <c r="J107" s="4"/>
      <c r="K107" s="4">
        <v>206</v>
      </c>
      <c r="L107" s="4">
        <v>20</v>
      </c>
      <c r="M107" s="4">
        <v>3</v>
      </c>
      <c r="N107" s="4" t="s">
        <v>3</v>
      </c>
      <c r="O107" s="4">
        <v>2</v>
      </c>
      <c r="P107" s="4"/>
      <c r="Q107" s="4"/>
      <c r="R107" s="4"/>
      <c r="S107" s="4"/>
      <c r="T107" s="4"/>
      <c r="U107" s="4"/>
      <c r="V107" s="4"/>
      <c r="W107" s="4">
        <v>0</v>
      </c>
      <c r="X107" s="4">
        <v>1</v>
      </c>
      <c r="Y107" s="4">
        <v>0</v>
      </c>
      <c r="Z107" s="4"/>
      <c r="AA107" s="4"/>
      <c r="AB107" s="4"/>
    </row>
    <row r="108" spans="1:28" x14ac:dyDescent="0.2">
      <c r="A108" s="4">
        <v>50</v>
      </c>
      <c r="B108" s="4">
        <v>0</v>
      </c>
      <c r="C108" s="4">
        <v>0</v>
      </c>
      <c r="D108" s="4">
        <v>1</v>
      </c>
      <c r="E108" s="4">
        <v>207</v>
      </c>
      <c r="F108" s="4">
        <f>Source!U86</f>
        <v>2.4767999999999999</v>
      </c>
      <c r="G108" s="4" t="s">
        <v>137</v>
      </c>
      <c r="H108" s="4" t="s">
        <v>138</v>
      </c>
      <c r="I108" s="4"/>
      <c r="J108" s="4"/>
      <c r="K108" s="4">
        <v>207</v>
      </c>
      <c r="L108" s="4">
        <v>21</v>
      </c>
      <c r="M108" s="4">
        <v>3</v>
      </c>
      <c r="N108" s="4" t="s">
        <v>3</v>
      </c>
      <c r="O108" s="4">
        <v>-1</v>
      </c>
      <c r="P108" s="4"/>
      <c r="Q108" s="4"/>
      <c r="R108" s="4"/>
      <c r="S108" s="4"/>
      <c r="T108" s="4"/>
      <c r="U108" s="4"/>
      <c r="V108" s="4"/>
      <c r="W108" s="4">
        <v>2.4767999999999999</v>
      </c>
      <c r="X108" s="4">
        <v>1</v>
      </c>
      <c r="Y108" s="4">
        <v>2.4767999999999999</v>
      </c>
      <c r="Z108" s="4"/>
      <c r="AA108" s="4"/>
      <c r="AB108" s="4"/>
    </row>
    <row r="109" spans="1:28" x14ac:dyDescent="0.2">
      <c r="A109" s="4">
        <v>50</v>
      </c>
      <c r="B109" s="4">
        <v>0</v>
      </c>
      <c r="C109" s="4">
        <v>0</v>
      </c>
      <c r="D109" s="4">
        <v>1</v>
      </c>
      <c r="E109" s="4">
        <v>208</v>
      </c>
      <c r="F109" s="4">
        <f>Source!V86</f>
        <v>0</v>
      </c>
      <c r="G109" s="4" t="s">
        <v>139</v>
      </c>
      <c r="H109" s="4" t="s">
        <v>140</v>
      </c>
      <c r="I109" s="4"/>
      <c r="J109" s="4"/>
      <c r="K109" s="4">
        <v>208</v>
      </c>
      <c r="L109" s="4">
        <v>22</v>
      </c>
      <c r="M109" s="4">
        <v>3</v>
      </c>
      <c r="N109" s="4" t="s">
        <v>3</v>
      </c>
      <c r="O109" s="4">
        <v>-1</v>
      </c>
      <c r="P109" s="4"/>
      <c r="Q109" s="4"/>
      <c r="R109" s="4"/>
      <c r="S109" s="4"/>
      <c r="T109" s="4"/>
      <c r="U109" s="4"/>
      <c r="V109" s="4"/>
      <c r="W109" s="4">
        <v>0</v>
      </c>
      <c r="X109" s="4">
        <v>1</v>
      </c>
      <c r="Y109" s="4">
        <v>0</v>
      </c>
      <c r="Z109" s="4"/>
      <c r="AA109" s="4"/>
      <c r="AB109" s="4"/>
    </row>
    <row r="110" spans="1:28" x14ac:dyDescent="0.2">
      <c r="A110" s="4">
        <v>50</v>
      </c>
      <c r="B110" s="4">
        <v>0</v>
      </c>
      <c r="C110" s="4">
        <v>0</v>
      </c>
      <c r="D110" s="4">
        <v>1</v>
      </c>
      <c r="E110" s="4">
        <v>209</v>
      </c>
      <c r="F110" s="4">
        <f>ROUND(Source!W86,O110)</f>
        <v>0</v>
      </c>
      <c r="G110" s="4" t="s">
        <v>141</v>
      </c>
      <c r="H110" s="4" t="s">
        <v>142</v>
      </c>
      <c r="I110" s="4"/>
      <c r="J110" s="4"/>
      <c r="K110" s="4">
        <v>209</v>
      </c>
      <c r="L110" s="4">
        <v>23</v>
      </c>
      <c r="M110" s="4">
        <v>3</v>
      </c>
      <c r="N110" s="4" t="s">
        <v>3</v>
      </c>
      <c r="O110" s="4">
        <v>2</v>
      </c>
      <c r="P110" s="4"/>
      <c r="Q110" s="4"/>
      <c r="R110" s="4"/>
      <c r="S110" s="4"/>
      <c r="T110" s="4"/>
      <c r="U110" s="4"/>
      <c r="V110" s="4"/>
      <c r="W110" s="4">
        <v>0</v>
      </c>
      <c r="X110" s="4">
        <v>1</v>
      </c>
      <c r="Y110" s="4">
        <v>0</v>
      </c>
      <c r="Z110" s="4"/>
      <c r="AA110" s="4"/>
      <c r="AB110" s="4"/>
    </row>
    <row r="111" spans="1:28" x14ac:dyDescent="0.2">
      <c r="A111" s="4">
        <v>50</v>
      </c>
      <c r="B111" s="4">
        <v>0</v>
      </c>
      <c r="C111" s="4">
        <v>0</v>
      </c>
      <c r="D111" s="4">
        <v>1</v>
      </c>
      <c r="E111" s="4">
        <v>233</v>
      </c>
      <c r="F111" s="4">
        <f>ROUND(Source!BD86,O111)</f>
        <v>0</v>
      </c>
      <c r="G111" s="4" t="s">
        <v>143</v>
      </c>
      <c r="H111" s="4" t="s">
        <v>144</v>
      </c>
      <c r="I111" s="4"/>
      <c r="J111" s="4"/>
      <c r="K111" s="4">
        <v>233</v>
      </c>
      <c r="L111" s="4">
        <v>24</v>
      </c>
      <c r="M111" s="4">
        <v>3</v>
      </c>
      <c r="N111" s="4" t="s">
        <v>3</v>
      </c>
      <c r="O111" s="4">
        <v>2</v>
      </c>
      <c r="P111" s="4"/>
      <c r="Q111" s="4"/>
      <c r="R111" s="4"/>
      <c r="S111" s="4"/>
      <c r="T111" s="4"/>
      <c r="U111" s="4"/>
      <c r="V111" s="4"/>
      <c r="W111" s="4">
        <v>0</v>
      </c>
      <c r="X111" s="4">
        <v>1</v>
      </c>
      <c r="Y111" s="4">
        <v>0</v>
      </c>
      <c r="Z111" s="4"/>
      <c r="AA111" s="4"/>
      <c r="AB111" s="4"/>
    </row>
    <row r="112" spans="1:28" x14ac:dyDescent="0.2">
      <c r="A112" s="4">
        <v>50</v>
      </c>
      <c r="B112" s="4">
        <v>0</v>
      </c>
      <c r="C112" s="4">
        <v>0</v>
      </c>
      <c r="D112" s="4">
        <v>1</v>
      </c>
      <c r="E112" s="4">
        <v>210</v>
      </c>
      <c r="F112" s="4">
        <f>ROUND(Source!X86,O112)</f>
        <v>733.08</v>
      </c>
      <c r="G112" s="4" t="s">
        <v>145</v>
      </c>
      <c r="H112" s="4" t="s">
        <v>146</v>
      </c>
      <c r="I112" s="4"/>
      <c r="J112" s="4"/>
      <c r="K112" s="4">
        <v>210</v>
      </c>
      <c r="L112" s="4">
        <v>25</v>
      </c>
      <c r="M112" s="4">
        <v>3</v>
      </c>
      <c r="N112" s="4" t="s">
        <v>3</v>
      </c>
      <c r="O112" s="4">
        <v>2</v>
      </c>
      <c r="P112" s="4"/>
      <c r="Q112" s="4"/>
      <c r="R112" s="4"/>
      <c r="S112" s="4"/>
      <c r="T112" s="4"/>
      <c r="U112" s="4"/>
      <c r="V112" s="4"/>
      <c r="W112" s="4">
        <v>733.08</v>
      </c>
      <c r="X112" s="4">
        <v>1</v>
      </c>
      <c r="Y112" s="4">
        <v>733.08</v>
      </c>
      <c r="Z112" s="4"/>
      <c r="AA112" s="4"/>
      <c r="AB112" s="4"/>
    </row>
    <row r="113" spans="1:245" x14ac:dyDescent="0.2">
      <c r="A113" s="4">
        <v>50</v>
      </c>
      <c r="B113" s="4">
        <v>0</v>
      </c>
      <c r="C113" s="4">
        <v>0</v>
      </c>
      <c r="D113" s="4">
        <v>1</v>
      </c>
      <c r="E113" s="4">
        <v>211</v>
      </c>
      <c r="F113" s="4">
        <f>ROUND(Source!Y86,O113)</f>
        <v>104.73</v>
      </c>
      <c r="G113" s="4" t="s">
        <v>147</v>
      </c>
      <c r="H113" s="4" t="s">
        <v>148</v>
      </c>
      <c r="I113" s="4"/>
      <c r="J113" s="4"/>
      <c r="K113" s="4">
        <v>211</v>
      </c>
      <c r="L113" s="4">
        <v>26</v>
      </c>
      <c r="M113" s="4">
        <v>3</v>
      </c>
      <c r="N113" s="4" t="s">
        <v>3</v>
      </c>
      <c r="O113" s="4">
        <v>2</v>
      </c>
      <c r="P113" s="4"/>
      <c r="Q113" s="4"/>
      <c r="R113" s="4"/>
      <c r="S113" s="4"/>
      <c r="T113" s="4"/>
      <c r="U113" s="4"/>
      <c r="V113" s="4"/>
      <c r="W113" s="4">
        <v>104.73</v>
      </c>
      <c r="X113" s="4">
        <v>1</v>
      </c>
      <c r="Y113" s="4">
        <v>104.73</v>
      </c>
      <c r="Z113" s="4"/>
      <c r="AA113" s="4"/>
      <c r="AB113" s="4"/>
    </row>
    <row r="114" spans="1:245" x14ac:dyDescent="0.2">
      <c r="A114" s="4">
        <v>50</v>
      </c>
      <c r="B114" s="4">
        <v>0</v>
      </c>
      <c r="C114" s="4">
        <v>0</v>
      </c>
      <c r="D114" s="4">
        <v>1</v>
      </c>
      <c r="E114" s="4">
        <v>224</v>
      </c>
      <c r="F114" s="4">
        <f>ROUND(Source!AR86,O114)</f>
        <v>22691.5</v>
      </c>
      <c r="G114" s="4" t="s">
        <v>149</v>
      </c>
      <c r="H114" s="4" t="s">
        <v>150</v>
      </c>
      <c r="I114" s="4"/>
      <c r="J114" s="4"/>
      <c r="K114" s="4">
        <v>224</v>
      </c>
      <c r="L114" s="4">
        <v>27</v>
      </c>
      <c r="M114" s="4">
        <v>3</v>
      </c>
      <c r="N114" s="4" t="s">
        <v>3</v>
      </c>
      <c r="O114" s="4">
        <v>2</v>
      </c>
      <c r="P114" s="4"/>
      <c r="Q114" s="4"/>
      <c r="R114" s="4"/>
      <c r="S114" s="4"/>
      <c r="T114" s="4"/>
      <c r="U114" s="4"/>
      <c r="V114" s="4"/>
      <c r="W114" s="4">
        <v>22691.5</v>
      </c>
      <c r="X114" s="4">
        <v>1</v>
      </c>
      <c r="Y114" s="4">
        <v>22691.5</v>
      </c>
      <c r="Z114" s="4"/>
      <c r="AA114" s="4"/>
      <c r="AB114" s="4"/>
    </row>
    <row r="116" spans="1:245" x14ac:dyDescent="0.2">
      <c r="A116" s="1">
        <v>4</v>
      </c>
      <c r="B116" s="1">
        <v>1</v>
      </c>
      <c r="C116" s="1"/>
      <c r="D116" s="1">
        <f>ROW(A178)</f>
        <v>178</v>
      </c>
      <c r="E116" s="1"/>
      <c r="F116" s="1" t="s">
        <v>12</v>
      </c>
      <c r="G116" s="1" t="s">
        <v>151</v>
      </c>
      <c r="H116" s="1" t="s">
        <v>3</v>
      </c>
      <c r="I116" s="1">
        <v>0</v>
      </c>
      <c r="J116" s="1"/>
      <c r="K116" s="1">
        <v>0</v>
      </c>
      <c r="L116" s="1"/>
      <c r="M116" s="1" t="s">
        <v>3</v>
      </c>
      <c r="N116" s="1"/>
      <c r="O116" s="1"/>
      <c r="P116" s="1"/>
      <c r="Q116" s="1"/>
      <c r="R116" s="1"/>
      <c r="S116" s="1">
        <v>0</v>
      </c>
      <c r="T116" s="1"/>
      <c r="U116" s="1" t="s">
        <v>3</v>
      </c>
      <c r="V116" s="1">
        <v>0</v>
      </c>
      <c r="W116" s="1"/>
      <c r="X116" s="1"/>
      <c r="Y116" s="1"/>
      <c r="Z116" s="1"/>
      <c r="AA116" s="1"/>
      <c r="AB116" s="1" t="s">
        <v>3</v>
      </c>
      <c r="AC116" s="1" t="s">
        <v>3</v>
      </c>
      <c r="AD116" s="1" t="s">
        <v>3</v>
      </c>
      <c r="AE116" s="1" t="s">
        <v>3</v>
      </c>
      <c r="AF116" s="1" t="s">
        <v>3</v>
      </c>
      <c r="AG116" s="1" t="s">
        <v>3</v>
      </c>
      <c r="AH116" s="1"/>
      <c r="AI116" s="1"/>
      <c r="AJ116" s="1"/>
      <c r="AK116" s="1"/>
      <c r="AL116" s="1"/>
      <c r="AM116" s="1"/>
      <c r="AN116" s="1"/>
      <c r="AO116" s="1"/>
      <c r="AP116" s="1" t="s">
        <v>3</v>
      </c>
      <c r="AQ116" s="1" t="s">
        <v>3</v>
      </c>
      <c r="AR116" s="1" t="s">
        <v>3</v>
      </c>
      <c r="AS116" s="1"/>
      <c r="AT116" s="1"/>
      <c r="AU116" s="1"/>
      <c r="AV116" s="1"/>
      <c r="AW116" s="1"/>
      <c r="AX116" s="1"/>
      <c r="AY116" s="1"/>
      <c r="AZ116" s="1" t="s">
        <v>3</v>
      </c>
      <c r="BA116" s="1"/>
      <c r="BB116" s="1" t="s">
        <v>3</v>
      </c>
      <c r="BC116" s="1" t="s">
        <v>3</v>
      </c>
      <c r="BD116" s="1" t="s">
        <v>3</v>
      </c>
      <c r="BE116" s="1" t="s">
        <v>3</v>
      </c>
      <c r="BF116" s="1" t="s">
        <v>3</v>
      </c>
      <c r="BG116" s="1" t="s">
        <v>3</v>
      </c>
      <c r="BH116" s="1" t="s">
        <v>3</v>
      </c>
      <c r="BI116" s="1" t="s">
        <v>3</v>
      </c>
      <c r="BJ116" s="1" t="s">
        <v>3</v>
      </c>
      <c r="BK116" s="1" t="s">
        <v>3</v>
      </c>
      <c r="BL116" s="1" t="s">
        <v>3</v>
      </c>
      <c r="BM116" s="1" t="s">
        <v>3</v>
      </c>
      <c r="BN116" s="1" t="s">
        <v>3</v>
      </c>
      <c r="BO116" s="1" t="s">
        <v>3</v>
      </c>
      <c r="BP116" s="1" t="s">
        <v>3</v>
      </c>
      <c r="BQ116" s="1"/>
      <c r="BR116" s="1"/>
      <c r="BS116" s="1"/>
      <c r="BT116" s="1"/>
      <c r="BU116" s="1"/>
      <c r="BV116" s="1"/>
      <c r="BW116" s="1"/>
      <c r="BX116" s="1">
        <v>0</v>
      </c>
      <c r="BY116" s="1"/>
      <c r="BZ116" s="1"/>
      <c r="CA116" s="1"/>
      <c r="CB116" s="1"/>
      <c r="CC116" s="1"/>
      <c r="CD116" s="1"/>
      <c r="CE116" s="1"/>
      <c r="CF116" s="1"/>
      <c r="CG116" s="1"/>
      <c r="CH116" s="1"/>
      <c r="CI116" s="1"/>
      <c r="CJ116" s="1">
        <v>0</v>
      </c>
    </row>
    <row r="118" spans="1:245" x14ac:dyDescent="0.2">
      <c r="A118" s="2">
        <v>52</v>
      </c>
      <c r="B118" s="2">
        <f t="shared" ref="B118:G118" si="74">B178</f>
        <v>1</v>
      </c>
      <c r="C118" s="2">
        <f t="shared" si="74"/>
        <v>4</v>
      </c>
      <c r="D118" s="2">
        <f t="shared" si="74"/>
        <v>116</v>
      </c>
      <c r="E118" s="2">
        <f t="shared" si="74"/>
        <v>0</v>
      </c>
      <c r="F118" s="2" t="str">
        <f t="shared" si="74"/>
        <v>Новый раздел</v>
      </c>
      <c r="G118" s="2" t="str">
        <f t="shared" si="74"/>
        <v>Подвал</v>
      </c>
      <c r="H118" s="2"/>
      <c r="I118" s="2"/>
      <c r="J118" s="2"/>
      <c r="K118" s="2"/>
      <c r="L118" s="2"/>
      <c r="M118" s="2"/>
      <c r="N118" s="2"/>
      <c r="O118" s="2">
        <f t="shared" ref="O118:AT118" si="75">O178</f>
        <v>340854.56</v>
      </c>
      <c r="P118" s="2">
        <f t="shared" si="75"/>
        <v>215269.12</v>
      </c>
      <c r="Q118" s="2">
        <f t="shared" si="75"/>
        <v>682.44</v>
      </c>
      <c r="R118" s="2">
        <f t="shared" si="75"/>
        <v>19.47</v>
      </c>
      <c r="S118" s="2">
        <f t="shared" si="75"/>
        <v>124903</v>
      </c>
      <c r="T118" s="2">
        <f t="shared" si="75"/>
        <v>0</v>
      </c>
      <c r="U118" s="2">
        <f t="shared" si="75"/>
        <v>296.70629999999994</v>
      </c>
      <c r="V118" s="2">
        <f t="shared" si="75"/>
        <v>0</v>
      </c>
      <c r="W118" s="2">
        <f t="shared" si="75"/>
        <v>0</v>
      </c>
      <c r="X118" s="2">
        <f t="shared" si="75"/>
        <v>87432.1</v>
      </c>
      <c r="Y118" s="2">
        <f t="shared" si="75"/>
        <v>12490.3</v>
      </c>
      <c r="Z118" s="2">
        <f t="shared" si="75"/>
        <v>0</v>
      </c>
      <c r="AA118" s="2">
        <f t="shared" si="75"/>
        <v>0</v>
      </c>
      <c r="AB118" s="2">
        <f t="shared" si="75"/>
        <v>0</v>
      </c>
      <c r="AC118" s="2">
        <f t="shared" si="75"/>
        <v>0</v>
      </c>
      <c r="AD118" s="2">
        <f t="shared" si="75"/>
        <v>0</v>
      </c>
      <c r="AE118" s="2">
        <f t="shared" si="75"/>
        <v>0</v>
      </c>
      <c r="AF118" s="2">
        <f t="shared" si="75"/>
        <v>0</v>
      </c>
      <c r="AG118" s="2">
        <f t="shared" si="75"/>
        <v>0</v>
      </c>
      <c r="AH118" s="2">
        <f t="shared" si="75"/>
        <v>0</v>
      </c>
      <c r="AI118" s="2">
        <f t="shared" si="75"/>
        <v>0</v>
      </c>
      <c r="AJ118" s="2">
        <f t="shared" si="75"/>
        <v>0</v>
      </c>
      <c r="AK118" s="2">
        <f t="shared" si="75"/>
        <v>0</v>
      </c>
      <c r="AL118" s="2">
        <f t="shared" si="75"/>
        <v>0</v>
      </c>
      <c r="AM118" s="2">
        <f t="shared" si="75"/>
        <v>0</v>
      </c>
      <c r="AN118" s="2">
        <f t="shared" si="75"/>
        <v>0</v>
      </c>
      <c r="AO118" s="2">
        <f t="shared" si="75"/>
        <v>0</v>
      </c>
      <c r="AP118" s="2">
        <f t="shared" si="75"/>
        <v>0</v>
      </c>
      <c r="AQ118" s="2">
        <f t="shared" si="75"/>
        <v>0</v>
      </c>
      <c r="AR118" s="2">
        <f t="shared" si="75"/>
        <v>440808.11</v>
      </c>
      <c r="AS118" s="2">
        <f t="shared" si="75"/>
        <v>0</v>
      </c>
      <c r="AT118" s="2">
        <f t="shared" si="75"/>
        <v>0</v>
      </c>
      <c r="AU118" s="2">
        <f t="shared" ref="AU118:BZ118" si="76">AU178</f>
        <v>440808.11</v>
      </c>
      <c r="AV118" s="2">
        <f t="shared" si="76"/>
        <v>215269.12</v>
      </c>
      <c r="AW118" s="2">
        <f t="shared" si="76"/>
        <v>215269.12</v>
      </c>
      <c r="AX118" s="2">
        <f t="shared" si="76"/>
        <v>0</v>
      </c>
      <c r="AY118" s="2">
        <f t="shared" si="76"/>
        <v>215269.12</v>
      </c>
      <c r="AZ118" s="2">
        <f t="shared" si="76"/>
        <v>0</v>
      </c>
      <c r="BA118" s="2">
        <f t="shared" si="76"/>
        <v>0</v>
      </c>
      <c r="BB118" s="2">
        <f t="shared" si="76"/>
        <v>0</v>
      </c>
      <c r="BC118" s="2">
        <f t="shared" si="76"/>
        <v>0</v>
      </c>
      <c r="BD118" s="2">
        <f t="shared" si="76"/>
        <v>0</v>
      </c>
      <c r="BE118" s="2">
        <f t="shared" si="76"/>
        <v>0</v>
      </c>
      <c r="BF118" s="2">
        <f t="shared" si="76"/>
        <v>0</v>
      </c>
      <c r="BG118" s="2">
        <f t="shared" si="76"/>
        <v>0</v>
      </c>
      <c r="BH118" s="2">
        <f t="shared" si="76"/>
        <v>0</v>
      </c>
      <c r="BI118" s="2">
        <f t="shared" si="76"/>
        <v>0</v>
      </c>
      <c r="BJ118" s="2">
        <f t="shared" si="76"/>
        <v>0</v>
      </c>
      <c r="BK118" s="2">
        <f t="shared" si="76"/>
        <v>0</v>
      </c>
      <c r="BL118" s="2">
        <f t="shared" si="76"/>
        <v>0</v>
      </c>
      <c r="BM118" s="2">
        <f t="shared" si="76"/>
        <v>0</v>
      </c>
      <c r="BN118" s="2">
        <f t="shared" si="76"/>
        <v>0</v>
      </c>
      <c r="BO118" s="2">
        <f t="shared" si="76"/>
        <v>0</v>
      </c>
      <c r="BP118" s="2">
        <f t="shared" si="76"/>
        <v>0</v>
      </c>
      <c r="BQ118" s="2">
        <f t="shared" si="76"/>
        <v>0</v>
      </c>
      <c r="BR118" s="2">
        <f t="shared" si="76"/>
        <v>0</v>
      </c>
      <c r="BS118" s="2">
        <f t="shared" si="76"/>
        <v>0</v>
      </c>
      <c r="BT118" s="2">
        <f t="shared" si="76"/>
        <v>0</v>
      </c>
      <c r="BU118" s="2">
        <f t="shared" si="76"/>
        <v>0</v>
      </c>
      <c r="BV118" s="2">
        <f t="shared" si="76"/>
        <v>0</v>
      </c>
      <c r="BW118" s="2">
        <f t="shared" si="76"/>
        <v>0</v>
      </c>
      <c r="BX118" s="2">
        <f t="shared" si="76"/>
        <v>0</v>
      </c>
      <c r="BY118" s="2">
        <f t="shared" si="76"/>
        <v>0</v>
      </c>
      <c r="BZ118" s="2">
        <f t="shared" si="76"/>
        <v>0</v>
      </c>
      <c r="CA118" s="2">
        <f t="shared" ref="CA118:DF118" si="77">CA178</f>
        <v>0</v>
      </c>
      <c r="CB118" s="2">
        <f t="shared" si="77"/>
        <v>0</v>
      </c>
      <c r="CC118" s="2">
        <f t="shared" si="77"/>
        <v>0</v>
      </c>
      <c r="CD118" s="2">
        <f t="shared" si="77"/>
        <v>0</v>
      </c>
      <c r="CE118" s="2">
        <f t="shared" si="77"/>
        <v>0</v>
      </c>
      <c r="CF118" s="2">
        <f t="shared" si="77"/>
        <v>0</v>
      </c>
      <c r="CG118" s="2">
        <f t="shared" si="77"/>
        <v>0</v>
      </c>
      <c r="CH118" s="2">
        <f t="shared" si="77"/>
        <v>0</v>
      </c>
      <c r="CI118" s="2">
        <f t="shared" si="77"/>
        <v>0</v>
      </c>
      <c r="CJ118" s="2">
        <f t="shared" si="77"/>
        <v>0</v>
      </c>
      <c r="CK118" s="2">
        <f t="shared" si="77"/>
        <v>0</v>
      </c>
      <c r="CL118" s="2">
        <f t="shared" si="77"/>
        <v>0</v>
      </c>
      <c r="CM118" s="2">
        <f t="shared" si="77"/>
        <v>0</v>
      </c>
      <c r="CN118" s="2">
        <f t="shared" si="77"/>
        <v>0</v>
      </c>
      <c r="CO118" s="2">
        <f t="shared" si="77"/>
        <v>0</v>
      </c>
      <c r="CP118" s="2">
        <f t="shared" si="77"/>
        <v>0</v>
      </c>
      <c r="CQ118" s="2">
        <f t="shared" si="77"/>
        <v>0</v>
      </c>
      <c r="CR118" s="2">
        <f t="shared" si="77"/>
        <v>0</v>
      </c>
      <c r="CS118" s="2">
        <f t="shared" si="77"/>
        <v>0</v>
      </c>
      <c r="CT118" s="2">
        <f t="shared" si="77"/>
        <v>0</v>
      </c>
      <c r="CU118" s="2">
        <f t="shared" si="77"/>
        <v>0</v>
      </c>
      <c r="CV118" s="2">
        <f t="shared" si="77"/>
        <v>0</v>
      </c>
      <c r="CW118" s="2">
        <f t="shared" si="77"/>
        <v>0</v>
      </c>
      <c r="CX118" s="2">
        <f t="shared" si="77"/>
        <v>0</v>
      </c>
      <c r="CY118" s="2">
        <f t="shared" si="77"/>
        <v>0</v>
      </c>
      <c r="CZ118" s="2">
        <f t="shared" si="77"/>
        <v>0</v>
      </c>
      <c r="DA118" s="2">
        <f t="shared" si="77"/>
        <v>0</v>
      </c>
      <c r="DB118" s="2">
        <f t="shared" si="77"/>
        <v>0</v>
      </c>
      <c r="DC118" s="2">
        <f t="shared" si="77"/>
        <v>0</v>
      </c>
      <c r="DD118" s="2">
        <f t="shared" si="77"/>
        <v>0</v>
      </c>
      <c r="DE118" s="2">
        <f t="shared" si="77"/>
        <v>0</v>
      </c>
      <c r="DF118" s="2">
        <f t="shared" si="77"/>
        <v>0</v>
      </c>
      <c r="DG118" s="3">
        <f t="shared" ref="DG118:EL118" si="78">DG178</f>
        <v>0</v>
      </c>
      <c r="DH118" s="3">
        <f t="shared" si="78"/>
        <v>0</v>
      </c>
      <c r="DI118" s="3">
        <f t="shared" si="78"/>
        <v>0</v>
      </c>
      <c r="DJ118" s="3">
        <f t="shared" si="78"/>
        <v>0</v>
      </c>
      <c r="DK118" s="3">
        <f t="shared" si="78"/>
        <v>0</v>
      </c>
      <c r="DL118" s="3">
        <f t="shared" si="78"/>
        <v>0</v>
      </c>
      <c r="DM118" s="3">
        <f t="shared" si="78"/>
        <v>0</v>
      </c>
      <c r="DN118" s="3">
        <f t="shared" si="78"/>
        <v>0</v>
      </c>
      <c r="DO118" s="3">
        <f t="shared" si="78"/>
        <v>0</v>
      </c>
      <c r="DP118" s="3">
        <f t="shared" si="78"/>
        <v>0</v>
      </c>
      <c r="DQ118" s="3">
        <f t="shared" si="78"/>
        <v>0</v>
      </c>
      <c r="DR118" s="3">
        <f t="shared" si="78"/>
        <v>0</v>
      </c>
      <c r="DS118" s="3">
        <f t="shared" si="78"/>
        <v>0</v>
      </c>
      <c r="DT118" s="3">
        <f t="shared" si="78"/>
        <v>0</v>
      </c>
      <c r="DU118" s="3">
        <f t="shared" si="78"/>
        <v>0</v>
      </c>
      <c r="DV118" s="3">
        <f t="shared" si="78"/>
        <v>0</v>
      </c>
      <c r="DW118" s="3">
        <f t="shared" si="78"/>
        <v>0</v>
      </c>
      <c r="DX118" s="3">
        <f t="shared" si="78"/>
        <v>0</v>
      </c>
      <c r="DY118" s="3">
        <f t="shared" si="78"/>
        <v>0</v>
      </c>
      <c r="DZ118" s="3">
        <f t="shared" si="78"/>
        <v>0</v>
      </c>
      <c r="EA118" s="3">
        <f t="shared" si="78"/>
        <v>0</v>
      </c>
      <c r="EB118" s="3">
        <f t="shared" si="78"/>
        <v>0</v>
      </c>
      <c r="EC118" s="3">
        <f t="shared" si="78"/>
        <v>0</v>
      </c>
      <c r="ED118" s="3">
        <f t="shared" si="78"/>
        <v>0</v>
      </c>
      <c r="EE118" s="3">
        <f t="shared" si="78"/>
        <v>0</v>
      </c>
      <c r="EF118" s="3">
        <f t="shared" si="78"/>
        <v>0</v>
      </c>
      <c r="EG118" s="3">
        <f t="shared" si="78"/>
        <v>0</v>
      </c>
      <c r="EH118" s="3">
        <f t="shared" si="78"/>
        <v>0</v>
      </c>
      <c r="EI118" s="3">
        <f t="shared" si="78"/>
        <v>0</v>
      </c>
      <c r="EJ118" s="3">
        <f t="shared" si="78"/>
        <v>0</v>
      </c>
      <c r="EK118" s="3">
        <f t="shared" si="78"/>
        <v>0</v>
      </c>
      <c r="EL118" s="3">
        <f t="shared" si="78"/>
        <v>0</v>
      </c>
      <c r="EM118" s="3">
        <f t="shared" ref="EM118:FR118" si="79">EM178</f>
        <v>0</v>
      </c>
      <c r="EN118" s="3">
        <f t="shared" si="79"/>
        <v>0</v>
      </c>
      <c r="EO118" s="3">
        <f t="shared" si="79"/>
        <v>0</v>
      </c>
      <c r="EP118" s="3">
        <f t="shared" si="79"/>
        <v>0</v>
      </c>
      <c r="EQ118" s="3">
        <f t="shared" si="79"/>
        <v>0</v>
      </c>
      <c r="ER118" s="3">
        <f t="shared" si="79"/>
        <v>0</v>
      </c>
      <c r="ES118" s="3">
        <f t="shared" si="79"/>
        <v>0</v>
      </c>
      <c r="ET118" s="3">
        <f t="shared" si="79"/>
        <v>0</v>
      </c>
      <c r="EU118" s="3">
        <f t="shared" si="79"/>
        <v>0</v>
      </c>
      <c r="EV118" s="3">
        <f t="shared" si="79"/>
        <v>0</v>
      </c>
      <c r="EW118" s="3">
        <f t="shared" si="79"/>
        <v>0</v>
      </c>
      <c r="EX118" s="3">
        <f t="shared" si="79"/>
        <v>0</v>
      </c>
      <c r="EY118" s="3">
        <f t="shared" si="79"/>
        <v>0</v>
      </c>
      <c r="EZ118" s="3">
        <f t="shared" si="79"/>
        <v>0</v>
      </c>
      <c r="FA118" s="3">
        <f t="shared" si="79"/>
        <v>0</v>
      </c>
      <c r="FB118" s="3">
        <f t="shared" si="79"/>
        <v>0</v>
      </c>
      <c r="FC118" s="3">
        <f t="shared" si="79"/>
        <v>0</v>
      </c>
      <c r="FD118" s="3">
        <f t="shared" si="79"/>
        <v>0</v>
      </c>
      <c r="FE118" s="3">
        <f t="shared" si="79"/>
        <v>0</v>
      </c>
      <c r="FF118" s="3">
        <f t="shared" si="79"/>
        <v>0</v>
      </c>
      <c r="FG118" s="3">
        <f t="shared" si="79"/>
        <v>0</v>
      </c>
      <c r="FH118" s="3">
        <f t="shared" si="79"/>
        <v>0</v>
      </c>
      <c r="FI118" s="3">
        <f t="shared" si="79"/>
        <v>0</v>
      </c>
      <c r="FJ118" s="3">
        <f t="shared" si="79"/>
        <v>0</v>
      </c>
      <c r="FK118" s="3">
        <f t="shared" si="79"/>
        <v>0</v>
      </c>
      <c r="FL118" s="3">
        <f t="shared" si="79"/>
        <v>0</v>
      </c>
      <c r="FM118" s="3">
        <f t="shared" si="79"/>
        <v>0</v>
      </c>
      <c r="FN118" s="3">
        <f t="shared" si="79"/>
        <v>0</v>
      </c>
      <c r="FO118" s="3">
        <f t="shared" si="79"/>
        <v>0</v>
      </c>
      <c r="FP118" s="3">
        <f t="shared" si="79"/>
        <v>0</v>
      </c>
      <c r="FQ118" s="3">
        <f t="shared" si="79"/>
        <v>0</v>
      </c>
      <c r="FR118" s="3">
        <f t="shared" si="79"/>
        <v>0</v>
      </c>
      <c r="FS118" s="3">
        <f t="shared" ref="FS118:GX118" si="80">FS178</f>
        <v>0</v>
      </c>
      <c r="FT118" s="3">
        <f t="shared" si="80"/>
        <v>0</v>
      </c>
      <c r="FU118" s="3">
        <f t="shared" si="80"/>
        <v>0</v>
      </c>
      <c r="FV118" s="3">
        <f t="shared" si="80"/>
        <v>0</v>
      </c>
      <c r="FW118" s="3">
        <f t="shared" si="80"/>
        <v>0</v>
      </c>
      <c r="FX118" s="3">
        <f t="shared" si="80"/>
        <v>0</v>
      </c>
      <c r="FY118" s="3">
        <f t="shared" si="80"/>
        <v>0</v>
      </c>
      <c r="FZ118" s="3">
        <f t="shared" si="80"/>
        <v>0</v>
      </c>
      <c r="GA118" s="3">
        <f t="shared" si="80"/>
        <v>0</v>
      </c>
      <c r="GB118" s="3">
        <f t="shared" si="80"/>
        <v>0</v>
      </c>
      <c r="GC118" s="3">
        <f t="shared" si="80"/>
        <v>0</v>
      </c>
      <c r="GD118" s="3">
        <f t="shared" si="80"/>
        <v>0</v>
      </c>
      <c r="GE118" s="3">
        <f t="shared" si="80"/>
        <v>0</v>
      </c>
      <c r="GF118" s="3">
        <f t="shared" si="80"/>
        <v>0</v>
      </c>
      <c r="GG118" s="3">
        <f t="shared" si="80"/>
        <v>0</v>
      </c>
      <c r="GH118" s="3">
        <f t="shared" si="80"/>
        <v>0</v>
      </c>
      <c r="GI118" s="3">
        <f t="shared" si="80"/>
        <v>0</v>
      </c>
      <c r="GJ118" s="3">
        <f t="shared" si="80"/>
        <v>0</v>
      </c>
      <c r="GK118" s="3">
        <f t="shared" si="80"/>
        <v>0</v>
      </c>
      <c r="GL118" s="3">
        <f t="shared" si="80"/>
        <v>0</v>
      </c>
      <c r="GM118" s="3">
        <f t="shared" si="80"/>
        <v>0</v>
      </c>
      <c r="GN118" s="3">
        <f t="shared" si="80"/>
        <v>0</v>
      </c>
      <c r="GO118" s="3">
        <f t="shared" si="80"/>
        <v>0</v>
      </c>
      <c r="GP118" s="3">
        <f t="shared" si="80"/>
        <v>0</v>
      </c>
      <c r="GQ118" s="3">
        <f t="shared" si="80"/>
        <v>0</v>
      </c>
      <c r="GR118" s="3">
        <f t="shared" si="80"/>
        <v>0</v>
      </c>
      <c r="GS118" s="3">
        <f t="shared" si="80"/>
        <v>0</v>
      </c>
      <c r="GT118" s="3">
        <f t="shared" si="80"/>
        <v>0</v>
      </c>
      <c r="GU118" s="3">
        <f t="shared" si="80"/>
        <v>0</v>
      </c>
      <c r="GV118" s="3">
        <f t="shared" si="80"/>
        <v>0</v>
      </c>
      <c r="GW118" s="3">
        <f t="shared" si="80"/>
        <v>0</v>
      </c>
      <c r="GX118" s="3">
        <f t="shared" si="80"/>
        <v>0</v>
      </c>
    </row>
    <row r="120" spans="1:245" x14ac:dyDescent="0.2">
      <c r="A120" s="1">
        <v>5</v>
      </c>
      <c r="B120" s="1">
        <v>1</v>
      </c>
      <c r="C120" s="1"/>
      <c r="D120" s="1">
        <f>ROW(A148)</f>
        <v>148</v>
      </c>
      <c r="E120" s="1"/>
      <c r="F120" s="1" t="s">
        <v>14</v>
      </c>
      <c r="G120" s="1" t="s">
        <v>152</v>
      </c>
      <c r="H120" s="1" t="s">
        <v>3</v>
      </c>
      <c r="I120" s="1">
        <v>0</v>
      </c>
      <c r="J120" s="1"/>
      <c r="K120" s="1">
        <v>-1</v>
      </c>
      <c r="L120" s="1"/>
      <c r="M120" s="1" t="s">
        <v>3</v>
      </c>
      <c r="N120" s="1"/>
      <c r="O120" s="1"/>
      <c r="P120" s="1"/>
      <c r="Q120" s="1"/>
      <c r="R120" s="1"/>
      <c r="S120" s="1">
        <v>0</v>
      </c>
      <c r="T120" s="1"/>
      <c r="U120" s="1" t="s">
        <v>3</v>
      </c>
      <c r="V120" s="1">
        <v>0</v>
      </c>
      <c r="W120" s="1"/>
      <c r="X120" s="1"/>
      <c r="Y120" s="1"/>
      <c r="Z120" s="1"/>
      <c r="AA120" s="1"/>
      <c r="AB120" s="1" t="s">
        <v>3</v>
      </c>
      <c r="AC120" s="1" t="s">
        <v>3</v>
      </c>
      <c r="AD120" s="1" t="s">
        <v>3</v>
      </c>
      <c r="AE120" s="1" t="s">
        <v>3</v>
      </c>
      <c r="AF120" s="1" t="s">
        <v>3</v>
      </c>
      <c r="AG120" s="1" t="s">
        <v>3</v>
      </c>
      <c r="AH120" s="1"/>
      <c r="AI120" s="1"/>
      <c r="AJ120" s="1"/>
      <c r="AK120" s="1"/>
      <c r="AL120" s="1"/>
      <c r="AM120" s="1"/>
      <c r="AN120" s="1"/>
      <c r="AO120" s="1"/>
      <c r="AP120" s="1" t="s">
        <v>3</v>
      </c>
      <c r="AQ120" s="1" t="s">
        <v>3</v>
      </c>
      <c r="AR120" s="1" t="s">
        <v>3</v>
      </c>
      <c r="AS120" s="1"/>
      <c r="AT120" s="1"/>
      <c r="AU120" s="1"/>
      <c r="AV120" s="1"/>
      <c r="AW120" s="1"/>
      <c r="AX120" s="1"/>
      <c r="AY120" s="1"/>
      <c r="AZ120" s="1" t="s">
        <v>3</v>
      </c>
      <c r="BA120" s="1"/>
      <c r="BB120" s="1" t="s">
        <v>3</v>
      </c>
      <c r="BC120" s="1" t="s">
        <v>3</v>
      </c>
      <c r="BD120" s="1" t="s">
        <v>3</v>
      </c>
      <c r="BE120" s="1" t="s">
        <v>3</v>
      </c>
      <c r="BF120" s="1" t="s">
        <v>3</v>
      </c>
      <c r="BG120" s="1" t="s">
        <v>3</v>
      </c>
      <c r="BH120" s="1" t="s">
        <v>3</v>
      </c>
      <c r="BI120" s="1" t="s">
        <v>3</v>
      </c>
      <c r="BJ120" s="1" t="s">
        <v>3</v>
      </c>
      <c r="BK120" s="1" t="s">
        <v>3</v>
      </c>
      <c r="BL120" s="1" t="s">
        <v>3</v>
      </c>
      <c r="BM120" s="1" t="s">
        <v>3</v>
      </c>
      <c r="BN120" s="1" t="s">
        <v>3</v>
      </c>
      <c r="BO120" s="1" t="s">
        <v>3</v>
      </c>
      <c r="BP120" s="1" t="s">
        <v>3</v>
      </c>
      <c r="BQ120" s="1"/>
      <c r="BR120" s="1"/>
      <c r="BS120" s="1"/>
      <c r="BT120" s="1"/>
      <c r="BU120" s="1"/>
      <c r="BV120" s="1"/>
      <c r="BW120" s="1"/>
      <c r="BX120" s="1">
        <v>0</v>
      </c>
      <c r="BY120" s="1"/>
      <c r="BZ120" s="1"/>
      <c r="CA120" s="1"/>
      <c r="CB120" s="1"/>
      <c r="CC120" s="1"/>
      <c r="CD120" s="1"/>
      <c r="CE120" s="1"/>
      <c r="CF120" s="1"/>
      <c r="CG120" s="1"/>
      <c r="CH120" s="1"/>
      <c r="CI120" s="1"/>
      <c r="CJ120" s="1">
        <v>0</v>
      </c>
    </row>
    <row r="122" spans="1:245" x14ac:dyDescent="0.2">
      <c r="A122" s="2">
        <v>52</v>
      </c>
      <c r="B122" s="2">
        <f t="shared" ref="B122:G122" si="81">B148</f>
        <v>1</v>
      </c>
      <c r="C122" s="2">
        <f t="shared" si="81"/>
        <v>5</v>
      </c>
      <c r="D122" s="2">
        <f t="shared" si="81"/>
        <v>120</v>
      </c>
      <c r="E122" s="2">
        <f t="shared" si="81"/>
        <v>0</v>
      </c>
      <c r="F122" s="2" t="str">
        <f t="shared" si="81"/>
        <v>Новый подраздел</v>
      </c>
      <c r="G122" s="2" t="str">
        <f t="shared" si="81"/>
        <v>ХВС</v>
      </c>
      <c r="H122" s="2"/>
      <c r="I122" s="2"/>
      <c r="J122" s="2"/>
      <c r="K122" s="2"/>
      <c r="L122" s="2"/>
      <c r="M122" s="2"/>
      <c r="N122" s="2"/>
      <c r="O122" s="2">
        <f t="shared" ref="O122:AT122" si="82">O148</f>
        <v>340854.56</v>
      </c>
      <c r="P122" s="2">
        <f t="shared" si="82"/>
        <v>215269.12</v>
      </c>
      <c r="Q122" s="2">
        <f t="shared" si="82"/>
        <v>682.44</v>
      </c>
      <c r="R122" s="2">
        <f t="shared" si="82"/>
        <v>19.47</v>
      </c>
      <c r="S122" s="2">
        <f t="shared" si="82"/>
        <v>124903</v>
      </c>
      <c r="T122" s="2">
        <f t="shared" si="82"/>
        <v>0</v>
      </c>
      <c r="U122" s="2">
        <f t="shared" si="82"/>
        <v>296.70629999999994</v>
      </c>
      <c r="V122" s="2">
        <f t="shared" si="82"/>
        <v>0</v>
      </c>
      <c r="W122" s="2">
        <f t="shared" si="82"/>
        <v>0</v>
      </c>
      <c r="X122" s="2">
        <f t="shared" si="82"/>
        <v>87432.1</v>
      </c>
      <c r="Y122" s="2">
        <f t="shared" si="82"/>
        <v>12490.3</v>
      </c>
      <c r="Z122" s="2">
        <f t="shared" si="82"/>
        <v>0</v>
      </c>
      <c r="AA122" s="2">
        <f t="shared" si="82"/>
        <v>0</v>
      </c>
      <c r="AB122" s="2">
        <f t="shared" si="82"/>
        <v>340854.56</v>
      </c>
      <c r="AC122" s="2">
        <f t="shared" si="82"/>
        <v>215269.12</v>
      </c>
      <c r="AD122" s="2">
        <f t="shared" si="82"/>
        <v>682.44</v>
      </c>
      <c r="AE122" s="2">
        <f t="shared" si="82"/>
        <v>19.47</v>
      </c>
      <c r="AF122" s="2">
        <f t="shared" si="82"/>
        <v>124903</v>
      </c>
      <c r="AG122" s="2">
        <f t="shared" si="82"/>
        <v>0</v>
      </c>
      <c r="AH122" s="2">
        <f t="shared" si="82"/>
        <v>296.70629999999994</v>
      </c>
      <c r="AI122" s="2">
        <f t="shared" si="82"/>
        <v>0</v>
      </c>
      <c r="AJ122" s="2">
        <f t="shared" si="82"/>
        <v>0</v>
      </c>
      <c r="AK122" s="2">
        <f t="shared" si="82"/>
        <v>87432.1</v>
      </c>
      <c r="AL122" s="2">
        <f t="shared" si="82"/>
        <v>12490.3</v>
      </c>
      <c r="AM122" s="2">
        <f t="shared" si="82"/>
        <v>0</v>
      </c>
      <c r="AN122" s="2">
        <f t="shared" si="82"/>
        <v>0</v>
      </c>
      <c r="AO122" s="2">
        <f t="shared" si="82"/>
        <v>0</v>
      </c>
      <c r="AP122" s="2">
        <f t="shared" si="82"/>
        <v>0</v>
      </c>
      <c r="AQ122" s="2">
        <f t="shared" si="82"/>
        <v>0</v>
      </c>
      <c r="AR122" s="2">
        <f t="shared" si="82"/>
        <v>440808.11</v>
      </c>
      <c r="AS122" s="2">
        <f t="shared" si="82"/>
        <v>0</v>
      </c>
      <c r="AT122" s="2">
        <f t="shared" si="82"/>
        <v>0</v>
      </c>
      <c r="AU122" s="2">
        <f t="shared" ref="AU122:BZ122" si="83">AU148</f>
        <v>440808.11</v>
      </c>
      <c r="AV122" s="2">
        <f t="shared" si="83"/>
        <v>215269.12</v>
      </c>
      <c r="AW122" s="2">
        <f t="shared" si="83"/>
        <v>215269.12</v>
      </c>
      <c r="AX122" s="2">
        <f t="shared" si="83"/>
        <v>0</v>
      </c>
      <c r="AY122" s="2">
        <f t="shared" si="83"/>
        <v>215269.12</v>
      </c>
      <c r="AZ122" s="2">
        <f t="shared" si="83"/>
        <v>0</v>
      </c>
      <c r="BA122" s="2">
        <f t="shared" si="83"/>
        <v>0</v>
      </c>
      <c r="BB122" s="2">
        <f t="shared" si="83"/>
        <v>0</v>
      </c>
      <c r="BC122" s="2">
        <f t="shared" si="83"/>
        <v>0</v>
      </c>
      <c r="BD122" s="2">
        <f t="shared" si="83"/>
        <v>0</v>
      </c>
      <c r="BE122" s="2">
        <f t="shared" si="83"/>
        <v>0</v>
      </c>
      <c r="BF122" s="2">
        <f t="shared" si="83"/>
        <v>0</v>
      </c>
      <c r="BG122" s="2">
        <f t="shared" si="83"/>
        <v>0</v>
      </c>
      <c r="BH122" s="2">
        <f t="shared" si="83"/>
        <v>0</v>
      </c>
      <c r="BI122" s="2">
        <f t="shared" si="83"/>
        <v>0</v>
      </c>
      <c r="BJ122" s="2">
        <f t="shared" si="83"/>
        <v>0</v>
      </c>
      <c r="BK122" s="2">
        <f t="shared" si="83"/>
        <v>0</v>
      </c>
      <c r="BL122" s="2">
        <f t="shared" si="83"/>
        <v>0</v>
      </c>
      <c r="BM122" s="2">
        <f t="shared" si="83"/>
        <v>0</v>
      </c>
      <c r="BN122" s="2">
        <f t="shared" si="83"/>
        <v>0</v>
      </c>
      <c r="BO122" s="2">
        <f t="shared" si="83"/>
        <v>0</v>
      </c>
      <c r="BP122" s="2">
        <f t="shared" si="83"/>
        <v>0</v>
      </c>
      <c r="BQ122" s="2">
        <f t="shared" si="83"/>
        <v>0</v>
      </c>
      <c r="BR122" s="2">
        <f t="shared" si="83"/>
        <v>0</v>
      </c>
      <c r="BS122" s="2">
        <f t="shared" si="83"/>
        <v>0</v>
      </c>
      <c r="BT122" s="2">
        <f t="shared" si="83"/>
        <v>0</v>
      </c>
      <c r="BU122" s="2">
        <f t="shared" si="83"/>
        <v>0</v>
      </c>
      <c r="BV122" s="2">
        <f t="shared" si="83"/>
        <v>0</v>
      </c>
      <c r="BW122" s="2">
        <f t="shared" si="83"/>
        <v>0</v>
      </c>
      <c r="BX122" s="2">
        <f t="shared" si="83"/>
        <v>0</v>
      </c>
      <c r="BY122" s="2">
        <f t="shared" si="83"/>
        <v>0</v>
      </c>
      <c r="BZ122" s="2">
        <f t="shared" si="83"/>
        <v>0</v>
      </c>
      <c r="CA122" s="2">
        <f t="shared" ref="CA122:DF122" si="84">CA148</f>
        <v>440808.11</v>
      </c>
      <c r="CB122" s="2">
        <f t="shared" si="84"/>
        <v>0</v>
      </c>
      <c r="CC122" s="2">
        <f t="shared" si="84"/>
        <v>0</v>
      </c>
      <c r="CD122" s="2">
        <f t="shared" si="84"/>
        <v>440808.11</v>
      </c>
      <c r="CE122" s="2">
        <f t="shared" si="84"/>
        <v>215269.12</v>
      </c>
      <c r="CF122" s="2">
        <f t="shared" si="84"/>
        <v>215269.12</v>
      </c>
      <c r="CG122" s="2">
        <f t="shared" si="84"/>
        <v>0</v>
      </c>
      <c r="CH122" s="2">
        <f t="shared" si="84"/>
        <v>215269.12</v>
      </c>
      <c r="CI122" s="2">
        <f t="shared" si="84"/>
        <v>0</v>
      </c>
      <c r="CJ122" s="2">
        <f t="shared" si="84"/>
        <v>0</v>
      </c>
      <c r="CK122" s="2">
        <f t="shared" si="84"/>
        <v>0</v>
      </c>
      <c r="CL122" s="2">
        <f t="shared" si="84"/>
        <v>0</v>
      </c>
      <c r="CM122" s="2">
        <f t="shared" si="84"/>
        <v>0</v>
      </c>
      <c r="CN122" s="2">
        <f t="shared" si="84"/>
        <v>0</v>
      </c>
      <c r="CO122" s="2">
        <f t="shared" si="84"/>
        <v>0</v>
      </c>
      <c r="CP122" s="2">
        <f t="shared" si="84"/>
        <v>0</v>
      </c>
      <c r="CQ122" s="2">
        <f t="shared" si="84"/>
        <v>0</v>
      </c>
      <c r="CR122" s="2">
        <f t="shared" si="84"/>
        <v>0</v>
      </c>
      <c r="CS122" s="2">
        <f t="shared" si="84"/>
        <v>0</v>
      </c>
      <c r="CT122" s="2">
        <f t="shared" si="84"/>
        <v>0</v>
      </c>
      <c r="CU122" s="2">
        <f t="shared" si="84"/>
        <v>0</v>
      </c>
      <c r="CV122" s="2">
        <f t="shared" si="84"/>
        <v>0</v>
      </c>
      <c r="CW122" s="2">
        <f t="shared" si="84"/>
        <v>0</v>
      </c>
      <c r="CX122" s="2">
        <f t="shared" si="84"/>
        <v>0</v>
      </c>
      <c r="CY122" s="2">
        <f t="shared" si="84"/>
        <v>0</v>
      </c>
      <c r="CZ122" s="2">
        <f t="shared" si="84"/>
        <v>0</v>
      </c>
      <c r="DA122" s="2">
        <f t="shared" si="84"/>
        <v>0</v>
      </c>
      <c r="DB122" s="2">
        <f t="shared" si="84"/>
        <v>0</v>
      </c>
      <c r="DC122" s="2">
        <f t="shared" si="84"/>
        <v>0</v>
      </c>
      <c r="DD122" s="2">
        <f t="shared" si="84"/>
        <v>0</v>
      </c>
      <c r="DE122" s="2">
        <f t="shared" si="84"/>
        <v>0</v>
      </c>
      <c r="DF122" s="2">
        <f t="shared" si="84"/>
        <v>0</v>
      </c>
      <c r="DG122" s="3">
        <f t="shared" ref="DG122:EL122" si="85">DG148</f>
        <v>0</v>
      </c>
      <c r="DH122" s="3">
        <f t="shared" si="85"/>
        <v>0</v>
      </c>
      <c r="DI122" s="3">
        <f t="shared" si="85"/>
        <v>0</v>
      </c>
      <c r="DJ122" s="3">
        <f t="shared" si="85"/>
        <v>0</v>
      </c>
      <c r="DK122" s="3">
        <f t="shared" si="85"/>
        <v>0</v>
      </c>
      <c r="DL122" s="3">
        <f t="shared" si="85"/>
        <v>0</v>
      </c>
      <c r="DM122" s="3">
        <f t="shared" si="85"/>
        <v>0</v>
      </c>
      <c r="DN122" s="3">
        <f t="shared" si="85"/>
        <v>0</v>
      </c>
      <c r="DO122" s="3">
        <f t="shared" si="85"/>
        <v>0</v>
      </c>
      <c r="DP122" s="3">
        <f t="shared" si="85"/>
        <v>0</v>
      </c>
      <c r="DQ122" s="3">
        <f t="shared" si="85"/>
        <v>0</v>
      </c>
      <c r="DR122" s="3">
        <f t="shared" si="85"/>
        <v>0</v>
      </c>
      <c r="DS122" s="3">
        <f t="shared" si="85"/>
        <v>0</v>
      </c>
      <c r="DT122" s="3">
        <f t="shared" si="85"/>
        <v>0</v>
      </c>
      <c r="DU122" s="3">
        <f t="shared" si="85"/>
        <v>0</v>
      </c>
      <c r="DV122" s="3">
        <f t="shared" si="85"/>
        <v>0</v>
      </c>
      <c r="DW122" s="3">
        <f t="shared" si="85"/>
        <v>0</v>
      </c>
      <c r="DX122" s="3">
        <f t="shared" si="85"/>
        <v>0</v>
      </c>
      <c r="DY122" s="3">
        <f t="shared" si="85"/>
        <v>0</v>
      </c>
      <c r="DZ122" s="3">
        <f t="shared" si="85"/>
        <v>0</v>
      </c>
      <c r="EA122" s="3">
        <f t="shared" si="85"/>
        <v>0</v>
      </c>
      <c r="EB122" s="3">
        <f t="shared" si="85"/>
        <v>0</v>
      </c>
      <c r="EC122" s="3">
        <f t="shared" si="85"/>
        <v>0</v>
      </c>
      <c r="ED122" s="3">
        <f t="shared" si="85"/>
        <v>0</v>
      </c>
      <c r="EE122" s="3">
        <f t="shared" si="85"/>
        <v>0</v>
      </c>
      <c r="EF122" s="3">
        <f t="shared" si="85"/>
        <v>0</v>
      </c>
      <c r="EG122" s="3">
        <f t="shared" si="85"/>
        <v>0</v>
      </c>
      <c r="EH122" s="3">
        <f t="shared" si="85"/>
        <v>0</v>
      </c>
      <c r="EI122" s="3">
        <f t="shared" si="85"/>
        <v>0</v>
      </c>
      <c r="EJ122" s="3">
        <f t="shared" si="85"/>
        <v>0</v>
      </c>
      <c r="EK122" s="3">
        <f t="shared" si="85"/>
        <v>0</v>
      </c>
      <c r="EL122" s="3">
        <f t="shared" si="85"/>
        <v>0</v>
      </c>
      <c r="EM122" s="3">
        <f t="shared" ref="EM122:FR122" si="86">EM148</f>
        <v>0</v>
      </c>
      <c r="EN122" s="3">
        <f t="shared" si="86"/>
        <v>0</v>
      </c>
      <c r="EO122" s="3">
        <f t="shared" si="86"/>
        <v>0</v>
      </c>
      <c r="EP122" s="3">
        <f t="shared" si="86"/>
        <v>0</v>
      </c>
      <c r="EQ122" s="3">
        <f t="shared" si="86"/>
        <v>0</v>
      </c>
      <c r="ER122" s="3">
        <f t="shared" si="86"/>
        <v>0</v>
      </c>
      <c r="ES122" s="3">
        <f t="shared" si="86"/>
        <v>0</v>
      </c>
      <c r="ET122" s="3">
        <f t="shared" si="86"/>
        <v>0</v>
      </c>
      <c r="EU122" s="3">
        <f t="shared" si="86"/>
        <v>0</v>
      </c>
      <c r="EV122" s="3">
        <f t="shared" si="86"/>
        <v>0</v>
      </c>
      <c r="EW122" s="3">
        <f t="shared" si="86"/>
        <v>0</v>
      </c>
      <c r="EX122" s="3">
        <f t="shared" si="86"/>
        <v>0</v>
      </c>
      <c r="EY122" s="3">
        <f t="shared" si="86"/>
        <v>0</v>
      </c>
      <c r="EZ122" s="3">
        <f t="shared" si="86"/>
        <v>0</v>
      </c>
      <c r="FA122" s="3">
        <f t="shared" si="86"/>
        <v>0</v>
      </c>
      <c r="FB122" s="3">
        <f t="shared" si="86"/>
        <v>0</v>
      </c>
      <c r="FC122" s="3">
        <f t="shared" si="86"/>
        <v>0</v>
      </c>
      <c r="FD122" s="3">
        <f t="shared" si="86"/>
        <v>0</v>
      </c>
      <c r="FE122" s="3">
        <f t="shared" si="86"/>
        <v>0</v>
      </c>
      <c r="FF122" s="3">
        <f t="shared" si="86"/>
        <v>0</v>
      </c>
      <c r="FG122" s="3">
        <f t="shared" si="86"/>
        <v>0</v>
      </c>
      <c r="FH122" s="3">
        <f t="shared" si="86"/>
        <v>0</v>
      </c>
      <c r="FI122" s="3">
        <f t="shared" si="86"/>
        <v>0</v>
      </c>
      <c r="FJ122" s="3">
        <f t="shared" si="86"/>
        <v>0</v>
      </c>
      <c r="FK122" s="3">
        <f t="shared" si="86"/>
        <v>0</v>
      </c>
      <c r="FL122" s="3">
        <f t="shared" si="86"/>
        <v>0</v>
      </c>
      <c r="FM122" s="3">
        <f t="shared" si="86"/>
        <v>0</v>
      </c>
      <c r="FN122" s="3">
        <f t="shared" si="86"/>
        <v>0</v>
      </c>
      <c r="FO122" s="3">
        <f t="shared" si="86"/>
        <v>0</v>
      </c>
      <c r="FP122" s="3">
        <f t="shared" si="86"/>
        <v>0</v>
      </c>
      <c r="FQ122" s="3">
        <f t="shared" si="86"/>
        <v>0</v>
      </c>
      <c r="FR122" s="3">
        <f t="shared" si="86"/>
        <v>0</v>
      </c>
      <c r="FS122" s="3">
        <f t="shared" ref="FS122:GX122" si="87">FS148</f>
        <v>0</v>
      </c>
      <c r="FT122" s="3">
        <f t="shared" si="87"/>
        <v>0</v>
      </c>
      <c r="FU122" s="3">
        <f t="shared" si="87"/>
        <v>0</v>
      </c>
      <c r="FV122" s="3">
        <f t="shared" si="87"/>
        <v>0</v>
      </c>
      <c r="FW122" s="3">
        <f t="shared" si="87"/>
        <v>0</v>
      </c>
      <c r="FX122" s="3">
        <f t="shared" si="87"/>
        <v>0</v>
      </c>
      <c r="FY122" s="3">
        <f t="shared" si="87"/>
        <v>0</v>
      </c>
      <c r="FZ122" s="3">
        <f t="shared" si="87"/>
        <v>0</v>
      </c>
      <c r="GA122" s="3">
        <f t="shared" si="87"/>
        <v>0</v>
      </c>
      <c r="GB122" s="3">
        <f t="shared" si="87"/>
        <v>0</v>
      </c>
      <c r="GC122" s="3">
        <f t="shared" si="87"/>
        <v>0</v>
      </c>
      <c r="GD122" s="3">
        <f t="shared" si="87"/>
        <v>0</v>
      </c>
      <c r="GE122" s="3">
        <f t="shared" si="87"/>
        <v>0</v>
      </c>
      <c r="GF122" s="3">
        <f t="shared" si="87"/>
        <v>0</v>
      </c>
      <c r="GG122" s="3">
        <f t="shared" si="87"/>
        <v>0</v>
      </c>
      <c r="GH122" s="3">
        <f t="shared" si="87"/>
        <v>0</v>
      </c>
      <c r="GI122" s="3">
        <f t="shared" si="87"/>
        <v>0</v>
      </c>
      <c r="GJ122" s="3">
        <f t="shared" si="87"/>
        <v>0</v>
      </c>
      <c r="GK122" s="3">
        <f t="shared" si="87"/>
        <v>0</v>
      </c>
      <c r="GL122" s="3">
        <f t="shared" si="87"/>
        <v>0</v>
      </c>
      <c r="GM122" s="3">
        <f t="shared" si="87"/>
        <v>0</v>
      </c>
      <c r="GN122" s="3">
        <f t="shared" si="87"/>
        <v>0</v>
      </c>
      <c r="GO122" s="3">
        <f t="shared" si="87"/>
        <v>0</v>
      </c>
      <c r="GP122" s="3">
        <f t="shared" si="87"/>
        <v>0</v>
      </c>
      <c r="GQ122" s="3">
        <f t="shared" si="87"/>
        <v>0</v>
      </c>
      <c r="GR122" s="3">
        <f t="shared" si="87"/>
        <v>0</v>
      </c>
      <c r="GS122" s="3">
        <f t="shared" si="87"/>
        <v>0</v>
      </c>
      <c r="GT122" s="3">
        <f t="shared" si="87"/>
        <v>0</v>
      </c>
      <c r="GU122" s="3">
        <f t="shared" si="87"/>
        <v>0</v>
      </c>
      <c r="GV122" s="3">
        <f t="shared" si="87"/>
        <v>0</v>
      </c>
      <c r="GW122" s="3">
        <f t="shared" si="87"/>
        <v>0</v>
      </c>
      <c r="GX122" s="3">
        <f t="shared" si="87"/>
        <v>0</v>
      </c>
    </row>
    <row r="124" spans="1:245" x14ac:dyDescent="0.2">
      <c r="A124">
        <v>17</v>
      </c>
      <c r="B124">
        <v>1</v>
      </c>
      <c r="C124">
        <f>ROW(SmtRes!A63)</f>
        <v>63</v>
      </c>
      <c r="D124">
        <f>ROW(EtalonRes!A57)</f>
        <v>57</v>
      </c>
      <c r="E124" t="s">
        <v>153</v>
      </c>
      <c r="F124" t="s">
        <v>154</v>
      </c>
      <c r="G124" t="s">
        <v>155</v>
      </c>
      <c r="H124" t="s">
        <v>19</v>
      </c>
      <c r="I124">
        <f>ROUND(63/100,9)</f>
        <v>0.63</v>
      </c>
      <c r="J124">
        <v>0</v>
      </c>
      <c r="K124">
        <f>ROUND(63/100,9)</f>
        <v>0.63</v>
      </c>
      <c r="O124">
        <f t="shared" ref="O124:O146" si="88">ROUND(CP124,2)</f>
        <v>13236.71</v>
      </c>
      <c r="P124">
        <f t="shared" ref="P124:P146" si="89">ROUND(CQ124*I124,2)</f>
        <v>0</v>
      </c>
      <c r="Q124">
        <f t="shared" ref="Q124:Q146" si="90">ROUND(CR124*I124,2)</f>
        <v>74.09</v>
      </c>
      <c r="R124">
        <f t="shared" ref="R124:R146" si="91">ROUND(CS124*I124,2)</f>
        <v>5.42</v>
      </c>
      <c r="S124">
        <f t="shared" ref="S124:S146" si="92">ROUND(CT124*I124,2)</f>
        <v>13162.62</v>
      </c>
      <c r="T124">
        <f t="shared" ref="T124:T146" si="93">ROUND(CU124*I124,2)</f>
        <v>0</v>
      </c>
      <c r="U124">
        <f t="shared" ref="U124:U146" si="94">CV124*I124</f>
        <v>38.001600000000003</v>
      </c>
      <c r="V124">
        <f t="shared" ref="V124:V146" si="95">CW124*I124</f>
        <v>0</v>
      </c>
      <c r="W124">
        <f t="shared" ref="W124:W146" si="96">ROUND(CX124*I124,2)</f>
        <v>0</v>
      </c>
      <c r="X124">
        <f t="shared" ref="X124:X146" si="97">ROUND(CY124,2)</f>
        <v>9213.83</v>
      </c>
      <c r="Y124">
        <f t="shared" ref="Y124:Y146" si="98">ROUND(CZ124,2)</f>
        <v>1316.26</v>
      </c>
      <c r="AA124">
        <v>78131199</v>
      </c>
      <c r="AB124">
        <f t="shared" ref="AB124:AB146" si="99">ROUND((AC124+AD124+AF124),6)</f>
        <v>21010.65</v>
      </c>
      <c r="AC124">
        <f t="shared" ref="AC124:AC146" si="100">ROUND((ES124),6)</f>
        <v>0</v>
      </c>
      <c r="AD124">
        <f t="shared" ref="AD124:AD146" si="101">ROUND((((ET124)-(EU124))+AE124),6)</f>
        <v>117.61</v>
      </c>
      <c r="AE124">
        <f t="shared" ref="AE124:AE146" si="102">ROUND((EU124),6)</f>
        <v>8.6</v>
      </c>
      <c r="AF124">
        <f t="shared" ref="AF124:AF146" si="103">ROUND((EV124),6)</f>
        <v>20893.04</v>
      </c>
      <c r="AG124">
        <f t="shared" ref="AG124:AG146" si="104">ROUND((AP124),6)</f>
        <v>0</v>
      </c>
      <c r="AH124">
        <f t="shared" ref="AH124:AH146" si="105">(EW124)</f>
        <v>60.32</v>
      </c>
      <c r="AI124">
        <f t="shared" ref="AI124:AI146" si="106">(EX124)</f>
        <v>0</v>
      </c>
      <c r="AJ124">
        <f t="shared" ref="AJ124:AJ146" si="107">(AS124)</f>
        <v>0</v>
      </c>
      <c r="AK124">
        <v>21010.65</v>
      </c>
      <c r="AL124">
        <v>0</v>
      </c>
      <c r="AM124">
        <v>117.61</v>
      </c>
      <c r="AN124">
        <v>8.6</v>
      </c>
      <c r="AO124">
        <v>20893.04</v>
      </c>
      <c r="AP124">
        <v>0</v>
      </c>
      <c r="AQ124">
        <v>60.32</v>
      </c>
      <c r="AR124">
        <v>0</v>
      </c>
      <c r="AS124">
        <v>0</v>
      </c>
      <c r="AT124">
        <v>70</v>
      </c>
      <c r="AU124">
        <v>10</v>
      </c>
      <c r="AV124">
        <v>1</v>
      </c>
      <c r="AW124">
        <v>1</v>
      </c>
      <c r="AZ124">
        <v>1</v>
      </c>
      <c r="BA124">
        <v>1</v>
      </c>
      <c r="BB124">
        <v>1</v>
      </c>
      <c r="BC124">
        <v>1</v>
      </c>
      <c r="BD124" t="s">
        <v>3</v>
      </c>
      <c r="BE124" t="s">
        <v>3</v>
      </c>
      <c r="BF124" t="s">
        <v>3</v>
      </c>
      <c r="BG124" t="s">
        <v>3</v>
      </c>
      <c r="BH124">
        <v>0</v>
      </c>
      <c r="BI124">
        <v>4</v>
      </c>
      <c r="BJ124" t="s">
        <v>156</v>
      </c>
      <c r="BM124">
        <v>0</v>
      </c>
      <c r="BN124">
        <v>77790596</v>
      </c>
      <c r="BO124" t="s">
        <v>3</v>
      </c>
      <c r="BP124">
        <v>0</v>
      </c>
      <c r="BQ124">
        <v>1</v>
      </c>
      <c r="BR124">
        <v>0</v>
      </c>
      <c r="BS124">
        <v>1</v>
      </c>
      <c r="BT124">
        <v>1</v>
      </c>
      <c r="BU124">
        <v>1</v>
      </c>
      <c r="BV124">
        <v>1</v>
      </c>
      <c r="BW124">
        <v>1</v>
      </c>
      <c r="BX124">
        <v>1</v>
      </c>
      <c r="BY124" t="s">
        <v>3</v>
      </c>
      <c r="BZ124">
        <v>70</v>
      </c>
      <c r="CA124">
        <v>10</v>
      </c>
      <c r="CB124" t="s">
        <v>3</v>
      </c>
      <c r="CE124">
        <v>0</v>
      </c>
      <c r="CF124">
        <v>0</v>
      </c>
      <c r="CG124">
        <v>0</v>
      </c>
      <c r="CM124">
        <v>0</v>
      </c>
      <c r="CN124" t="s">
        <v>3</v>
      </c>
      <c r="CO124">
        <v>0</v>
      </c>
      <c r="CP124">
        <f t="shared" ref="CP124:CP146" si="108">(P124+Q124+S124)</f>
        <v>13236.710000000001</v>
      </c>
      <c r="CQ124">
        <f t="shared" ref="CQ124:CQ146" si="109">(AC124*BC124*AW124)</f>
        <v>0</v>
      </c>
      <c r="CR124">
        <f t="shared" ref="CR124:CR146" si="110">((((ET124)*BB124-(EU124)*BS124)+AE124*BS124)*AV124)</f>
        <v>117.61</v>
      </c>
      <c r="CS124">
        <f t="shared" ref="CS124:CS146" si="111">(AE124*BS124*AV124)</f>
        <v>8.6</v>
      </c>
      <c r="CT124">
        <f t="shared" ref="CT124:CT146" si="112">(AF124*BA124*AV124)</f>
        <v>20893.04</v>
      </c>
      <c r="CU124">
        <f t="shared" ref="CU124:CU146" si="113">AG124</f>
        <v>0</v>
      </c>
      <c r="CV124">
        <f t="shared" ref="CV124:CV146" si="114">(AH124*AV124)</f>
        <v>60.32</v>
      </c>
      <c r="CW124">
        <f t="shared" ref="CW124:CW146" si="115">AI124</f>
        <v>0</v>
      </c>
      <c r="CX124">
        <f t="shared" ref="CX124:CX146" si="116">AJ124</f>
        <v>0</v>
      </c>
      <c r="CY124">
        <f t="shared" ref="CY124:CY146" si="117">((S124*BZ124)/100)</f>
        <v>9213.8340000000007</v>
      </c>
      <c r="CZ124">
        <f t="shared" ref="CZ124:CZ146" si="118">((S124*CA124)/100)</f>
        <v>1316.2620000000002</v>
      </c>
      <c r="DC124" t="s">
        <v>3</v>
      </c>
      <c r="DD124" t="s">
        <v>3</v>
      </c>
      <c r="DE124" t="s">
        <v>3</v>
      </c>
      <c r="DF124" t="s">
        <v>3</v>
      </c>
      <c r="DG124" t="s">
        <v>3</v>
      </c>
      <c r="DH124" t="s">
        <v>3</v>
      </c>
      <c r="DI124" t="s">
        <v>3</v>
      </c>
      <c r="DJ124" t="s">
        <v>3</v>
      </c>
      <c r="DK124" t="s">
        <v>3</v>
      </c>
      <c r="DL124" t="s">
        <v>3</v>
      </c>
      <c r="DM124" t="s">
        <v>3</v>
      </c>
      <c r="DN124">
        <v>0</v>
      </c>
      <c r="DO124">
        <v>0</v>
      </c>
      <c r="DP124">
        <v>1</v>
      </c>
      <c r="DQ124">
        <v>1</v>
      </c>
      <c r="DU124">
        <v>1003</v>
      </c>
      <c r="DV124" t="s">
        <v>19</v>
      </c>
      <c r="DW124" t="s">
        <v>19</v>
      </c>
      <c r="DX124">
        <v>100</v>
      </c>
      <c r="DZ124" t="s">
        <v>3</v>
      </c>
      <c r="EA124" t="s">
        <v>3</v>
      </c>
      <c r="EB124" t="s">
        <v>3</v>
      </c>
      <c r="EC124" t="s">
        <v>3</v>
      </c>
      <c r="EE124">
        <v>77790599</v>
      </c>
      <c r="EF124">
        <v>1</v>
      </c>
      <c r="EG124" t="s">
        <v>23</v>
      </c>
      <c r="EH124">
        <v>0</v>
      </c>
      <c r="EI124" t="s">
        <v>3</v>
      </c>
      <c r="EJ124">
        <v>4</v>
      </c>
      <c r="EK124">
        <v>0</v>
      </c>
      <c r="EL124" t="s">
        <v>24</v>
      </c>
      <c r="EM124" t="s">
        <v>25</v>
      </c>
      <c r="EO124" t="s">
        <v>3</v>
      </c>
      <c r="EQ124">
        <v>131072</v>
      </c>
      <c r="ER124">
        <v>21010.65</v>
      </c>
      <c r="ES124">
        <v>0</v>
      </c>
      <c r="ET124">
        <v>117.61</v>
      </c>
      <c r="EU124">
        <v>8.6</v>
      </c>
      <c r="EV124">
        <v>20893.04</v>
      </c>
      <c r="EW124">
        <v>60.32</v>
      </c>
      <c r="EX124">
        <v>0</v>
      </c>
      <c r="EY124">
        <v>0</v>
      </c>
      <c r="FQ124">
        <v>0</v>
      </c>
      <c r="FR124">
        <f t="shared" ref="FR124:FR146" si="119">ROUND(IF(BI124=3,GM124,0),2)</f>
        <v>0</v>
      </c>
      <c r="FS124">
        <v>0</v>
      </c>
      <c r="FX124">
        <v>70</v>
      </c>
      <c r="FY124">
        <v>10</v>
      </c>
      <c r="GA124" t="s">
        <v>3</v>
      </c>
      <c r="GD124">
        <v>0</v>
      </c>
      <c r="GF124">
        <v>698314663</v>
      </c>
      <c r="GG124">
        <v>2</v>
      </c>
      <c r="GH124">
        <v>1</v>
      </c>
      <c r="GI124">
        <v>-2</v>
      </c>
      <c r="GJ124">
        <v>0</v>
      </c>
      <c r="GK124">
        <f>ROUND(R124*(R12)/100,2)</f>
        <v>8.67</v>
      </c>
      <c r="GL124">
        <f t="shared" ref="GL124:GL146" si="120">ROUND(IF(AND(BH124=3,BI124=3,FS124&lt;&gt;0),P124,0),2)</f>
        <v>0</v>
      </c>
      <c r="GM124">
        <f t="shared" ref="GM124:GM146" si="121">ROUND(O124+X124+Y124+GK124,2)+GX124</f>
        <v>23775.47</v>
      </c>
      <c r="GN124">
        <f t="shared" ref="GN124:GN146" si="122">IF(OR(BI124=0,BI124=1),GM124-GX124,0)</f>
        <v>0</v>
      </c>
      <c r="GO124">
        <f t="shared" ref="GO124:GO146" si="123">IF(BI124=2,GM124-GX124,0)</f>
        <v>0</v>
      </c>
      <c r="GP124">
        <f t="shared" ref="GP124:GP146" si="124">IF(BI124=4,GM124-GX124,0)</f>
        <v>23775.47</v>
      </c>
      <c r="GR124">
        <v>0</v>
      </c>
      <c r="GS124">
        <v>3</v>
      </c>
      <c r="GT124">
        <v>0</v>
      </c>
      <c r="GU124" t="s">
        <v>3</v>
      </c>
      <c r="GV124">
        <f t="shared" ref="GV124:GV146" si="125">ROUND((GT124),6)</f>
        <v>0</v>
      </c>
      <c r="GW124">
        <v>1</v>
      </c>
      <c r="GX124">
        <f t="shared" ref="GX124:GX146" si="126">ROUND(HC124*I124,2)</f>
        <v>0</v>
      </c>
      <c r="HA124">
        <v>0</v>
      </c>
      <c r="HB124">
        <v>0</v>
      </c>
      <c r="HC124">
        <f t="shared" ref="HC124:HC146" si="127">GV124*GW124</f>
        <v>0</v>
      </c>
      <c r="HE124" t="s">
        <v>3</v>
      </c>
      <c r="HF124" t="s">
        <v>3</v>
      </c>
      <c r="HM124" t="s">
        <v>3</v>
      </c>
      <c r="HN124" t="s">
        <v>3</v>
      </c>
      <c r="HO124" t="s">
        <v>3</v>
      </c>
      <c r="HP124" t="s">
        <v>3</v>
      </c>
      <c r="HQ124" t="s">
        <v>3</v>
      </c>
      <c r="IK124">
        <v>0</v>
      </c>
    </row>
    <row r="125" spans="1:245" x14ac:dyDescent="0.2">
      <c r="A125">
        <v>17</v>
      </c>
      <c r="B125">
        <v>1</v>
      </c>
      <c r="C125">
        <f>ROW(SmtRes!A67)</f>
        <v>67</v>
      </c>
      <c r="D125">
        <f>ROW(EtalonRes!A61)</f>
        <v>61</v>
      </c>
      <c r="E125" t="s">
        <v>157</v>
      </c>
      <c r="F125" t="s">
        <v>158</v>
      </c>
      <c r="G125" t="s">
        <v>159</v>
      </c>
      <c r="H125" t="s">
        <v>19</v>
      </c>
      <c r="I125">
        <f>ROUND(69/100,9)</f>
        <v>0.69</v>
      </c>
      <c r="J125">
        <v>0</v>
      </c>
      <c r="K125">
        <f>ROUND(69/100,9)</f>
        <v>0.69</v>
      </c>
      <c r="O125">
        <f t="shared" si="88"/>
        <v>15729.56</v>
      </c>
      <c r="P125">
        <f t="shared" si="89"/>
        <v>252.63</v>
      </c>
      <c r="Q125">
        <f t="shared" si="90"/>
        <v>40.14</v>
      </c>
      <c r="R125">
        <f t="shared" si="91"/>
        <v>1.32</v>
      </c>
      <c r="S125">
        <f t="shared" si="92"/>
        <v>15436.79</v>
      </c>
      <c r="T125">
        <f t="shared" si="93"/>
        <v>0</v>
      </c>
      <c r="U125">
        <f t="shared" si="94"/>
        <v>40.799700000000001</v>
      </c>
      <c r="V125">
        <f t="shared" si="95"/>
        <v>0</v>
      </c>
      <c r="W125">
        <f t="shared" si="96"/>
        <v>0</v>
      </c>
      <c r="X125">
        <f t="shared" si="97"/>
        <v>10805.75</v>
      </c>
      <c r="Y125">
        <f t="shared" si="98"/>
        <v>1543.68</v>
      </c>
      <c r="AA125">
        <v>78131199</v>
      </c>
      <c r="AB125">
        <f t="shared" si="99"/>
        <v>22796.46</v>
      </c>
      <c r="AC125">
        <f t="shared" si="100"/>
        <v>366.13</v>
      </c>
      <c r="AD125">
        <f t="shared" si="101"/>
        <v>58.17</v>
      </c>
      <c r="AE125">
        <f t="shared" si="102"/>
        <v>1.92</v>
      </c>
      <c r="AF125">
        <f t="shared" si="103"/>
        <v>22372.16</v>
      </c>
      <c r="AG125">
        <f t="shared" si="104"/>
        <v>0</v>
      </c>
      <c r="AH125">
        <f t="shared" si="105"/>
        <v>59.13</v>
      </c>
      <c r="AI125">
        <f t="shared" si="106"/>
        <v>0</v>
      </c>
      <c r="AJ125">
        <f t="shared" si="107"/>
        <v>0</v>
      </c>
      <c r="AK125">
        <v>22796.46</v>
      </c>
      <c r="AL125">
        <v>366.13</v>
      </c>
      <c r="AM125">
        <v>58.17</v>
      </c>
      <c r="AN125">
        <v>1.92</v>
      </c>
      <c r="AO125">
        <v>22372.16</v>
      </c>
      <c r="AP125">
        <v>0</v>
      </c>
      <c r="AQ125">
        <v>59.13</v>
      </c>
      <c r="AR125">
        <v>0</v>
      </c>
      <c r="AS125">
        <v>0</v>
      </c>
      <c r="AT125">
        <v>70</v>
      </c>
      <c r="AU125">
        <v>10</v>
      </c>
      <c r="AV125">
        <v>1</v>
      </c>
      <c r="AW125">
        <v>1</v>
      </c>
      <c r="AZ125">
        <v>1</v>
      </c>
      <c r="BA125">
        <v>1</v>
      </c>
      <c r="BB125">
        <v>1</v>
      </c>
      <c r="BC125">
        <v>1</v>
      </c>
      <c r="BD125" t="s">
        <v>3</v>
      </c>
      <c r="BE125" t="s">
        <v>3</v>
      </c>
      <c r="BF125" t="s">
        <v>3</v>
      </c>
      <c r="BG125" t="s">
        <v>3</v>
      </c>
      <c r="BH125">
        <v>0</v>
      </c>
      <c r="BI125">
        <v>4</v>
      </c>
      <c r="BJ125" t="s">
        <v>160</v>
      </c>
      <c r="BM125">
        <v>0</v>
      </c>
      <c r="BN125">
        <v>77790596</v>
      </c>
      <c r="BO125" t="s">
        <v>3</v>
      </c>
      <c r="BP125">
        <v>0</v>
      </c>
      <c r="BQ125">
        <v>1</v>
      </c>
      <c r="BR125">
        <v>0</v>
      </c>
      <c r="BS125">
        <v>1</v>
      </c>
      <c r="BT125">
        <v>1</v>
      </c>
      <c r="BU125">
        <v>1</v>
      </c>
      <c r="BV125">
        <v>1</v>
      </c>
      <c r="BW125">
        <v>1</v>
      </c>
      <c r="BX125">
        <v>1</v>
      </c>
      <c r="BY125" t="s">
        <v>3</v>
      </c>
      <c r="BZ125">
        <v>70</v>
      </c>
      <c r="CA125">
        <v>10</v>
      </c>
      <c r="CB125" t="s">
        <v>3</v>
      </c>
      <c r="CE125">
        <v>0</v>
      </c>
      <c r="CF125">
        <v>0</v>
      </c>
      <c r="CG125">
        <v>0</v>
      </c>
      <c r="CM125">
        <v>0</v>
      </c>
      <c r="CN125" t="s">
        <v>3</v>
      </c>
      <c r="CO125">
        <v>0</v>
      </c>
      <c r="CP125">
        <f t="shared" si="108"/>
        <v>15729.560000000001</v>
      </c>
      <c r="CQ125">
        <f t="shared" si="109"/>
        <v>366.13</v>
      </c>
      <c r="CR125">
        <f t="shared" si="110"/>
        <v>58.17</v>
      </c>
      <c r="CS125">
        <f t="shared" si="111"/>
        <v>1.92</v>
      </c>
      <c r="CT125">
        <f t="shared" si="112"/>
        <v>22372.16</v>
      </c>
      <c r="CU125">
        <f t="shared" si="113"/>
        <v>0</v>
      </c>
      <c r="CV125">
        <f t="shared" si="114"/>
        <v>59.13</v>
      </c>
      <c r="CW125">
        <f t="shared" si="115"/>
        <v>0</v>
      </c>
      <c r="CX125">
        <f t="shared" si="116"/>
        <v>0</v>
      </c>
      <c r="CY125">
        <f t="shared" si="117"/>
        <v>10805.753000000001</v>
      </c>
      <c r="CZ125">
        <f t="shared" si="118"/>
        <v>1543.6790000000003</v>
      </c>
      <c r="DC125" t="s">
        <v>3</v>
      </c>
      <c r="DD125" t="s">
        <v>3</v>
      </c>
      <c r="DE125" t="s">
        <v>3</v>
      </c>
      <c r="DF125" t="s">
        <v>3</v>
      </c>
      <c r="DG125" t="s">
        <v>3</v>
      </c>
      <c r="DH125" t="s">
        <v>3</v>
      </c>
      <c r="DI125" t="s">
        <v>3</v>
      </c>
      <c r="DJ125" t="s">
        <v>3</v>
      </c>
      <c r="DK125" t="s">
        <v>3</v>
      </c>
      <c r="DL125" t="s">
        <v>3</v>
      </c>
      <c r="DM125" t="s">
        <v>3</v>
      </c>
      <c r="DN125">
        <v>0</v>
      </c>
      <c r="DO125">
        <v>0</v>
      </c>
      <c r="DP125">
        <v>1</v>
      </c>
      <c r="DQ125">
        <v>1</v>
      </c>
      <c r="DU125">
        <v>1003</v>
      </c>
      <c r="DV125" t="s">
        <v>19</v>
      </c>
      <c r="DW125" t="s">
        <v>19</v>
      </c>
      <c r="DX125">
        <v>100</v>
      </c>
      <c r="DZ125" t="s">
        <v>3</v>
      </c>
      <c r="EA125" t="s">
        <v>3</v>
      </c>
      <c r="EB125" t="s">
        <v>3</v>
      </c>
      <c r="EC125" t="s">
        <v>3</v>
      </c>
      <c r="EE125">
        <v>77790599</v>
      </c>
      <c r="EF125">
        <v>1</v>
      </c>
      <c r="EG125" t="s">
        <v>23</v>
      </c>
      <c r="EH125">
        <v>0</v>
      </c>
      <c r="EI125" t="s">
        <v>3</v>
      </c>
      <c r="EJ125">
        <v>4</v>
      </c>
      <c r="EK125">
        <v>0</v>
      </c>
      <c r="EL125" t="s">
        <v>24</v>
      </c>
      <c r="EM125" t="s">
        <v>25</v>
      </c>
      <c r="EO125" t="s">
        <v>3</v>
      </c>
      <c r="EQ125">
        <v>131072</v>
      </c>
      <c r="ER125">
        <v>22796.46</v>
      </c>
      <c r="ES125">
        <v>366.13</v>
      </c>
      <c r="ET125">
        <v>58.17</v>
      </c>
      <c r="EU125">
        <v>1.92</v>
      </c>
      <c r="EV125">
        <v>22372.16</v>
      </c>
      <c r="EW125">
        <v>59.13</v>
      </c>
      <c r="EX125">
        <v>0</v>
      </c>
      <c r="EY125">
        <v>0</v>
      </c>
      <c r="FQ125">
        <v>0</v>
      </c>
      <c r="FR125">
        <f t="shared" si="119"/>
        <v>0</v>
      </c>
      <c r="FS125">
        <v>0</v>
      </c>
      <c r="FX125">
        <v>70</v>
      </c>
      <c r="FY125">
        <v>10</v>
      </c>
      <c r="GA125" t="s">
        <v>3</v>
      </c>
      <c r="GD125">
        <v>0</v>
      </c>
      <c r="GF125">
        <v>-570696787</v>
      </c>
      <c r="GG125">
        <v>2</v>
      </c>
      <c r="GH125">
        <v>1</v>
      </c>
      <c r="GI125">
        <v>-2</v>
      </c>
      <c r="GJ125">
        <v>0</v>
      </c>
      <c r="GK125">
        <f>ROUND(R125*(R12)/100,2)</f>
        <v>2.11</v>
      </c>
      <c r="GL125">
        <f t="shared" si="120"/>
        <v>0</v>
      </c>
      <c r="GM125">
        <f t="shared" si="121"/>
        <v>28081.1</v>
      </c>
      <c r="GN125">
        <f t="shared" si="122"/>
        <v>0</v>
      </c>
      <c r="GO125">
        <f t="shared" si="123"/>
        <v>0</v>
      </c>
      <c r="GP125">
        <f t="shared" si="124"/>
        <v>28081.1</v>
      </c>
      <c r="GR125">
        <v>0</v>
      </c>
      <c r="GS125">
        <v>3</v>
      </c>
      <c r="GT125">
        <v>0</v>
      </c>
      <c r="GU125" t="s">
        <v>3</v>
      </c>
      <c r="GV125">
        <f t="shared" si="125"/>
        <v>0</v>
      </c>
      <c r="GW125">
        <v>1</v>
      </c>
      <c r="GX125">
        <f t="shared" si="126"/>
        <v>0</v>
      </c>
      <c r="HA125">
        <v>0</v>
      </c>
      <c r="HB125">
        <v>0</v>
      </c>
      <c r="HC125">
        <f t="shared" si="127"/>
        <v>0</v>
      </c>
      <c r="HE125" t="s">
        <v>3</v>
      </c>
      <c r="HF125" t="s">
        <v>3</v>
      </c>
      <c r="HM125" t="s">
        <v>3</v>
      </c>
      <c r="HN125" t="s">
        <v>3</v>
      </c>
      <c r="HO125" t="s">
        <v>3</v>
      </c>
      <c r="HP125" t="s">
        <v>3</v>
      </c>
      <c r="HQ125" t="s">
        <v>3</v>
      </c>
      <c r="IK125">
        <v>0</v>
      </c>
    </row>
    <row r="126" spans="1:245" x14ac:dyDescent="0.2">
      <c r="A126">
        <v>17</v>
      </c>
      <c r="B126">
        <v>1</v>
      </c>
      <c r="C126">
        <f>ROW(SmtRes!A77)</f>
        <v>77</v>
      </c>
      <c r="D126">
        <f>ROW(EtalonRes!A71)</f>
        <v>71</v>
      </c>
      <c r="E126" t="s">
        <v>161</v>
      </c>
      <c r="F126" t="s">
        <v>162</v>
      </c>
      <c r="G126" t="s">
        <v>163</v>
      </c>
      <c r="H126" t="s">
        <v>19</v>
      </c>
      <c r="I126">
        <v>0.63</v>
      </c>
      <c r="J126">
        <v>0</v>
      </c>
      <c r="K126">
        <v>0.63</v>
      </c>
      <c r="O126">
        <f t="shared" si="88"/>
        <v>48196.46</v>
      </c>
      <c r="P126">
        <f t="shared" si="89"/>
        <v>30377.08</v>
      </c>
      <c r="Q126">
        <f t="shared" si="90"/>
        <v>95.3</v>
      </c>
      <c r="R126">
        <f t="shared" si="91"/>
        <v>3.14</v>
      </c>
      <c r="S126">
        <f t="shared" si="92"/>
        <v>17724.080000000002</v>
      </c>
      <c r="T126">
        <f t="shared" si="93"/>
        <v>0</v>
      </c>
      <c r="U126">
        <f t="shared" si="94"/>
        <v>40.067999999999998</v>
      </c>
      <c r="V126">
        <f t="shared" si="95"/>
        <v>0</v>
      </c>
      <c r="W126">
        <f t="shared" si="96"/>
        <v>0</v>
      </c>
      <c r="X126">
        <f t="shared" si="97"/>
        <v>12406.86</v>
      </c>
      <c r="Y126">
        <f t="shared" si="98"/>
        <v>1772.41</v>
      </c>
      <c r="AA126">
        <v>78131199</v>
      </c>
      <c r="AB126">
        <f t="shared" si="99"/>
        <v>76502.320000000007</v>
      </c>
      <c r="AC126">
        <f t="shared" si="100"/>
        <v>48217.59</v>
      </c>
      <c r="AD126">
        <f t="shared" si="101"/>
        <v>151.27000000000001</v>
      </c>
      <c r="AE126">
        <f t="shared" si="102"/>
        <v>4.9800000000000004</v>
      </c>
      <c r="AF126">
        <f t="shared" si="103"/>
        <v>28133.46</v>
      </c>
      <c r="AG126">
        <f t="shared" si="104"/>
        <v>0</v>
      </c>
      <c r="AH126">
        <f t="shared" si="105"/>
        <v>63.6</v>
      </c>
      <c r="AI126">
        <f t="shared" si="106"/>
        <v>0</v>
      </c>
      <c r="AJ126">
        <f t="shared" si="107"/>
        <v>0</v>
      </c>
      <c r="AK126">
        <v>76502.320000000007</v>
      </c>
      <c r="AL126">
        <v>48217.59</v>
      </c>
      <c r="AM126">
        <v>151.27000000000001</v>
      </c>
      <c r="AN126">
        <v>4.9800000000000004</v>
      </c>
      <c r="AO126">
        <v>28133.46</v>
      </c>
      <c r="AP126">
        <v>0</v>
      </c>
      <c r="AQ126">
        <v>63.6</v>
      </c>
      <c r="AR126">
        <v>0</v>
      </c>
      <c r="AS126">
        <v>0</v>
      </c>
      <c r="AT126">
        <v>70</v>
      </c>
      <c r="AU126">
        <v>10</v>
      </c>
      <c r="AV126">
        <v>1</v>
      </c>
      <c r="AW126">
        <v>1</v>
      </c>
      <c r="AZ126">
        <v>1</v>
      </c>
      <c r="BA126">
        <v>1</v>
      </c>
      <c r="BB126">
        <v>1</v>
      </c>
      <c r="BC126">
        <v>1</v>
      </c>
      <c r="BD126" t="s">
        <v>3</v>
      </c>
      <c r="BE126" t="s">
        <v>3</v>
      </c>
      <c r="BF126" t="s">
        <v>3</v>
      </c>
      <c r="BG126" t="s">
        <v>3</v>
      </c>
      <c r="BH126">
        <v>0</v>
      </c>
      <c r="BI126">
        <v>4</v>
      </c>
      <c r="BJ126" t="s">
        <v>164</v>
      </c>
      <c r="BM126">
        <v>0</v>
      </c>
      <c r="BN126">
        <v>0</v>
      </c>
      <c r="BO126" t="s">
        <v>3</v>
      </c>
      <c r="BP126">
        <v>0</v>
      </c>
      <c r="BQ126">
        <v>1</v>
      </c>
      <c r="BR126">
        <v>0</v>
      </c>
      <c r="BS126">
        <v>1</v>
      </c>
      <c r="BT126">
        <v>1</v>
      </c>
      <c r="BU126">
        <v>1</v>
      </c>
      <c r="BV126">
        <v>1</v>
      </c>
      <c r="BW126">
        <v>1</v>
      </c>
      <c r="BX126">
        <v>1</v>
      </c>
      <c r="BY126" t="s">
        <v>3</v>
      </c>
      <c r="BZ126">
        <v>70</v>
      </c>
      <c r="CA126">
        <v>10</v>
      </c>
      <c r="CB126" t="s">
        <v>3</v>
      </c>
      <c r="CE126">
        <v>0</v>
      </c>
      <c r="CF126">
        <v>0</v>
      </c>
      <c r="CG126">
        <v>0</v>
      </c>
      <c r="CM126">
        <v>0</v>
      </c>
      <c r="CN126" t="s">
        <v>3</v>
      </c>
      <c r="CO126">
        <v>0</v>
      </c>
      <c r="CP126">
        <f t="shared" si="108"/>
        <v>48196.460000000006</v>
      </c>
      <c r="CQ126">
        <f t="shared" si="109"/>
        <v>48217.59</v>
      </c>
      <c r="CR126">
        <f t="shared" si="110"/>
        <v>151.27000000000001</v>
      </c>
      <c r="CS126">
        <f t="shared" si="111"/>
        <v>4.9800000000000004</v>
      </c>
      <c r="CT126">
        <f t="shared" si="112"/>
        <v>28133.46</v>
      </c>
      <c r="CU126">
        <f t="shared" si="113"/>
        <v>0</v>
      </c>
      <c r="CV126">
        <f t="shared" si="114"/>
        <v>63.6</v>
      </c>
      <c r="CW126">
        <f t="shared" si="115"/>
        <v>0</v>
      </c>
      <c r="CX126">
        <f t="shared" si="116"/>
        <v>0</v>
      </c>
      <c r="CY126">
        <f t="shared" si="117"/>
        <v>12406.856000000002</v>
      </c>
      <c r="CZ126">
        <f t="shared" si="118"/>
        <v>1772.4080000000001</v>
      </c>
      <c r="DC126" t="s">
        <v>3</v>
      </c>
      <c r="DD126" t="s">
        <v>3</v>
      </c>
      <c r="DE126" t="s">
        <v>3</v>
      </c>
      <c r="DF126" t="s">
        <v>3</v>
      </c>
      <c r="DG126" t="s">
        <v>3</v>
      </c>
      <c r="DH126" t="s">
        <v>3</v>
      </c>
      <c r="DI126" t="s">
        <v>3</v>
      </c>
      <c r="DJ126" t="s">
        <v>3</v>
      </c>
      <c r="DK126" t="s">
        <v>3</v>
      </c>
      <c r="DL126" t="s">
        <v>3</v>
      </c>
      <c r="DM126" t="s">
        <v>3</v>
      </c>
      <c r="DN126">
        <v>0</v>
      </c>
      <c r="DO126">
        <v>0</v>
      </c>
      <c r="DP126">
        <v>1</v>
      </c>
      <c r="DQ126">
        <v>1</v>
      </c>
      <c r="DU126">
        <v>1003</v>
      </c>
      <c r="DV126" t="s">
        <v>19</v>
      </c>
      <c r="DW126" t="s">
        <v>19</v>
      </c>
      <c r="DX126">
        <v>100</v>
      </c>
      <c r="DZ126" t="s">
        <v>3</v>
      </c>
      <c r="EA126" t="s">
        <v>3</v>
      </c>
      <c r="EB126" t="s">
        <v>3</v>
      </c>
      <c r="EC126" t="s">
        <v>3</v>
      </c>
      <c r="EE126">
        <v>77790599</v>
      </c>
      <c r="EF126">
        <v>1</v>
      </c>
      <c r="EG126" t="s">
        <v>23</v>
      </c>
      <c r="EH126">
        <v>0</v>
      </c>
      <c r="EI126" t="s">
        <v>3</v>
      </c>
      <c r="EJ126">
        <v>4</v>
      </c>
      <c r="EK126">
        <v>0</v>
      </c>
      <c r="EL126" t="s">
        <v>24</v>
      </c>
      <c r="EM126" t="s">
        <v>25</v>
      </c>
      <c r="EO126" t="s">
        <v>3</v>
      </c>
      <c r="EQ126">
        <v>0</v>
      </c>
      <c r="ER126">
        <v>76502.320000000007</v>
      </c>
      <c r="ES126">
        <v>48217.59</v>
      </c>
      <c r="ET126">
        <v>151.27000000000001</v>
      </c>
      <c r="EU126">
        <v>4.9800000000000004</v>
      </c>
      <c r="EV126">
        <v>28133.46</v>
      </c>
      <c r="EW126">
        <v>63.6</v>
      </c>
      <c r="EX126">
        <v>0</v>
      </c>
      <c r="EY126">
        <v>0</v>
      </c>
      <c r="FQ126">
        <v>0</v>
      </c>
      <c r="FR126">
        <f t="shared" si="119"/>
        <v>0</v>
      </c>
      <c r="FS126">
        <v>0</v>
      </c>
      <c r="FX126">
        <v>70</v>
      </c>
      <c r="FY126">
        <v>10</v>
      </c>
      <c r="GA126" t="s">
        <v>3</v>
      </c>
      <c r="GD126">
        <v>0</v>
      </c>
      <c r="GF126">
        <v>-1055621022</v>
      </c>
      <c r="GG126">
        <v>2</v>
      </c>
      <c r="GH126">
        <v>1</v>
      </c>
      <c r="GI126">
        <v>-2</v>
      </c>
      <c r="GJ126">
        <v>0</v>
      </c>
      <c r="GK126">
        <f>ROUND(R126*(R12)/100,2)</f>
        <v>5.0199999999999996</v>
      </c>
      <c r="GL126">
        <f t="shared" si="120"/>
        <v>0</v>
      </c>
      <c r="GM126">
        <f t="shared" si="121"/>
        <v>62380.75</v>
      </c>
      <c r="GN126">
        <f t="shared" si="122"/>
        <v>0</v>
      </c>
      <c r="GO126">
        <f t="shared" si="123"/>
        <v>0</v>
      </c>
      <c r="GP126">
        <f t="shared" si="124"/>
        <v>62380.75</v>
      </c>
      <c r="GR126">
        <v>0</v>
      </c>
      <c r="GS126">
        <v>3</v>
      </c>
      <c r="GT126">
        <v>0</v>
      </c>
      <c r="GU126" t="s">
        <v>3</v>
      </c>
      <c r="GV126">
        <f t="shared" si="125"/>
        <v>0</v>
      </c>
      <c r="GW126">
        <v>1</v>
      </c>
      <c r="GX126">
        <f t="shared" si="126"/>
        <v>0</v>
      </c>
      <c r="HA126">
        <v>0</v>
      </c>
      <c r="HB126">
        <v>0</v>
      </c>
      <c r="HC126">
        <f t="shared" si="127"/>
        <v>0</v>
      </c>
      <c r="HE126" t="s">
        <v>3</v>
      </c>
      <c r="HF126" t="s">
        <v>3</v>
      </c>
      <c r="HM126" t="s">
        <v>3</v>
      </c>
      <c r="HN126" t="s">
        <v>3</v>
      </c>
      <c r="HO126" t="s">
        <v>3</v>
      </c>
      <c r="HP126" t="s">
        <v>3</v>
      </c>
      <c r="HQ126" t="s">
        <v>3</v>
      </c>
      <c r="IK126">
        <v>0</v>
      </c>
    </row>
    <row r="127" spans="1:245" x14ac:dyDescent="0.2">
      <c r="A127">
        <v>18</v>
      </c>
      <c r="B127">
        <v>1</v>
      </c>
      <c r="C127">
        <v>71</v>
      </c>
      <c r="E127" t="s">
        <v>165</v>
      </c>
      <c r="F127" t="s">
        <v>166</v>
      </c>
      <c r="G127" t="s">
        <v>167</v>
      </c>
      <c r="H127" t="s">
        <v>33</v>
      </c>
      <c r="I127">
        <f>I126*J127</f>
        <v>63</v>
      </c>
      <c r="J127">
        <v>100</v>
      </c>
      <c r="K127">
        <v>100</v>
      </c>
      <c r="O127">
        <f t="shared" si="88"/>
        <v>48249.18</v>
      </c>
      <c r="P127">
        <f t="shared" si="89"/>
        <v>48249.18</v>
      </c>
      <c r="Q127">
        <f t="shared" si="90"/>
        <v>0</v>
      </c>
      <c r="R127">
        <f t="shared" si="91"/>
        <v>0</v>
      </c>
      <c r="S127">
        <f t="shared" si="92"/>
        <v>0</v>
      </c>
      <c r="T127">
        <f t="shared" si="93"/>
        <v>0</v>
      </c>
      <c r="U127">
        <f t="shared" si="94"/>
        <v>0</v>
      </c>
      <c r="V127">
        <f t="shared" si="95"/>
        <v>0</v>
      </c>
      <c r="W127">
        <f t="shared" si="96"/>
        <v>0</v>
      </c>
      <c r="X127">
        <f t="shared" si="97"/>
        <v>0</v>
      </c>
      <c r="Y127">
        <f t="shared" si="98"/>
        <v>0</v>
      </c>
      <c r="AA127">
        <v>78131199</v>
      </c>
      <c r="AB127">
        <f t="shared" si="99"/>
        <v>765.86</v>
      </c>
      <c r="AC127">
        <f t="shared" si="100"/>
        <v>765.86</v>
      </c>
      <c r="AD127">
        <f t="shared" si="101"/>
        <v>0</v>
      </c>
      <c r="AE127">
        <f t="shared" si="102"/>
        <v>0</v>
      </c>
      <c r="AF127">
        <f t="shared" si="103"/>
        <v>0</v>
      </c>
      <c r="AG127">
        <f t="shared" si="104"/>
        <v>0</v>
      </c>
      <c r="AH127">
        <f t="shared" si="105"/>
        <v>0</v>
      </c>
      <c r="AI127">
        <f t="shared" si="106"/>
        <v>0</v>
      </c>
      <c r="AJ127">
        <f t="shared" si="107"/>
        <v>0</v>
      </c>
      <c r="AK127">
        <v>765.86</v>
      </c>
      <c r="AL127">
        <v>765.86</v>
      </c>
      <c r="AM127">
        <v>0</v>
      </c>
      <c r="AN127">
        <v>0</v>
      </c>
      <c r="AO127">
        <v>0</v>
      </c>
      <c r="AP127">
        <v>0</v>
      </c>
      <c r="AQ127">
        <v>0</v>
      </c>
      <c r="AR127">
        <v>0</v>
      </c>
      <c r="AS127">
        <v>0</v>
      </c>
      <c r="AT127">
        <v>70</v>
      </c>
      <c r="AU127">
        <v>10</v>
      </c>
      <c r="AV127">
        <v>1</v>
      </c>
      <c r="AW127">
        <v>1</v>
      </c>
      <c r="AZ127">
        <v>1</v>
      </c>
      <c r="BA127">
        <v>1</v>
      </c>
      <c r="BB127">
        <v>1</v>
      </c>
      <c r="BC127">
        <v>1</v>
      </c>
      <c r="BD127" t="s">
        <v>3</v>
      </c>
      <c r="BE127" t="s">
        <v>3</v>
      </c>
      <c r="BF127" t="s">
        <v>3</v>
      </c>
      <c r="BG127" t="s">
        <v>3</v>
      </c>
      <c r="BH127">
        <v>3</v>
      </c>
      <c r="BI127">
        <v>4</v>
      </c>
      <c r="BJ127" t="s">
        <v>168</v>
      </c>
      <c r="BM127">
        <v>0</v>
      </c>
      <c r="BN127">
        <v>0</v>
      </c>
      <c r="BO127" t="s">
        <v>3</v>
      </c>
      <c r="BP127">
        <v>0</v>
      </c>
      <c r="BQ127">
        <v>1</v>
      </c>
      <c r="BR127">
        <v>0</v>
      </c>
      <c r="BS127">
        <v>1</v>
      </c>
      <c r="BT127">
        <v>1</v>
      </c>
      <c r="BU127">
        <v>1</v>
      </c>
      <c r="BV127">
        <v>1</v>
      </c>
      <c r="BW127">
        <v>1</v>
      </c>
      <c r="BX127">
        <v>1</v>
      </c>
      <c r="BY127" t="s">
        <v>3</v>
      </c>
      <c r="BZ127">
        <v>70</v>
      </c>
      <c r="CA127">
        <v>10</v>
      </c>
      <c r="CB127" t="s">
        <v>3</v>
      </c>
      <c r="CE127">
        <v>0</v>
      </c>
      <c r="CF127">
        <v>0</v>
      </c>
      <c r="CG127">
        <v>0</v>
      </c>
      <c r="CM127">
        <v>0</v>
      </c>
      <c r="CN127" t="s">
        <v>3</v>
      </c>
      <c r="CO127">
        <v>0</v>
      </c>
      <c r="CP127">
        <f t="shared" si="108"/>
        <v>48249.18</v>
      </c>
      <c r="CQ127">
        <f t="shared" si="109"/>
        <v>765.86</v>
      </c>
      <c r="CR127">
        <f t="shared" si="110"/>
        <v>0</v>
      </c>
      <c r="CS127">
        <f t="shared" si="111"/>
        <v>0</v>
      </c>
      <c r="CT127">
        <f t="shared" si="112"/>
        <v>0</v>
      </c>
      <c r="CU127">
        <f t="shared" si="113"/>
        <v>0</v>
      </c>
      <c r="CV127">
        <f t="shared" si="114"/>
        <v>0</v>
      </c>
      <c r="CW127">
        <f t="shared" si="115"/>
        <v>0</v>
      </c>
      <c r="CX127">
        <f t="shared" si="116"/>
        <v>0</v>
      </c>
      <c r="CY127">
        <f t="shared" si="117"/>
        <v>0</v>
      </c>
      <c r="CZ127">
        <f t="shared" si="118"/>
        <v>0</v>
      </c>
      <c r="DC127" t="s">
        <v>3</v>
      </c>
      <c r="DD127" t="s">
        <v>3</v>
      </c>
      <c r="DE127" t="s">
        <v>3</v>
      </c>
      <c r="DF127" t="s">
        <v>3</v>
      </c>
      <c r="DG127" t="s">
        <v>3</v>
      </c>
      <c r="DH127" t="s">
        <v>3</v>
      </c>
      <c r="DI127" t="s">
        <v>3</v>
      </c>
      <c r="DJ127" t="s">
        <v>3</v>
      </c>
      <c r="DK127" t="s">
        <v>3</v>
      </c>
      <c r="DL127" t="s">
        <v>3</v>
      </c>
      <c r="DM127" t="s">
        <v>3</v>
      </c>
      <c r="DN127">
        <v>0</v>
      </c>
      <c r="DO127">
        <v>0</v>
      </c>
      <c r="DP127">
        <v>1</v>
      </c>
      <c r="DQ127">
        <v>1</v>
      </c>
      <c r="DU127">
        <v>1003</v>
      </c>
      <c r="DV127" t="s">
        <v>33</v>
      </c>
      <c r="DW127" t="s">
        <v>33</v>
      </c>
      <c r="DX127">
        <v>1</v>
      </c>
      <c r="DZ127" t="s">
        <v>3</v>
      </c>
      <c r="EA127" t="s">
        <v>3</v>
      </c>
      <c r="EB127" t="s">
        <v>3</v>
      </c>
      <c r="EC127" t="s">
        <v>3</v>
      </c>
      <c r="EE127">
        <v>77790599</v>
      </c>
      <c r="EF127">
        <v>1</v>
      </c>
      <c r="EG127" t="s">
        <v>23</v>
      </c>
      <c r="EH127">
        <v>0</v>
      </c>
      <c r="EI127" t="s">
        <v>3</v>
      </c>
      <c r="EJ127">
        <v>4</v>
      </c>
      <c r="EK127">
        <v>0</v>
      </c>
      <c r="EL127" t="s">
        <v>24</v>
      </c>
      <c r="EM127" t="s">
        <v>25</v>
      </c>
      <c r="EO127" t="s">
        <v>3</v>
      </c>
      <c r="EQ127">
        <v>0</v>
      </c>
      <c r="ER127">
        <v>765.86</v>
      </c>
      <c r="ES127">
        <v>765.86</v>
      </c>
      <c r="ET127">
        <v>0</v>
      </c>
      <c r="EU127">
        <v>0</v>
      </c>
      <c r="EV127">
        <v>0</v>
      </c>
      <c r="EW127">
        <v>0</v>
      </c>
      <c r="EX127">
        <v>0</v>
      </c>
      <c r="FQ127">
        <v>0</v>
      </c>
      <c r="FR127">
        <f t="shared" si="119"/>
        <v>0</v>
      </c>
      <c r="FS127">
        <v>0</v>
      </c>
      <c r="FX127">
        <v>70</v>
      </c>
      <c r="FY127">
        <v>10</v>
      </c>
      <c r="GA127" t="s">
        <v>3</v>
      </c>
      <c r="GD127">
        <v>0</v>
      </c>
      <c r="GF127">
        <v>1423491498</v>
      </c>
      <c r="GG127">
        <v>2</v>
      </c>
      <c r="GH127">
        <v>1</v>
      </c>
      <c r="GI127">
        <v>-2</v>
      </c>
      <c r="GJ127">
        <v>0</v>
      </c>
      <c r="GK127">
        <f>ROUND(R127*(R12)/100,2)</f>
        <v>0</v>
      </c>
      <c r="GL127">
        <f t="shared" si="120"/>
        <v>0</v>
      </c>
      <c r="GM127">
        <f t="shared" si="121"/>
        <v>48249.18</v>
      </c>
      <c r="GN127">
        <f t="shared" si="122"/>
        <v>0</v>
      </c>
      <c r="GO127">
        <f t="shared" si="123"/>
        <v>0</v>
      </c>
      <c r="GP127">
        <f t="shared" si="124"/>
        <v>48249.18</v>
      </c>
      <c r="GR127">
        <v>0</v>
      </c>
      <c r="GS127">
        <v>3</v>
      </c>
      <c r="GT127">
        <v>0</v>
      </c>
      <c r="GU127" t="s">
        <v>3</v>
      </c>
      <c r="GV127">
        <f t="shared" si="125"/>
        <v>0</v>
      </c>
      <c r="GW127">
        <v>1</v>
      </c>
      <c r="GX127">
        <f t="shared" si="126"/>
        <v>0</v>
      </c>
      <c r="HA127">
        <v>0</v>
      </c>
      <c r="HB127">
        <v>0</v>
      </c>
      <c r="HC127">
        <f t="shared" si="127"/>
        <v>0</v>
      </c>
      <c r="HE127" t="s">
        <v>3</v>
      </c>
      <c r="HF127" t="s">
        <v>3</v>
      </c>
      <c r="HM127" t="s">
        <v>3</v>
      </c>
      <c r="HN127" t="s">
        <v>3</v>
      </c>
      <c r="HO127" t="s">
        <v>3</v>
      </c>
      <c r="HP127" t="s">
        <v>3</v>
      </c>
      <c r="HQ127" t="s">
        <v>3</v>
      </c>
      <c r="IK127">
        <v>0</v>
      </c>
    </row>
    <row r="128" spans="1:245" x14ac:dyDescent="0.2">
      <c r="A128">
        <v>18</v>
      </c>
      <c r="B128">
        <v>1</v>
      </c>
      <c r="C128">
        <v>72</v>
      </c>
      <c r="E128" t="s">
        <v>169</v>
      </c>
      <c r="F128" t="s">
        <v>170</v>
      </c>
      <c r="G128" t="s">
        <v>171</v>
      </c>
      <c r="H128" t="s">
        <v>33</v>
      </c>
      <c r="I128">
        <f>I126*J128</f>
        <v>-63</v>
      </c>
      <c r="J128">
        <v>-100</v>
      </c>
      <c r="K128">
        <v>-100</v>
      </c>
      <c r="O128">
        <f t="shared" si="88"/>
        <v>-30003.119999999999</v>
      </c>
      <c r="P128">
        <f t="shared" si="89"/>
        <v>-30003.119999999999</v>
      </c>
      <c r="Q128">
        <f t="shared" si="90"/>
        <v>0</v>
      </c>
      <c r="R128">
        <f t="shared" si="91"/>
        <v>0</v>
      </c>
      <c r="S128">
        <f t="shared" si="92"/>
        <v>0</v>
      </c>
      <c r="T128">
        <f t="shared" si="93"/>
        <v>0</v>
      </c>
      <c r="U128">
        <f t="shared" si="94"/>
        <v>0</v>
      </c>
      <c r="V128">
        <f t="shared" si="95"/>
        <v>0</v>
      </c>
      <c r="W128">
        <f t="shared" si="96"/>
        <v>0</v>
      </c>
      <c r="X128">
        <f t="shared" si="97"/>
        <v>0</v>
      </c>
      <c r="Y128">
        <f t="shared" si="98"/>
        <v>0</v>
      </c>
      <c r="AA128">
        <v>78131199</v>
      </c>
      <c r="AB128">
        <f t="shared" si="99"/>
        <v>476.24</v>
      </c>
      <c r="AC128">
        <f t="shared" si="100"/>
        <v>476.24</v>
      </c>
      <c r="AD128">
        <f t="shared" si="101"/>
        <v>0</v>
      </c>
      <c r="AE128">
        <f t="shared" si="102"/>
        <v>0</v>
      </c>
      <c r="AF128">
        <f t="shared" si="103"/>
        <v>0</v>
      </c>
      <c r="AG128">
        <f t="shared" si="104"/>
        <v>0</v>
      </c>
      <c r="AH128">
        <f t="shared" si="105"/>
        <v>0</v>
      </c>
      <c r="AI128">
        <f t="shared" si="106"/>
        <v>0</v>
      </c>
      <c r="AJ128">
        <f t="shared" si="107"/>
        <v>0</v>
      </c>
      <c r="AK128">
        <v>476.24</v>
      </c>
      <c r="AL128">
        <v>476.24</v>
      </c>
      <c r="AM128">
        <v>0</v>
      </c>
      <c r="AN128">
        <v>0</v>
      </c>
      <c r="AO128">
        <v>0</v>
      </c>
      <c r="AP128">
        <v>0</v>
      </c>
      <c r="AQ128">
        <v>0</v>
      </c>
      <c r="AR128">
        <v>0</v>
      </c>
      <c r="AS128">
        <v>0</v>
      </c>
      <c r="AT128">
        <v>70</v>
      </c>
      <c r="AU128">
        <v>10</v>
      </c>
      <c r="AV128">
        <v>1</v>
      </c>
      <c r="AW128">
        <v>1</v>
      </c>
      <c r="AZ128">
        <v>1</v>
      </c>
      <c r="BA128">
        <v>1</v>
      </c>
      <c r="BB128">
        <v>1</v>
      </c>
      <c r="BC128">
        <v>1</v>
      </c>
      <c r="BD128" t="s">
        <v>3</v>
      </c>
      <c r="BE128" t="s">
        <v>3</v>
      </c>
      <c r="BF128" t="s">
        <v>3</v>
      </c>
      <c r="BG128" t="s">
        <v>3</v>
      </c>
      <c r="BH128">
        <v>3</v>
      </c>
      <c r="BI128">
        <v>4</v>
      </c>
      <c r="BJ128" t="s">
        <v>172</v>
      </c>
      <c r="BM128">
        <v>0</v>
      </c>
      <c r="BN128">
        <v>0</v>
      </c>
      <c r="BO128" t="s">
        <v>3</v>
      </c>
      <c r="BP128">
        <v>0</v>
      </c>
      <c r="BQ128">
        <v>1</v>
      </c>
      <c r="BR128">
        <v>1</v>
      </c>
      <c r="BS128">
        <v>1</v>
      </c>
      <c r="BT128">
        <v>1</v>
      </c>
      <c r="BU128">
        <v>1</v>
      </c>
      <c r="BV128">
        <v>1</v>
      </c>
      <c r="BW128">
        <v>1</v>
      </c>
      <c r="BX128">
        <v>1</v>
      </c>
      <c r="BY128" t="s">
        <v>3</v>
      </c>
      <c r="BZ128">
        <v>70</v>
      </c>
      <c r="CA128">
        <v>10</v>
      </c>
      <c r="CB128" t="s">
        <v>3</v>
      </c>
      <c r="CE128">
        <v>0</v>
      </c>
      <c r="CF128">
        <v>0</v>
      </c>
      <c r="CG128">
        <v>0</v>
      </c>
      <c r="CM128">
        <v>0</v>
      </c>
      <c r="CN128" t="s">
        <v>3</v>
      </c>
      <c r="CO128">
        <v>0</v>
      </c>
      <c r="CP128">
        <f t="shared" si="108"/>
        <v>-30003.119999999999</v>
      </c>
      <c r="CQ128">
        <f t="shared" si="109"/>
        <v>476.24</v>
      </c>
      <c r="CR128">
        <f t="shared" si="110"/>
        <v>0</v>
      </c>
      <c r="CS128">
        <f t="shared" si="111"/>
        <v>0</v>
      </c>
      <c r="CT128">
        <f t="shared" si="112"/>
        <v>0</v>
      </c>
      <c r="CU128">
        <f t="shared" si="113"/>
        <v>0</v>
      </c>
      <c r="CV128">
        <f t="shared" si="114"/>
        <v>0</v>
      </c>
      <c r="CW128">
        <f t="shared" si="115"/>
        <v>0</v>
      </c>
      <c r="CX128">
        <f t="shared" si="116"/>
        <v>0</v>
      </c>
      <c r="CY128">
        <f t="shared" si="117"/>
        <v>0</v>
      </c>
      <c r="CZ128">
        <f t="shared" si="118"/>
        <v>0</v>
      </c>
      <c r="DC128" t="s">
        <v>3</v>
      </c>
      <c r="DD128" t="s">
        <v>3</v>
      </c>
      <c r="DE128" t="s">
        <v>3</v>
      </c>
      <c r="DF128" t="s">
        <v>3</v>
      </c>
      <c r="DG128" t="s">
        <v>3</v>
      </c>
      <c r="DH128" t="s">
        <v>3</v>
      </c>
      <c r="DI128" t="s">
        <v>3</v>
      </c>
      <c r="DJ128" t="s">
        <v>3</v>
      </c>
      <c r="DK128" t="s">
        <v>3</v>
      </c>
      <c r="DL128" t="s">
        <v>3</v>
      </c>
      <c r="DM128" t="s">
        <v>3</v>
      </c>
      <c r="DN128">
        <v>0</v>
      </c>
      <c r="DO128">
        <v>0</v>
      </c>
      <c r="DP128">
        <v>1</v>
      </c>
      <c r="DQ128">
        <v>1</v>
      </c>
      <c r="DU128">
        <v>1003</v>
      </c>
      <c r="DV128" t="s">
        <v>33</v>
      </c>
      <c r="DW128" t="s">
        <v>33</v>
      </c>
      <c r="DX128">
        <v>1</v>
      </c>
      <c r="DZ128" t="s">
        <v>3</v>
      </c>
      <c r="EA128" t="s">
        <v>3</v>
      </c>
      <c r="EB128" t="s">
        <v>3</v>
      </c>
      <c r="EC128" t="s">
        <v>3</v>
      </c>
      <c r="EE128">
        <v>77790599</v>
      </c>
      <c r="EF128">
        <v>1</v>
      </c>
      <c r="EG128" t="s">
        <v>23</v>
      </c>
      <c r="EH128">
        <v>0</v>
      </c>
      <c r="EI128" t="s">
        <v>3</v>
      </c>
      <c r="EJ128">
        <v>4</v>
      </c>
      <c r="EK128">
        <v>0</v>
      </c>
      <c r="EL128" t="s">
        <v>24</v>
      </c>
      <c r="EM128" t="s">
        <v>25</v>
      </c>
      <c r="EO128" t="s">
        <v>3</v>
      </c>
      <c r="EQ128">
        <v>0</v>
      </c>
      <c r="ER128">
        <v>476.24</v>
      </c>
      <c r="ES128">
        <v>476.24</v>
      </c>
      <c r="ET128">
        <v>0</v>
      </c>
      <c r="EU128">
        <v>0</v>
      </c>
      <c r="EV128">
        <v>0</v>
      </c>
      <c r="EW128">
        <v>0</v>
      </c>
      <c r="EX128">
        <v>0</v>
      </c>
      <c r="FQ128">
        <v>0</v>
      </c>
      <c r="FR128">
        <f t="shared" si="119"/>
        <v>0</v>
      </c>
      <c r="FS128">
        <v>0</v>
      </c>
      <c r="FX128">
        <v>70</v>
      </c>
      <c r="FY128">
        <v>10</v>
      </c>
      <c r="GA128" t="s">
        <v>3</v>
      </c>
      <c r="GD128">
        <v>0</v>
      </c>
      <c r="GF128">
        <v>94505362</v>
      </c>
      <c r="GG128">
        <v>2</v>
      </c>
      <c r="GH128">
        <v>1</v>
      </c>
      <c r="GI128">
        <v>-2</v>
      </c>
      <c r="GJ128">
        <v>0</v>
      </c>
      <c r="GK128">
        <f>ROUND(R128*(R12)/100,2)</f>
        <v>0</v>
      </c>
      <c r="GL128">
        <f t="shared" si="120"/>
        <v>0</v>
      </c>
      <c r="GM128">
        <f t="shared" si="121"/>
        <v>-30003.119999999999</v>
      </c>
      <c r="GN128">
        <f t="shared" si="122"/>
        <v>0</v>
      </c>
      <c r="GO128">
        <f t="shared" si="123"/>
        <v>0</v>
      </c>
      <c r="GP128">
        <f t="shared" si="124"/>
        <v>-30003.119999999999</v>
      </c>
      <c r="GR128">
        <v>0</v>
      </c>
      <c r="GS128">
        <v>3</v>
      </c>
      <c r="GT128">
        <v>0</v>
      </c>
      <c r="GU128" t="s">
        <v>3</v>
      </c>
      <c r="GV128">
        <f t="shared" si="125"/>
        <v>0</v>
      </c>
      <c r="GW128">
        <v>1</v>
      </c>
      <c r="GX128">
        <f t="shared" si="126"/>
        <v>0</v>
      </c>
      <c r="HA128">
        <v>0</v>
      </c>
      <c r="HB128">
        <v>0</v>
      </c>
      <c r="HC128">
        <f t="shared" si="127"/>
        <v>0</v>
      </c>
      <c r="HE128" t="s">
        <v>3</v>
      </c>
      <c r="HF128" t="s">
        <v>3</v>
      </c>
      <c r="HM128" t="s">
        <v>3</v>
      </c>
      <c r="HN128" t="s">
        <v>3</v>
      </c>
      <c r="HO128" t="s">
        <v>3</v>
      </c>
      <c r="HP128" t="s">
        <v>3</v>
      </c>
      <c r="HQ128" t="s">
        <v>3</v>
      </c>
      <c r="IK128">
        <v>0</v>
      </c>
    </row>
    <row r="129" spans="1:245" x14ac:dyDescent="0.2">
      <c r="A129">
        <v>17</v>
      </c>
      <c r="B129">
        <v>1</v>
      </c>
      <c r="C129">
        <f>ROW(SmtRes!A87)</f>
        <v>87</v>
      </c>
      <c r="D129">
        <f>ROW(EtalonRes!A81)</f>
        <v>81</v>
      </c>
      <c r="E129" t="s">
        <v>173</v>
      </c>
      <c r="F129" t="s">
        <v>174</v>
      </c>
      <c r="G129" t="s">
        <v>175</v>
      </c>
      <c r="H129" t="s">
        <v>19</v>
      </c>
      <c r="I129">
        <v>0.69</v>
      </c>
      <c r="J129">
        <v>0</v>
      </c>
      <c r="K129">
        <v>0.69</v>
      </c>
      <c r="O129">
        <f t="shared" si="88"/>
        <v>77416.3</v>
      </c>
      <c r="P129">
        <f t="shared" si="89"/>
        <v>52601.56</v>
      </c>
      <c r="Q129">
        <f t="shared" si="90"/>
        <v>189.23</v>
      </c>
      <c r="R129">
        <f t="shared" si="91"/>
        <v>6.23</v>
      </c>
      <c r="S129">
        <f t="shared" si="92"/>
        <v>24625.51</v>
      </c>
      <c r="T129">
        <f t="shared" si="93"/>
        <v>0</v>
      </c>
      <c r="U129">
        <f t="shared" si="94"/>
        <v>57.532199999999989</v>
      </c>
      <c r="V129">
        <f t="shared" si="95"/>
        <v>0</v>
      </c>
      <c r="W129">
        <f t="shared" si="96"/>
        <v>0</v>
      </c>
      <c r="X129">
        <f t="shared" si="97"/>
        <v>17237.86</v>
      </c>
      <c r="Y129">
        <f t="shared" si="98"/>
        <v>2462.5500000000002</v>
      </c>
      <c r="AA129">
        <v>78131199</v>
      </c>
      <c r="AB129">
        <f t="shared" si="99"/>
        <v>112197.54</v>
      </c>
      <c r="AC129">
        <f t="shared" si="100"/>
        <v>76234.149999999994</v>
      </c>
      <c r="AD129">
        <f t="shared" si="101"/>
        <v>274.25</v>
      </c>
      <c r="AE129">
        <f t="shared" si="102"/>
        <v>9.0299999999999994</v>
      </c>
      <c r="AF129">
        <f t="shared" si="103"/>
        <v>35689.14</v>
      </c>
      <c r="AG129">
        <f t="shared" si="104"/>
        <v>0</v>
      </c>
      <c r="AH129">
        <f t="shared" si="105"/>
        <v>83.38</v>
      </c>
      <c r="AI129">
        <f t="shared" si="106"/>
        <v>0</v>
      </c>
      <c r="AJ129">
        <f t="shared" si="107"/>
        <v>0</v>
      </c>
      <c r="AK129">
        <v>112197.54</v>
      </c>
      <c r="AL129">
        <v>76234.149999999994</v>
      </c>
      <c r="AM129">
        <v>274.25</v>
      </c>
      <c r="AN129">
        <v>9.0299999999999994</v>
      </c>
      <c r="AO129">
        <v>35689.14</v>
      </c>
      <c r="AP129">
        <v>0</v>
      </c>
      <c r="AQ129">
        <v>83.38</v>
      </c>
      <c r="AR129">
        <v>0</v>
      </c>
      <c r="AS129">
        <v>0</v>
      </c>
      <c r="AT129">
        <v>70</v>
      </c>
      <c r="AU129">
        <v>10</v>
      </c>
      <c r="AV129">
        <v>1</v>
      </c>
      <c r="AW129">
        <v>1</v>
      </c>
      <c r="AZ129">
        <v>1</v>
      </c>
      <c r="BA129">
        <v>1</v>
      </c>
      <c r="BB129">
        <v>1</v>
      </c>
      <c r="BC129">
        <v>1</v>
      </c>
      <c r="BD129" t="s">
        <v>3</v>
      </c>
      <c r="BE129" t="s">
        <v>3</v>
      </c>
      <c r="BF129" t="s">
        <v>3</v>
      </c>
      <c r="BG129" t="s">
        <v>3</v>
      </c>
      <c r="BH129">
        <v>0</v>
      </c>
      <c r="BI129">
        <v>4</v>
      </c>
      <c r="BJ129" t="s">
        <v>176</v>
      </c>
      <c r="BM129">
        <v>0</v>
      </c>
      <c r="BN129">
        <v>0</v>
      </c>
      <c r="BO129" t="s">
        <v>3</v>
      </c>
      <c r="BP129">
        <v>0</v>
      </c>
      <c r="BQ129">
        <v>1</v>
      </c>
      <c r="BR129">
        <v>0</v>
      </c>
      <c r="BS129">
        <v>1</v>
      </c>
      <c r="BT129">
        <v>1</v>
      </c>
      <c r="BU129">
        <v>1</v>
      </c>
      <c r="BV129">
        <v>1</v>
      </c>
      <c r="BW129">
        <v>1</v>
      </c>
      <c r="BX129">
        <v>1</v>
      </c>
      <c r="BY129" t="s">
        <v>3</v>
      </c>
      <c r="BZ129">
        <v>70</v>
      </c>
      <c r="CA129">
        <v>10</v>
      </c>
      <c r="CB129" t="s">
        <v>3</v>
      </c>
      <c r="CE129">
        <v>0</v>
      </c>
      <c r="CF129">
        <v>0</v>
      </c>
      <c r="CG129">
        <v>0</v>
      </c>
      <c r="CM129">
        <v>0</v>
      </c>
      <c r="CN129" t="s">
        <v>3</v>
      </c>
      <c r="CO129">
        <v>0</v>
      </c>
      <c r="CP129">
        <f t="shared" si="108"/>
        <v>77416.3</v>
      </c>
      <c r="CQ129">
        <f t="shared" si="109"/>
        <v>76234.149999999994</v>
      </c>
      <c r="CR129">
        <f t="shared" si="110"/>
        <v>274.25</v>
      </c>
      <c r="CS129">
        <f t="shared" si="111"/>
        <v>9.0299999999999994</v>
      </c>
      <c r="CT129">
        <f t="shared" si="112"/>
        <v>35689.14</v>
      </c>
      <c r="CU129">
        <f t="shared" si="113"/>
        <v>0</v>
      </c>
      <c r="CV129">
        <f t="shared" si="114"/>
        <v>83.38</v>
      </c>
      <c r="CW129">
        <f t="shared" si="115"/>
        <v>0</v>
      </c>
      <c r="CX129">
        <f t="shared" si="116"/>
        <v>0</v>
      </c>
      <c r="CY129">
        <f t="shared" si="117"/>
        <v>17237.857</v>
      </c>
      <c r="CZ129">
        <f t="shared" si="118"/>
        <v>2462.5509999999999</v>
      </c>
      <c r="DC129" t="s">
        <v>3</v>
      </c>
      <c r="DD129" t="s">
        <v>3</v>
      </c>
      <c r="DE129" t="s">
        <v>3</v>
      </c>
      <c r="DF129" t="s">
        <v>3</v>
      </c>
      <c r="DG129" t="s">
        <v>3</v>
      </c>
      <c r="DH129" t="s">
        <v>3</v>
      </c>
      <c r="DI129" t="s">
        <v>3</v>
      </c>
      <c r="DJ129" t="s">
        <v>3</v>
      </c>
      <c r="DK129" t="s">
        <v>3</v>
      </c>
      <c r="DL129" t="s">
        <v>3</v>
      </c>
      <c r="DM129" t="s">
        <v>3</v>
      </c>
      <c r="DN129">
        <v>0</v>
      </c>
      <c r="DO129">
        <v>0</v>
      </c>
      <c r="DP129">
        <v>1</v>
      </c>
      <c r="DQ129">
        <v>1</v>
      </c>
      <c r="DU129">
        <v>1003</v>
      </c>
      <c r="DV129" t="s">
        <v>19</v>
      </c>
      <c r="DW129" t="s">
        <v>19</v>
      </c>
      <c r="DX129">
        <v>100</v>
      </c>
      <c r="DZ129" t="s">
        <v>3</v>
      </c>
      <c r="EA129" t="s">
        <v>3</v>
      </c>
      <c r="EB129" t="s">
        <v>3</v>
      </c>
      <c r="EC129" t="s">
        <v>3</v>
      </c>
      <c r="EE129">
        <v>77790599</v>
      </c>
      <c r="EF129">
        <v>1</v>
      </c>
      <c r="EG129" t="s">
        <v>23</v>
      </c>
      <c r="EH129">
        <v>0</v>
      </c>
      <c r="EI129" t="s">
        <v>3</v>
      </c>
      <c r="EJ129">
        <v>4</v>
      </c>
      <c r="EK129">
        <v>0</v>
      </c>
      <c r="EL129" t="s">
        <v>24</v>
      </c>
      <c r="EM129" t="s">
        <v>25</v>
      </c>
      <c r="EO129" t="s">
        <v>3</v>
      </c>
      <c r="EQ129">
        <v>0</v>
      </c>
      <c r="ER129">
        <v>112197.54</v>
      </c>
      <c r="ES129">
        <v>76234.149999999994</v>
      </c>
      <c r="ET129">
        <v>274.25</v>
      </c>
      <c r="EU129">
        <v>9.0299999999999994</v>
      </c>
      <c r="EV129">
        <v>35689.14</v>
      </c>
      <c r="EW129">
        <v>83.38</v>
      </c>
      <c r="EX129">
        <v>0</v>
      </c>
      <c r="EY129">
        <v>0</v>
      </c>
      <c r="FQ129">
        <v>0</v>
      </c>
      <c r="FR129">
        <f t="shared" si="119"/>
        <v>0</v>
      </c>
      <c r="FS129">
        <v>0</v>
      </c>
      <c r="FX129">
        <v>70</v>
      </c>
      <c r="FY129">
        <v>10</v>
      </c>
      <c r="GA129" t="s">
        <v>3</v>
      </c>
      <c r="GD129">
        <v>0</v>
      </c>
      <c r="GF129">
        <v>-2015520427</v>
      </c>
      <c r="GG129">
        <v>2</v>
      </c>
      <c r="GH129">
        <v>1</v>
      </c>
      <c r="GI129">
        <v>-2</v>
      </c>
      <c r="GJ129">
        <v>0</v>
      </c>
      <c r="GK129">
        <f>ROUND(R129*(R12)/100,2)</f>
        <v>9.9700000000000006</v>
      </c>
      <c r="GL129">
        <f t="shared" si="120"/>
        <v>0</v>
      </c>
      <c r="GM129">
        <f t="shared" si="121"/>
        <v>97126.68</v>
      </c>
      <c r="GN129">
        <f t="shared" si="122"/>
        <v>0</v>
      </c>
      <c r="GO129">
        <f t="shared" si="123"/>
        <v>0</v>
      </c>
      <c r="GP129">
        <f t="shared" si="124"/>
        <v>97126.68</v>
      </c>
      <c r="GR129">
        <v>0</v>
      </c>
      <c r="GS129">
        <v>3</v>
      </c>
      <c r="GT129">
        <v>0</v>
      </c>
      <c r="GU129" t="s">
        <v>3</v>
      </c>
      <c r="GV129">
        <f t="shared" si="125"/>
        <v>0</v>
      </c>
      <c r="GW129">
        <v>1</v>
      </c>
      <c r="GX129">
        <f t="shared" si="126"/>
        <v>0</v>
      </c>
      <c r="HA129">
        <v>0</v>
      </c>
      <c r="HB129">
        <v>0</v>
      </c>
      <c r="HC129">
        <f t="shared" si="127"/>
        <v>0</v>
      </c>
      <c r="HE129" t="s">
        <v>3</v>
      </c>
      <c r="HF129" t="s">
        <v>3</v>
      </c>
      <c r="HM129" t="s">
        <v>3</v>
      </c>
      <c r="HN129" t="s">
        <v>3</v>
      </c>
      <c r="HO129" t="s">
        <v>3</v>
      </c>
      <c r="HP129" t="s">
        <v>3</v>
      </c>
      <c r="HQ129" t="s">
        <v>3</v>
      </c>
      <c r="IK129">
        <v>0</v>
      </c>
    </row>
    <row r="130" spans="1:245" x14ac:dyDescent="0.2">
      <c r="A130">
        <v>18</v>
      </c>
      <c r="B130">
        <v>1</v>
      </c>
      <c r="C130">
        <v>81</v>
      </c>
      <c r="E130" t="s">
        <v>177</v>
      </c>
      <c r="F130" t="s">
        <v>178</v>
      </c>
      <c r="G130" t="s">
        <v>179</v>
      </c>
      <c r="H130" t="s">
        <v>33</v>
      </c>
      <c r="I130">
        <f>I129*J130</f>
        <v>69</v>
      </c>
      <c r="J130">
        <v>100.00000000000001</v>
      </c>
      <c r="K130">
        <v>100</v>
      </c>
      <c r="O130">
        <f t="shared" si="88"/>
        <v>130856.43</v>
      </c>
      <c r="P130">
        <f t="shared" si="89"/>
        <v>130856.43</v>
      </c>
      <c r="Q130">
        <f t="shared" si="90"/>
        <v>0</v>
      </c>
      <c r="R130">
        <f t="shared" si="91"/>
        <v>0</v>
      </c>
      <c r="S130">
        <f t="shared" si="92"/>
        <v>0</v>
      </c>
      <c r="T130">
        <f t="shared" si="93"/>
        <v>0</v>
      </c>
      <c r="U130">
        <f t="shared" si="94"/>
        <v>0</v>
      </c>
      <c r="V130">
        <f t="shared" si="95"/>
        <v>0</v>
      </c>
      <c r="W130">
        <f t="shared" si="96"/>
        <v>0</v>
      </c>
      <c r="X130">
        <f t="shared" si="97"/>
        <v>0</v>
      </c>
      <c r="Y130">
        <f t="shared" si="98"/>
        <v>0</v>
      </c>
      <c r="AA130">
        <v>78131199</v>
      </c>
      <c r="AB130">
        <f t="shared" si="99"/>
        <v>1896.47</v>
      </c>
      <c r="AC130">
        <f t="shared" si="100"/>
        <v>1896.47</v>
      </c>
      <c r="AD130">
        <f t="shared" si="101"/>
        <v>0</v>
      </c>
      <c r="AE130">
        <f t="shared" si="102"/>
        <v>0</v>
      </c>
      <c r="AF130">
        <f t="shared" si="103"/>
        <v>0</v>
      </c>
      <c r="AG130">
        <f t="shared" si="104"/>
        <v>0</v>
      </c>
      <c r="AH130">
        <f t="shared" si="105"/>
        <v>0</v>
      </c>
      <c r="AI130">
        <f t="shared" si="106"/>
        <v>0</v>
      </c>
      <c r="AJ130">
        <f t="shared" si="107"/>
        <v>0</v>
      </c>
      <c r="AK130">
        <v>1896.47</v>
      </c>
      <c r="AL130">
        <v>1896.47</v>
      </c>
      <c r="AM130">
        <v>0</v>
      </c>
      <c r="AN130">
        <v>0</v>
      </c>
      <c r="AO130">
        <v>0</v>
      </c>
      <c r="AP130">
        <v>0</v>
      </c>
      <c r="AQ130">
        <v>0</v>
      </c>
      <c r="AR130">
        <v>0</v>
      </c>
      <c r="AS130">
        <v>0</v>
      </c>
      <c r="AT130">
        <v>70</v>
      </c>
      <c r="AU130">
        <v>10</v>
      </c>
      <c r="AV130">
        <v>1</v>
      </c>
      <c r="AW130">
        <v>1</v>
      </c>
      <c r="AZ130">
        <v>1</v>
      </c>
      <c r="BA130">
        <v>1</v>
      </c>
      <c r="BB130">
        <v>1</v>
      </c>
      <c r="BC130">
        <v>1</v>
      </c>
      <c r="BD130" t="s">
        <v>3</v>
      </c>
      <c r="BE130" t="s">
        <v>3</v>
      </c>
      <c r="BF130" t="s">
        <v>3</v>
      </c>
      <c r="BG130" t="s">
        <v>3</v>
      </c>
      <c r="BH130">
        <v>3</v>
      </c>
      <c r="BI130">
        <v>4</v>
      </c>
      <c r="BJ130" t="s">
        <v>180</v>
      </c>
      <c r="BM130">
        <v>0</v>
      </c>
      <c r="BN130">
        <v>0</v>
      </c>
      <c r="BO130" t="s">
        <v>3</v>
      </c>
      <c r="BP130">
        <v>0</v>
      </c>
      <c r="BQ130">
        <v>1</v>
      </c>
      <c r="BR130">
        <v>0</v>
      </c>
      <c r="BS130">
        <v>1</v>
      </c>
      <c r="BT130">
        <v>1</v>
      </c>
      <c r="BU130">
        <v>1</v>
      </c>
      <c r="BV130">
        <v>1</v>
      </c>
      <c r="BW130">
        <v>1</v>
      </c>
      <c r="BX130">
        <v>1</v>
      </c>
      <c r="BY130" t="s">
        <v>3</v>
      </c>
      <c r="BZ130">
        <v>70</v>
      </c>
      <c r="CA130">
        <v>10</v>
      </c>
      <c r="CB130" t="s">
        <v>3</v>
      </c>
      <c r="CE130">
        <v>0</v>
      </c>
      <c r="CF130">
        <v>0</v>
      </c>
      <c r="CG130">
        <v>0</v>
      </c>
      <c r="CM130">
        <v>0</v>
      </c>
      <c r="CN130" t="s">
        <v>3</v>
      </c>
      <c r="CO130">
        <v>0</v>
      </c>
      <c r="CP130">
        <f t="shared" si="108"/>
        <v>130856.43</v>
      </c>
      <c r="CQ130">
        <f t="shared" si="109"/>
        <v>1896.47</v>
      </c>
      <c r="CR130">
        <f t="shared" si="110"/>
        <v>0</v>
      </c>
      <c r="CS130">
        <f t="shared" si="111"/>
        <v>0</v>
      </c>
      <c r="CT130">
        <f t="shared" si="112"/>
        <v>0</v>
      </c>
      <c r="CU130">
        <f t="shared" si="113"/>
        <v>0</v>
      </c>
      <c r="CV130">
        <f t="shared" si="114"/>
        <v>0</v>
      </c>
      <c r="CW130">
        <f t="shared" si="115"/>
        <v>0</v>
      </c>
      <c r="CX130">
        <f t="shared" si="116"/>
        <v>0</v>
      </c>
      <c r="CY130">
        <f t="shared" si="117"/>
        <v>0</v>
      </c>
      <c r="CZ130">
        <f t="shared" si="118"/>
        <v>0</v>
      </c>
      <c r="DC130" t="s">
        <v>3</v>
      </c>
      <c r="DD130" t="s">
        <v>3</v>
      </c>
      <c r="DE130" t="s">
        <v>3</v>
      </c>
      <c r="DF130" t="s">
        <v>3</v>
      </c>
      <c r="DG130" t="s">
        <v>3</v>
      </c>
      <c r="DH130" t="s">
        <v>3</v>
      </c>
      <c r="DI130" t="s">
        <v>3</v>
      </c>
      <c r="DJ130" t="s">
        <v>3</v>
      </c>
      <c r="DK130" t="s">
        <v>3</v>
      </c>
      <c r="DL130" t="s">
        <v>3</v>
      </c>
      <c r="DM130" t="s">
        <v>3</v>
      </c>
      <c r="DN130">
        <v>0</v>
      </c>
      <c r="DO130">
        <v>0</v>
      </c>
      <c r="DP130">
        <v>1</v>
      </c>
      <c r="DQ130">
        <v>1</v>
      </c>
      <c r="DU130">
        <v>1003</v>
      </c>
      <c r="DV130" t="s">
        <v>33</v>
      </c>
      <c r="DW130" t="s">
        <v>33</v>
      </c>
      <c r="DX130">
        <v>1</v>
      </c>
      <c r="DZ130" t="s">
        <v>3</v>
      </c>
      <c r="EA130" t="s">
        <v>3</v>
      </c>
      <c r="EB130" t="s">
        <v>3</v>
      </c>
      <c r="EC130" t="s">
        <v>3</v>
      </c>
      <c r="EE130">
        <v>77790599</v>
      </c>
      <c r="EF130">
        <v>1</v>
      </c>
      <c r="EG130" t="s">
        <v>23</v>
      </c>
      <c r="EH130">
        <v>0</v>
      </c>
      <c r="EI130" t="s">
        <v>3</v>
      </c>
      <c r="EJ130">
        <v>4</v>
      </c>
      <c r="EK130">
        <v>0</v>
      </c>
      <c r="EL130" t="s">
        <v>24</v>
      </c>
      <c r="EM130" t="s">
        <v>25</v>
      </c>
      <c r="EO130" t="s">
        <v>3</v>
      </c>
      <c r="EQ130">
        <v>0</v>
      </c>
      <c r="ER130">
        <v>1896.47</v>
      </c>
      <c r="ES130">
        <v>1896.47</v>
      </c>
      <c r="ET130">
        <v>0</v>
      </c>
      <c r="EU130">
        <v>0</v>
      </c>
      <c r="EV130">
        <v>0</v>
      </c>
      <c r="EW130">
        <v>0</v>
      </c>
      <c r="EX130">
        <v>0</v>
      </c>
      <c r="FQ130">
        <v>0</v>
      </c>
      <c r="FR130">
        <f t="shared" si="119"/>
        <v>0</v>
      </c>
      <c r="FS130">
        <v>0</v>
      </c>
      <c r="FX130">
        <v>70</v>
      </c>
      <c r="FY130">
        <v>10</v>
      </c>
      <c r="GA130" t="s">
        <v>3</v>
      </c>
      <c r="GD130">
        <v>0</v>
      </c>
      <c r="GF130">
        <v>-514763295</v>
      </c>
      <c r="GG130">
        <v>2</v>
      </c>
      <c r="GH130">
        <v>1</v>
      </c>
      <c r="GI130">
        <v>-2</v>
      </c>
      <c r="GJ130">
        <v>0</v>
      </c>
      <c r="GK130">
        <f>ROUND(R130*(R12)/100,2)</f>
        <v>0</v>
      </c>
      <c r="GL130">
        <f t="shared" si="120"/>
        <v>0</v>
      </c>
      <c r="GM130">
        <f t="shared" si="121"/>
        <v>130856.43</v>
      </c>
      <c r="GN130">
        <f t="shared" si="122"/>
        <v>0</v>
      </c>
      <c r="GO130">
        <f t="shared" si="123"/>
        <v>0</v>
      </c>
      <c r="GP130">
        <f t="shared" si="124"/>
        <v>130856.43</v>
      </c>
      <c r="GR130">
        <v>0</v>
      </c>
      <c r="GS130">
        <v>3</v>
      </c>
      <c r="GT130">
        <v>0</v>
      </c>
      <c r="GU130" t="s">
        <v>3</v>
      </c>
      <c r="GV130">
        <f t="shared" si="125"/>
        <v>0</v>
      </c>
      <c r="GW130">
        <v>1</v>
      </c>
      <c r="GX130">
        <f t="shared" si="126"/>
        <v>0</v>
      </c>
      <c r="HA130">
        <v>0</v>
      </c>
      <c r="HB130">
        <v>0</v>
      </c>
      <c r="HC130">
        <f t="shared" si="127"/>
        <v>0</v>
      </c>
      <c r="HE130" t="s">
        <v>3</v>
      </c>
      <c r="HF130" t="s">
        <v>3</v>
      </c>
      <c r="HM130" t="s">
        <v>3</v>
      </c>
      <c r="HN130" t="s">
        <v>3</v>
      </c>
      <c r="HO130" t="s">
        <v>3</v>
      </c>
      <c r="HP130" t="s">
        <v>3</v>
      </c>
      <c r="HQ130" t="s">
        <v>3</v>
      </c>
      <c r="IK130">
        <v>0</v>
      </c>
    </row>
    <row r="131" spans="1:245" x14ac:dyDescent="0.2">
      <c r="A131">
        <v>18</v>
      </c>
      <c r="B131">
        <v>1</v>
      </c>
      <c r="C131">
        <v>82</v>
      </c>
      <c r="E131" t="s">
        <v>181</v>
      </c>
      <c r="F131" t="s">
        <v>182</v>
      </c>
      <c r="G131" t="s">
        <v>183</v>
      </c>
      <c r="H131" t="s">
        <v>33</v>
      </c>
      <c r="I131">
        <f>I129*J131</f>
        <v>-69</v>
      </c>
      <c r="J131">
        <v>-100.00000000000001</v>
      </c>
      <c r="K131">
        <v>-100</v>
      </c>
      <c r="O131">
        <f t="shared" si="88"/>
        <v>-51951.48</v>
      </c>
      <c r="P131">
        <f t="shared" si="89"/>
        <v>-51951.48</v>
      </c>
      <c r="Q131">
        <f t="shared" si="90"/>
        <v>0</v>
      </c>
      <c r="R131">
        <f t="shared" si="91"/>
        <v>0</v>
      </c>
      <c r="S131">
        <f t="shared" si="92"/>
        <v>0</v>
      </c>
      <c r="T131">
        <f t="shared" si="93"/>
        <v>0</v>
      </c>
      <c r="U131">
        <f t="shared" si="94"/>
        <v>0</v>
      </c>
      <c r="V131">
        <f t="shared" si="95"/>
        <v>0</v>
      </c>
      <c r="W131">
        <f t="shared" si="96"/>
        <v>0</v>
      </c>
      <c r="X131">
        <f t="shared" si="97"/>
        <v>0</v>
      </c>
      <c r="Y131">
        <f t="shared" si="98"/>
        <v>0</v>
      </c>
      <c r="AA131">
        <v>78131199</v>
      </c>
      <c r="AB131">
        <f t="shared" si="99"/>
        <v>752.92</v>
      </c>
      <c r="AC131">
        <f t="shared" si="100"/>
        <v>752.92</v>
      </c>
      <c r="AD131">
        <f t="shared" si="101"/>
        <v>0</v>
      </c>
      <c r="AE131">
        <f t="shared" si="102"/>
        <v>0</v>
      </c>
      <c r="AF131">
        <f t="shared" si="103"/>
        <v>0</v>
      </c>
      <c r="AG131">
        <f t="shared" si="104"/>
        <v>0</v>
      </c>
      <c r="AH131">
        <f t="shared" si="105"/>
        <v>0</v>
      </c>
      <c r="AI131">
        <f t="shared" si="106"/>
        <v>0</v>
      </c>
      <c r="AJ131">
        <f t="shared" si="107"/>
        <v>0</v>
      </c>
      <c r="AK131">
        <v>752.92</v>
      </c>
      <c r="AL131">
        <v>752.92</v>
      </c>
      <c r="AM131">
        <v>0</v>
      </c>
      <c r="AN131">
        <v>0</v>
      </c>
      <c r="AO131">
        <v>0</v>
      </c>
      <c r="AP131">
        <v>0</v>
      </c>
      <c r="AQ131">
        <v>0</v>
      </c>
      <c r="AR131">
        <v>0</v>
      </c>
      <c r="AS131">
        <v>0</v>
      </c>
      <c r="AT131">
        <v>70</v>
      </c>
      <c r="AU131">
        <v>10</v>
      </c>
      <c r="AV131">
        <v>1</v>
      </c>
      <c r="AW131">
        <v>1</v>
      </c>
      <c r="AZ131">
        <v>1</v>
      </c>
      <c r="BA131">
        <v>1</v>
      </c>
      <c r="BB131">
        <v>1</v>
      </c>
      <c r="BC131">
        <v>1</v>
      </c>
      <c r="BD131" t="s">
        <v>3</v>
      </c>
      <c r="BE131" t="s">
        <v>3</v>
      </c>
      <c r="BF131" t="s">
        <v>3</v>
      </c>
      <c r="BG131" t="s">
        <v>3</v>
      </c>
      <c r="BH131">
        <v>3</v>
      </c>
      <c r="BI131">
        <v>4</v>
      </c>
      <c r="BJ131" t="s">
        <v>184</v>
      </c>
      <c r="BM131">
        <v>0</v>
      </c>
      <c r="BN131">
        <v>0</v>
      </c>
      <c r="BO131" t="s">
        <v>3</v>
      </c>
      <c r="BP131">
        <v>0</v>
      </c>
      <c r="BQ131">
        <v>1</v>
      </c>
      <c r="BR131">
        <v>1</v>
      </c>
      <c r="BS131">
        <v>1</v>
      </c>
      <c r="BT131">
        <v>1</v>
      </c>
      <c r="BU131">
        <v>1</v>
      </c>
      <c r="BV131">
        <v>1</v>
      </c>
      <c r="BW131">
        <v>1</v>
      </c>
      <c r="BX131">
        <v>1</v>
      </c>
      <c r="BY131" t="s">
        <v>3</v>
      </c>
      <c r="BZ131">
        <v>70</v>
      </c>
      <c r="CA131">
        <v>10</v>
      </c>
      <c r="CB131" t="s">
        <v>3</v>
      </c>
      <c r="CE131">
        <v>0</v>
      </c>
      <c r="CF131">
        <v>0</v>
      </c>
      <c r="CG131">
        <v>0</v>
      </c>
      <c r="CM131">
        <v>0</v>
      </c>
      <c r="CN131" t="s">
        <v>3</v>
      </c>
      <c r="CO131">
        <v>0</v>
      </c>
      <c r="CP131">
        <f t="shared" si="108"/>
        <v>-51951.48</v>
      </c>
      <c r="CQ131">
        <f t="shared" si="109"/>
        <v>752.92</v>
      </c>
      <c r="CR131">
        <f t="shared" si="110"/>
        <v>0</v>
      </c>
      <c r="CS131">
        <f t="shared" si="111"/>
        <v>0</v>
      </c>
      <c r="CT131">
        <f t="shared" si="112"/>
        <v>0</v>
      </c>
      <c r="CU131">
        <f t="shared" si="113"/>
        <v>0</v>
      </c>
      <c r="CV131">
        <f t="shared" si="114"/>
        <v>0</v>
      </c>
      <c r="CW131">
        <f t="shared" si="115"/>
        <v>0</v>
      </c>
      <c r="CX131">
        <f t="shared" si="116"/>
        <v>0</v>
      </c>
      <c r="CY131">
        <f t="shared" si="117"/>
        <v>0</v>
      </c>
      <c r="CZ131">
        <f t="shared" si="118"/>
        <v>0</v>
      </c>
      <c r="DC131" t="s">
        <v>3</v>
      </c>
      <c r="DD131" t="s">
        <v>3</v>
      </c>
      <c r="DE131" t="s">
        <v>3</v>
      </c>
      <c r="DF131" t="s">
        <v>3</v>
      </c>
      <c r="DG131" t="s">
        <v>3</v>
      </c>
      <c r="DH131" t="s">
        <v>3</v>
      </c>
      <c r="DI131" t="s">
        <v>3</v>
      </c>
      <c r="DJ131" t="s">
        <v>3</v>
      </c>
      <c r="DK131" t="s">
        <v>3</v>
      </c>
      <c r="DL131" t="s">
        <v>3</v>
      </c>
      <c r="DM131" t="s">
        <v>3</v>
      </c>
      <c r="DN131">
        <v>0</v>
      </c>
      <c r="DO131">
        <v>0</v>
      </c>
      <c r="DP131">
        <v>1</v>
      </c>
      <c r="DQ131">
        <v>1</v>
      </c>
      <c r="DU131">
        <v>1003</v>
      </c>
      <c r="DV131" t="s">
        <v>33</v>
      </c>
      <c r="DW131" t="s">
        <v>33</v>
      </c>
      <c r="DX131">
        <v>1</v>
      </c>
      <c r="DZ131" t="s">
        <v>3</v>
      </c>
      <c r="EA131" t="s">
        <v>3</v>
      </c>
      <c r="EB131" t="s">
        <v>3</v>
      </c>
      <c r="EC131" t="s">
        <v>3</v>
      </c>
      <c r="EE131">
        <v>77790599</v>
      </c>
      <c r="EF131">
        <v>1</v>
      </c>
      <c r="EG131" t="s">
        <v>23</v>
      </c>
      <c r="EH131">
        <v>0</v>
      </c>
      <c r="EI131" t="s">
        <v>3</v>
      </c>
      <c r="EJ131">
        <v>4</v>
      </c>
      <c r="EK131">
        <v>0</v>
      </c>
      <c r="EL131" t="s">
        <v>24</v>
      </c>
      <c r="EM131" t="s">
        <v>25</v>
      </c>
      <c r="EO131" t="s">
        <v>3</v>
      </c>
      <c r="EQ131">
        <v>0</v>
      </c>
      <c r="ER131">
        <v>752.92</v>
      </c>
      <c r="ES131">
        <v>752.92</v>
      </c>
      <c r="ET131">
        <v>0</v>
      </c>
      <c r="EU131">
        <v>0</v>
      </c>
      <c r="EV131">
        <v>0</v>
      </c>
      <c r="EW131">
        <v>0</v>
      </c>
      <c r="EX131">
        <v>0</v>
      </c>
      <c r="FQ131">
        <v>0</v>
      </c>
      <c r="FR131">
        <f t="shared" si="119"/>
        <v>0</v>
      </c>
      <c r="FS131">
        <v>0</v>
      </c>
      <c r="FX131">
        <v>70</v>
      </c>
      <c r="FY131">
        <v>10</v>
      </c>
      <c r="GA131" t="s">
        <v>3</v>
      </c>
      <c r="GD131">
        <v>0</v>
      </c>
      <c r="GF131">
        <v>234213022</v>
      </c>
      <c r="GG131">
        <v>2</v>
      </c>
      <c r="GH131">
        <v>1</v>
      </c>
      <c r="GI131">
        <v>-2</v>
      </c>
      <c r="GJ131">
        <v>0</v>
      </c>
      <c r="GK131">
        <f>ROUND(R131*(R12)/100,2)</f>
        <v>0</v>
      </c>
      <c r="GL131">
        <f t="shared" si="120"/>
        <v>0</v>
      </c>
      <c r="GM131">
        <f t="shared" si="121"/>
        <v>-51951.48</v>
      </c>
      <c r="GN131">
        <f t="shared" si="122"/>
        <v>0</v>
      </c>
      <c r="GO131">
        <f t="shared" si="123"/>
        <v>0</v>
      </c>
      <c r="GP131">
        <f t="shared" si="124"/>
        <v>-51951.48</v>
      </c>
      <c r="GR131">
        <v>0</v>
      </c>
      <c r="GS131">
        <v>3</v>
      </c>
      <c r="GT131">
        <v>0</v>
      </c>
      <c r="GU131" t="s">
        <v>3</v>
      </c>
      <c r="GV131">
        <f t="shared" si="125"/>
        <v>0</v>
      </c>
      <c r="GW131">
        <v>1</v>
      </c>
      <c r="GX131">
        <f t="shared" si="126"/>
        <v>0</v>
      </c>
      <c r="HA131">
        <v>0</v>
      </c>
      <c r="HB131">
        <v>0</v>
      </c>
      <c r="HC131">
        <f t="shared" si="127"/>
        <v>0</v>
      </c>
      <c r="HE131" t="s">
        <v>3</v>
      </c>
      <c r="HF131" t="s">
        <v>3</v>
      </c>
      <c r="HM131" t="s">
        <v>3</v>
      </c>
      <c r="HN131" t="s">
        <v>3</v>
      </c>
      <c r="HO131" t="s">
        <v>3</v>
      </c>
      <c r="HP131" t="s">
        <v>3</v>
      </c>
      <c r="HQ131" t="s">
        <v>3</v>
      </c>
      <c r="IK131">
        <v>0</v>
      </c>
    </row>
    <row r="132" spans="1:245" x14ac:dyDescent="0.2">
      <c r="A132">
        <v>17</v>
      </c>
      <c r="B132">
        <v>1</v>
      </c>
      <c r="C132">
        <f>ROW(SmtRes!A99)</f>
        <v>99</v>
      </c>
      <c r="D132">
        <f>ROW(EtalonRes!A93)</f>
        <v>93</v>
      </c>
      <c r="E132" t="s">
        <v>185</v>
      </c>
      <c r="F132" t="s">
        <v>186</v>
      </c>
      <c r="G132" t="s">
        <v>187</v>
      </c>
      <c r="H132" t="s">
        <v>19</v>
      </c>
      <c r="I132">
        <v>0</v>
      </c>
      <c r="J132">
        <v>0</v>
      </c>
      <c r="K132">
        <v>0</v>
      </c>
      <c r="O132">
        <f t="shared" si="88"/>
        <v>0</v>
      </c>
      <c r="P132">
        <f t="shared" si="89"/>
        <v>0</v>
      </c>
      <c r="Q132">
        <f t="shared" si="90"/>
        <v>0</v>
      </c>
      <c r="R132">
        <f t="shared" si="91"/>
        <v>0</v>
      </c>
      <c r="S132">
        <f t="shared" si="92"/>
        <v>0</v>
      </c>
      <c r="T132">
        <f t="shared" si="93"/>
        <v>0</v>
      </c>
      <c r="U132">
        <f t="shared" si="94"/>
        <v>0</v>
      </c>
      <c r="V132">
        <f t="shared" si="95"/>
        <v>0</v>
      </c>
      <c r="W132">
        <f t="shared" si="96"/>
        <v>0</v>
      </c>
      <c r="X132">
        <f t="shared" si="97"/>
        <v>0</v>
      </c>
      <c r="Y132">
        <f t="shared" si="98"/>
        <v>0</v>
      </c>
      <c r="AA132">
        <v>78131199</v>
      </c>
      <c r="AB132">
        <f t="shared" si="99"/>
        <v>103495.05</v>
      </c>
      <c r="AC132">
        <f t="shared" si="100"/>
        <v>86531.82</v>
      </c>
      <c r="AD132">
        <f t="shared" si="101"/>
        <v>137.80000000000001</v>
      </c>
      <c r="AE132">
        <f t="shared" si="102"/>
        <v>0.17</v>
      </c>
      <c r="AF132">
        <f t="shared" si="103"/>
        <v>16825.43</v>
      </c>
      <c r="AG132">
        <f t="shared" si="104"/>
        <v>0</v>
      </c>
      <c r="AH132">
        <f t="shared" si="105"/>
        <v>49.8</v>
      </c>
      <c r="AI132">
        <f t="shared" si="106"/>
        <v>0</v>
      </c>
      <c r="AJ132">
        <f t="shared" si="107"/>
        <v>0</v>
      </c>
      <c r="AK132">
        <v>103495.05</v>
      </c>
      <c r="AL132">
        <v>86531.82</v>
      </c>
      <c r="AM132">
        <v>137.80000000000001</v>
      </c>
      <c r="AN132">
        <v>0.17</v>
      </c>
      <c r="AO132">
        <v>16825.43</v>
      </c>
      <c r="AP132">
        <v>0</v>
      </c>
      <c r="AQ132">
        <v>49.8</v>
      </c>
      <c r="AR132">
        <v>0</v>
      </c>
      <c r="AS132">
        <v>0</v>
      </c>
      <c r="AT132">
        <v>70</v>
      </c>
      <c r="AU132">
        <v>10</v>
      </c>
      <c r="AV132">
        <v>1</v>
      </c>
      <c r="AW132">
        <v>1</v>
      </c>
      <c r="AZ132">
        <v>1</v>
      </c>
      <c r="BA132">
        <v>1</v>
      </c>
      <c r="BB132">
        <v>1</v>
      </c>
      <c r="BC132">
        <v>1</v>
      </c>
      <c r="BD132" t="s">
        <v>3</v>
      </c>
      <c r="BE132" t="s">
        <v>3</v>
      </c>
      <c r="BF132" t="s">
        <v>3</v>
      </c>
      <c r="BG132" t="s">
        <v>3</v>
      </c>
      <c r="BH132">
        <v>0</v>
      </c>
      <c r="BI132">
        <v>4</v>
      </c>
      <c r="BJ132" t="s">
        <v>188</v>
      </c>
      <c r="BM132">
        <v>0</v>
      </c>
      <c r="BN132">
        <v>75457919</v>
      </c>
      <c r="BO132" t="s">
        <v>3</v>
      </c>
      <c r="BP132">
        <v>0</v>
      </c>
      <c r="BQ132">
        <v>1</v>
      </c>
      <c r="BR132">
        <v>0</v>
      </c>
      <c r="BS132">
        <v>1</v>
      </c>
      <c r="BT132">
        <v>1</v>
      </c>
      <c r="BU132">
        <v>1</v>
      </c>
      <c r="BV132">
        <v>1</v>
      </c>
      <c r="BW132">
        <v>1</v>
      </c>
      <c r="BX132">
        <v>1</v>
      </c>
      <c r="BY132" t="s">
        <v>3</v>
      </c>
      <c r="BZ132">
        <v>70</v>
      </c>
      <c r="CA132">
        <v>10</v>
      </c>
      <c r="CB132" t="s">
        <v>3</v>
      </c>
      <c r="CE132">
        <v>0</v>
      </c>
      <c r="CF132">
        <v>0</v>
      </c>
      <c r="CG132">
        <v>0</v>
      </c>
      <c r="CM132">
        <v>0</v>
      </c>
      <c r="CN132" t="s">
        <v>3</v>
      </c>
      <c r="CO132">
        <v>0</v>
      </c>
      <c r="CP132">
        <f t="shared" si="108"/>
        <v>0</v>
      </c>
      <c r="CQ132">
        <f t="shared" si="109"/>
        <v>86531.82</v>
      </c>
      <c r="CR132">
        <f t="shared" si="110"/>
        <v>137.80000000000001</v>
      </c>
      <c r="CS132">
        <f t="shared" si="111"/>
        <v>0.17</v>
      </c>
      <c r="CT132">
        <f t="shared" si="112"/>
        <v>16825.43</v>
      </c>
      <c r="CU132">
        <f t="shared" si="113"/>
        <v>0</v>
      </c>
      <c r="CV132">
        <f t="shared" si="114"/>
        <v>49.8</v>
      </c>
      <c r="CW132">
        <f t="shared" si="115"/>
        <v>0</v>
      </c>
      <c r="CX132">
        <f t="shared" si="116"/>
        <v>0</v>
      </c>
      <c r="CY132">
        <f t="shared" si="117"/>
        <v>0</v>
      </c>
      <c r="CZ132">
        <f t="shared" si="118"/>
        <v>0</v>
      </c>
      <c r="DC132" t="s">
        <v>3</v>
      </c>
      <c r="DD132" t="s">
        <v>3</v>
      </c>
      <c r="DE132" t="s">
        <v>3</v>
      </c>
      <c r="DF132" t="s">
        <v>3</v>
      </c>
      <c r="DG132" t="s">
        <v>3</v>
      </c>
      <c r="DH132" t="s">
        <v>3</v>
      </c>
      <c r="DI132" t="s">
        <v>3</v>
      </c>
      <c r="DJ132" t="s">
        <v>3</v>
      </c>
      <c r="DK132" t="s">
        <v>3</v>
      </c>
      <c r="DL132" t="s">
        <v>3</v>
      </c>
      <c r="DM132" t="s">
        <v>3</v>
      </c>
      <c r="DN132">
        <v>0</v>
      </c>
      <c r="DO132">
        <v>0</v>
      </c>
      <c r="DP132">
        <v>1</v>
      </c>
      <c r="DQ132">
        <v>1</v>
      </c>
      <c r="DU132">
        <v>1003</v>
      </c>
      <c r="DV132" t="s">
        <v>19</v>
      </c>
      <c r="DW132" t="s">
        <v>19</v>
      </c>
      <c r="DX132">
        <v>100</v>
      </c>
      <c r="DZ132" t="s">
        <v>3</v>
      </c>
      <c r="EA132" t="s">
        <v>3</v>
      </c>
      <c r="EB132" t="s">
        <v>3</v>
      </c>
      <c r="EC132" t="s">
        <v>3</v>
      </c>
      <c r="EE132">
        <v>77790599</v>
      </c>
      <c r="EF132">
        <v>1</v>
      </c>
      <c r="EG132" t="s">
        <v>23</v>
      </c>
      <c r="EH132">
        <v>0</v>
      </c>
      <c r="EI132" t="s">
        <v>3</v>
      </c>
      <c r="EJ132">
        <v>4</v>
      </c>
      <c r="EK132">
        <v>0</v>
      </c>
      <c r="EL132" t="s">
        <v>24</v>
      </c>
      <c r="EM132" t="s">
        <v>25</v>
      </c>
      <c r="EO132" t="s">
        <v>3</v>
      </c>
      <c r="EQ132">
        <v>131072</v>
      </c>
      <c r="ER132">
        <v>103495.05</v>
      </c>
      <c r="ES132">
        <v>86531.82</v>
      </c>
      <c r="ET132">
        <v>137.80000000000001</v>
      </c>
      <c r="EU132">
        <v>0.17</v>
      </c>
      <c r="EV132">
        <v>16825.43</v>
      </c>
      <c r="EW132">
        <v>49.8</v>
      </c>
      <c r="EX132">
        <v>0</v>
      </c>
      <c r="EY132">
        <v>0</v>
      </c>
      <c r="FQ132">
        <v>0</v>
      </c>
      <c r="FR132">
        <f t="shared" si="119"/>
        <v>0</v>
      </c>
      <c r="FS132">
        <v>0</v>
      </c>
      <c r="FX132">
        <v>70</v>
      </c>
      <c r="FY132">
        <v>10</v>
      </c>
      <c r="GA132" t="s">
        <v>3</v>
      </c>
      <c r="GD132">
        <v>0</v>
      </c>
      <c r="GF132">
        <v>554102852</v>
      </c>
      <c r="GG132">
        <v>2</v>
      </c>
      <c r="GH132">
        <v>0</v>
      </c>
      <c r="GI132">
        <v>-2</v>
      </c>
      <c r="GJ132">
        <v>0</v>
      </c>
      <c r="GK132">
        <f>ROUND(R132*(R12)/100,2)</f>
        <v>0</v>
      </c>
      <c r="GL132">
        <f t="shared" si="120"/>
        <v>0</v>
      </c>
      <c r="GM132">
        <f t="shared" si="121"/>
        <v>0</v>
      </c>
      <c r="GN132">
        <f t="shared" si="122"/>
        <v>0</v>
      </c>
      <c r="GO132">
        <f t="shared" si="123"/>
        <v>0</v>
      </c>
      <c r="GP132">
        <f t="shared" si="124"/>
        <v>0</v>
      </c>
      <c r="GR132">
        <v>0</v>
      </c>
      <c r="GS132">
        <v>7</v>
      </c>
      <c r="GT132">
        <v>0</v>
      </c>
      <c r="GU132" t="s">
        <v>3</v>
      </c>
      <c r="GV132">
        <f t="shared" si="125"/>
        <v>0</v>
      </c>
      <c r="GW132">
        <v>1</v>
      </c>
      <c r="GX132">
        <f t="shared" si="126"/>
        <v>0</v>
      </c>
      <c r="HA132">
        <v>0</v>
      </c>
      <c r="HB132">
        <v>0</v>
      </c>
      <c r="HC132">
        <f t="shared" si="127"/>
        <v>0</v>
      </c>
      <c r="HE132" t="s">
        <v>3</v>
      </c>
      <c r="HF132" t="s">
        <v>3</v>
      </c>
      <c r="HM132" t="s">
        <v>3</v>
      </c>
      <c r="HN132" t="s">
        <v>3</v>
      </c>
      <c r="HO132" t="s">
        <v>3</v>
      </c>
      <c r="HP132" t="s">
        <v>3</v>
      </c>
      <c r="HQ132" t="s">
        <v>3</v>
      </c>
      <c r="IK132">
        <v>0</v>
      </c>
    </row>
    <row r="133" spans="1:245" x14ac:dyDescent="0.2">
      <c r="A133">
        <v>17</v>
      </c>
      <c r="B133">
        <v>1</v>
      </c>
      <c r="C133">
        <f>ROW(SmtRes!A109)</f>
        <v>109</v>
      </c>
      <c r="D133">
        <f>ROW(EtalonRes!A103)</f>
        <v>103</v>
      </c>
      <c r="E133" t="s">
        <v>189</v>
      </c>
      <c r="F133" t="s">
        <v>190</v>
      </c>
      <c r="G133" t="s">
        <v>191</v>
      </c>
      <c r="H133" t="s">
        <v>19</v>
      </c>
      <c r="I133">
        <v>0</v>
      </c>
      <c r="J133">
        <v>0</v>
      </c>
      <c r="K133">
        <v>0</v>
      </c>
      <c r="O133">
        <f t="shared" si="88"/>
        <v>0</v>
      </c>
      <c r="P133">
        <f t="shared" si="89"/>
        <v>0</v>
      </c>
      <c r="Q133">
        <f t="shared" si="90"/>
        <v>0</v>
      </c>
      <c r="R133">
        <f t="shared" si="91"/>
        <v>0</v>
      </c>
      <c r="S133">
        <f t="shared" si="92"/>
        <v>0</v>
      </c>
      <c r="T133">
        <f t="shared" si="93"/>
        <v>0</v>
      </c>
      <c r="U133">
        <f t="shared" si="94"/>
        <v>0</v>
      </c>
      <c r="V133">
        <f t="shared" si="95"/>
        <v>0</v>
      </c>
      <c r="W133">
        <f t="shared" si="96"/>
        <v>0</v>
      </c>
      <c r="X133">
        <f t="shared" si="97"/>
        <v>0</v>
      </c>
      <c r="Y133">
        <f t="shared" si="98"/>
        <v>0</v>
      </c>
      <c r="AA133">
        <v>78131199</v>
      </c>
      <c r="AB133">
        <f t="shared" si="99"/>
        <v>175998.54</v>
      </c>
      <c r="AC133">
        <f t="shared" si="100"/>
        <v>155695.97</v>
      </c>
      <c r="AD133">
        <f t="shared" si="101"/>
        <v>286.06</v>
      </c>
      <c r="AE133">
        <f t="shared" si="102"/>
        <v>0.35</v>
      </c>
      <c r="AF133">
        <f t="shared" si="103"/>
        <v>20016.509999999998</v>
      </c>
      <c r="AG133">
        <f t="shared" si="104"/>
        <v>0</v>
      </c>
      <c r="AH133">
        <f t="shared" si="105"/>
        <v>63.82</v>
      </c>
      <c r="AI133">
        <f t="shared" si="106"/>
        <v>0</v>
      </c>
      <c r="AJ133">
        <f t="shared" si="107"/>
        <v>0</v>
      </c>
      <c r="AK133">
        <v>175998.54</v>
      </c>
      <c r="AL133">
        <v>155695.97</v>
      </c>
      <c r="AM133">
        <v>286.06</v>
      </c>
      <c r="AN133">
        <v>0.35</v>
      </c>
      <c r="AO133">
        <v>20016.509999999998</v>
      </c>
      <c r="AP133">
        <v>0</v>
      </c>
      <c r="AQ133">
        <v>63.82</v>
      </c>
      <c r="AR133">
        <v>0</v>
      </c>
      <c r="AS133">
        <v>0</v>
      </c>
      <c r="AT133">
        <v>70</v>
      </c>
      <c r="AU133">
        <v>10</v>
      </c>
      <c r="AV133">
        <v>1</v>
      </c>
      <c r="AW133">
        <v>1</v>
      </c>
      <c r="AZ133">
        <v>1</v>
      </c>
      <c r="BA133">
        <v>1</v>
      </c>
      <c r="BB133">
        <v>1</v>
      </c>
      <c r="BC133">
        <v>1</v>
      </c>
      <c r="BD133" t="s">
        <v>3</v>
      </c>
      <c r="BE133" t="s">
        <v>3</v>
      </c>
      <c r="BF133" t="s">
        <v>3</v>
      </c>
      <c r="BG133" t="s">
        <v>3</v>
      </c>
      <c r="BH133">
        <v>0</v>
      </c>
      <c r="BI133">
        <v>4</v>
      </c>
      <c r="BJ133" t="s">
        <v>192</v>
      </c>
      <c r="BM133">
        <v>0</v>
      </c>
      <c r="BN133">
        <v>75457919</v>
      </c>
      <c r="BO133" t="s">
        <v>3</v>
      </c>
      <c r="BP133">
        <v>0</v>
      </c>
      <c r="BQ133">
        <v>1</v>
      </c>
      <c r="BR133">
        <v>0</v>
      </c>
      <c r="BS133">
        <v>1</v>
      </c>
      <c r="BT133">
        <v>1</v>
      </c>
      <c r="BU133">
        <v>1</v>
      </c>
      <c r="BV133">
        <v>1</v>
      </c>
      <c r="BW133">
        <v>1</v>
      </c>
      <c r="BX133">
        <v>1</v>
      </c>
      <c r="BY133" t="s">
        <v>3</v>
      </c>
      <c r="BZ133">
        <v>70</v>
      </c>
      <c r="CA133">
        <v>10</v>
      </c>
      <c r="CB133" t="s">
        <v>3</v>
      </c>
      <c r="CE133">
        <v>0</v>
      </c>
      <c r="CF133">
        <v>0</v>
      </c>
      <c r="CG133">
        <v>0</v>
      </c>
      <c r="CM133">
        <v>0</v>
      </c>
      <c r="CN133" t="s">
        <v>3</v>
      </c>
      <c r="CO133">
        <v>0</v>
      </c>
      <c r="CP133">
        <f t="shared" si="108"/>
        <v>0</v>
      </c>
      <c r="CQ133">
        <f t="shared" si="109"/>
        <v>155695.97</v>
      </c>
      <c r="CR133">
        <f t="shared" si="110"/>
        <v>286.06</v>
      </c>
      <c r="CS133">
        <f t="shared" si="111"/>
        <v>0.35</v>
      </c>
      <c r="CT133">
        <f t="shared" si="112"/>
        <v>20016.509999999998</v>
      </c>
      <c r="CU133">
        <f t="shared" si="113"/>
        <v>0</v>
      </c>
      <c r="CV133">
        <f t="shared" si="114"/>
        <v>63.82</v>
      </c>
      <c r="CW133">
        <f t="shared" si="115"/>
        <v>0</v>
      </c>
      <c r="CX133">
        <f t="shared" si="116"/>
        <v>0</v>
      </c>
      <c r="CY133">
        <f t="shared" si="117"/>
        <v>0</v>
      </c>
      <c r="CZ133">
        <f t="shared" si="118"/>
        <v>0</v>
      </c>
      <c r="DC133" t="s">
        <v>3</v>
      </c>
      <c r="DD133" t="s">
        <v>3</v>
      </c>
      <c r="DE133" t="s">
        <v>3</v>
      </c>
      <c r="DF133" t="s">
        <v>3</v>
      </c>
      <c r="DG133" t="s">
        <v>3</v>
      </c>
      <c r="DH133" t="s">
        <v>3</v>
      </c>
      <c r="DI133" t="s">
        <v>3</v>
      </c>
      <c r="DJ133" t="s">
        <v>3</v>
      </c>
      <c r="DK133" t="s">
        <v>3</v>
      </c>
      <c r="DL133" t="s">
        <v>3</v>
      </c>
      <c r="DM133" t="s">
        <v>3</v>
      </c>
      <c r="DN133">
        <v>0</v>
      </c>
      <c r="DO133">
        <v>0</v>
      </c>
      <c r="DP133">
        <v>1</v>
      </c>
      <c r="DQ133">
        <v>1</v>
      </c>
      <c r="DU133">
        <v>1003</v>
      </c>
      <c r="DV133" t="s">
        <v>19</v>
      </c>
      <c r="DW133" t="s">
        <v>19</v>
      </c>
      <c r="DX133">
        <v>100</v>
      </c>
      <c r="DZ133" t="s">
        <v>3</v>
      </c>
      <c r="EA133" t="s">
        <v>3</v>
      </c>
      <c r="EB133" t="s">
        <v>3</v>
      </c>
      <c r="EC133" t="s">
        <v>3</v>
      </c>
      <c r="EE133">
        <v>77790599</v>
      </c>
      <c r="EF133">
        <v>1</v>
      </c>
      <c r="EG133" t="s">
        <v>23</v>
      </c>
      <c r="EH133">
        <v>0</v>
      </c>
      <c r="EI133" t="s">
        <v>3</v>
      </c>
      <c r="EJ133">
        <v>4</v>
      </c>
      <c r="EK133">
        <v>0</v>
      </c>
      <c r="EL133" t="s">
        <v>24</v>
      </c>
      <c r="EM133" t="s">
        <v>25</v>
      </c>
      <c r="EO133" t="s">
        <v>3</v>
      </c>
      <c r="EQ133">
        <v>131072</v>
      </c>
      <c r="ER133">
        <v>175998.54</v>
      </c>
      <c r="ES133">
        <v>155695.97</v>
      </c>
      <c r="ET133">
        <v>286.06</v>
      </c>
      <c r="EU133">
        <v>0.35</v>
      </c>
      <c r="EV133">
        <v>20016.509999999998</v>
      </c>
      <c r="EW133">
        <v>63.82</v>
      </c>
      <c r="EX133">
        <v>0</v>
      </c>
      <c r="EY133">
        <v>0</v>
      </c>
      <c r="FQ133">
        <v>0</v>
      </c>
      <c r="FR133">
        <f t="shared" si="119"/>
        <v>0</v>
      </c>
      <c r="FS133">
        <v>0</v>
      </c>
      <c r="FX133">
        <v>70</v>
      </c>
      <c r="FY133">
        <v>10</v>
      </c>
      <c r="GA133" t="s">
        <v>3</v>
      </c>
      <c r="GD133">
        <v>0</v>
      </c>
      <c r="GF133">
        <v>-1162021882</v>
      </c>
      <c r="GG133">
        <v>2</v>
      </c>
      <c r="GH133">
        <v>0</v>
      </c>
      <c r="GI133">
        <v>-2</v>
      </c>
      <c r="GJ133">
        <v>0</v>
      </c>
      <c r="GK133">
        <f>ROUND(R133*(R12)/100,2)</f>
        <v>0</v>
      </c>
      <c r="GL133">
        <f t="shared" si="120"/>
        <v>0</v>
      </c>
      <c r="GM133">
        <f t="shared" si="121"/>
        <v>0</v>
      </c>
      <c r="GN133">
        <f t="shared" si="122"/>
        <v>0</v>
      </c>
      <c r="GO133">
        <f t="shared" si="123"/>
        <v>0</v>
      </c>
      <c r="GP133">
        <f t="shared" si="124"/>
        <v>0</v>
      </c>
      <c r="GR133">
        <v>0</v>
      </c>
      <c r="GS133">
        <v>7</v>
      </c>
      <c r="GT133">
        <v>0</v>
      </c>
      <c r="GU133" t="s">
        <v>3</v>
      </c>
      <c r="GV133">
        <f t="shared" si="125"/>
        <v>0</v>
      </c>
      <c r="GW133">
        <v>1</v>
      </c>
      <c r="GX133">
        <f t="shared" si="126"/>
        <v>0</v>
      </c>
      <c r="HA133">
        <v>0</v>
      </c>
      <c r="HB133">
        <v>0</v>
      </c>
      <c r="HC133">
        <f t="shared" si="127"/>
        <v>0</v>
      </c>
      <c r="HE133" t="s">
        <v>3</v>
      </c>
      <c r="HF133" t="s">
        <v>3</v>
      </c>
      <c r="HM133" t="s">
        <v>3</v>
      </c>
      <c r="HN133" t="s">
        <v>3</v>
      </c>
      <c r="HO133" t="s">
        <v>3</v>
      </c>
      <c r="HP133" t="s">
        <v>3</v>
      </c>
      <c r="HQ133" t="s">
        <v>3</v>
      </c>
      <c r="IK133">
        <v>0</v>
      </c>
    </row>
    <row r="134" spans="1:245" x14ac:dyDescent="0.2">
      <c r="A134">
        <v>17</v>
      </c>
      <c r="B134">
        <v>1</v>
      </c>
      <c r="C134">
        <f>ROW(SmtRes!A115)</f>
        <v>115</v>
      </c>
      <c r="D134">
        <f>ROW(EtalonRes!A113)</f>
        <v>113</v>
      </c>
      <c r="E134" t="s">
        <v>193</v>
      </c>
      <c r="F134" t="s">
        <v>194</v>
      </c>
      <c r="G134" t="s">
        <v>195</v>
      </c>
      <c r="H134" t="s">
        <v>29</v>
      </c>
      <c r="I134">
        <v>12</v>
      </c>
      <c r="J134">
        <v>0</v>
      </c>
      <c r="K134">
        <v>12</v>
      </c>
      <c r="O134">
        <f t="shared" si="88"/>
        <v>75288.36</v>
      </c>
      <c r="P134">
        <f t="shared" si="89"/>
        <v>41061.480000000003</v>
      </c>
      <c r="Q134">
        <f t="shared" si="90"/>
        <v>283.68</v>
      </c>
      <c r="R134">
        <f t="shared" si="91"/>
        <v>3.36</v>
      </c>
      <c r="S134">
        <f t="shared" si="92"/>
        <v>33943.199999999997</v>
      </c>
      <c r="T134">
        <f t="shared" si="93"/>
        <v>0</v>
      </c>
      <c r="U134">
        <f t="shared" si="94"/>
        <v>77.88</v>
      </c>
      <c r="V134">
        <f t="shared" si="95"/>
        <v>0</v>
      </c>
      <c r="W134">
        <f t="shared" si="96"/>
        <v>0</v>
      </c>
      <c r="X134">
        <f t="shared" si="97"/>
        <v>23760.240000000002</v>
      </c>
      <c r="Y134">
        <f t="shared" si="98"/>
        <v>3394.32</v>
      </c>
      <c r="AA134">
        <v>78131199</v>
      </c>
      <c r="AB134">
        <f t="shared" si="99"/>
        <v>6274.03</v>
      </c>
      <c r="AC134">
        <f t="shared" si="100"/>
        <v>3421.79</v>
      </c>
      <c r="AD134">
        <f t="shared" si="101"/>
        <v>23.64</v>
      </c>
      <c r="AE134">
        <f t="shared" si="102"/>
        <v>0.28000000000000003</v>
      </c>
      <c r="AF134">
        <f t="shared" si="103"/>
        <v>2828.6</v>
      </c>
      <c r="AG134">
        <f t="shared" si="104"/>
        <v>0</v>
      </c>
      <c r="AH134">
        <f t="shared" si="105"/>
        <v>6.49</v>
      </c>
      <c r="AI134">
        <f t="shared" si="106"/>
        <v>0</v>
      </c>
      <c r="AJ134">
        <f t="shared" si="107"/>
        <v>0</v>
      </c>
      <c r="AK134">
        <v>6274.03</v>
      </c>
      <c r="AL134">
        <v>3421.79</v>
      </c>
      <c r="AM134">
        <v>23.64</v>
      </c>
      <c r="AN134">
        <v>0.28000000000000003</v>
      </c>
      <c r="AO134">
        <v>2828.6</v>
      </c>
      <c r="AP134">
        <v>0</v>
      </c>
      <c r="AQ134">
        <v>6.49</v>
      </c>
      <c r="AR134">
        <v>0</v>
      </c>
      <c r="AS134">
        <v>0</v>
      </c>
      <c r="AT134">
        <v>70</v>
      </c>
      <c r="AU134">
        <v>10</v>
      </c>
      <c r="AV134">
        <v>1</v>
      </c>
      <c r="AW134">
        <v>1</v>
      </c>
      <c r="AZ134">
        <v>1</v>
      </c>
      <c r="BA134">
        <v>1</v>
      </c>
      <c r="BB134">
        <v>1</v>
      </c>
      <c r="BC134">
        <v>1</v>
      </c>
      <c r="BD134" t="s">
        <v>3</v>
      </c>
      <c r="BE134" t="s">
        <v>3</v>
      </c>
      <c r="BF134" t="s">
        <v>3</v>
      </c>
      <c r="BG134" t="s">
        <v>3</v>
      </c>
      <c r="BH134">
        <v>0</v>
      </c>
      <c r="BI134">
        <v>4</v>
      </c>
      <c r="BJ134" t="s">
        <v>196</v>
      </c>
      <c r="BM134">
        <v>0</v>
      </c>
      <c r="BN134">
        <v>77790596</v>
      </c>
      <c r="BO134" t="s">
        <v>3</v>
      </c>
      <c r="BP134">
        <v>0</v>
      </c>
      <c r="BQ134">
        <v>1</v>
      </c>
      <c r="BR134">
        <v>0</v>
      </c>
      <c r="BS134">
        <v>1</v>
      </c>
      <c r="BT134">
        <v>1</v>
      </c>
      <c r="BU134">
        <v>1</v>
      </c>
      <c r="BV134">
        <v>1</v>
      </c>
      <c r="BW134">
        <v>1</v>
      </c>
      <c r="BX134">
        <v>1</v>
      </c>
      <c r="BY134" t="s">
        <v>3</v>
      </c>
      <c r="BZ134">
        <v>70</v>
      </c>
      <c r="CA134">
        <v>10</v>
      </c>
      <c r="CB134" t="s">
        <v>3</v>
      </c>
      <c r="CE134">
        <v>0</v>
      </c>
      <c r="CF134">
        <v>0</v>
      </c>
      <c r="CG134">
        <v>0</v>
      </c>
      <c r="CM134">
        <v>0</v>
      </c>
      <c r="CN134" t="s">
        <v>3</v>
      </c>
      <c r="CO134">
        <v>0</v>
      </c>
      <c r="CP134">
        <f t="shared" si="108"/>
        <v>75288.36</v>
      </c>
      <c r="CQ134">
        <f t="shared" si="109"/>
        <v>3421.79</v>
      </c>
      <c r="CR134">
        <f t="shared" si="110"/>
        <v>23.64</v>
      </c>
      <c r="CS134">
        <f t="shared" si="111"/>
        <v>0.28000000000000003</v>
      </c>
      <c r="CT134">
        <f t="shared" si="112"/>
        <v>2828.6</v>
      </c>
      <c r="CU134">
        <f t="shared" si="113"/>
        <v>0</v>
      </c>
      <c r="CV134">
        <f t="shared" si="114"/>
        <v>6.49</v>
      </c>
      <c r="CW134">
        <f t="shared" si="115"/>
        <v>0</v>
      </c>
      <c r="CX134">
        <f t="shared" si="116"/>
        <v>0</v>
      </c>
      <c r="CY134">
        <f t="shared" si="117"/>
        <v>23760.240000000002</v>
      </c>
      <c r="CZ134">
        <f t="shared" si="118"/>
        <v>3394.32</v>
      </c>
      <c r="DC134" t="s">
        <v>3</v>
      </c>
      <c r="DD134" t="s">
        <v>3</v>
      </c>
      <c r="DE134" t="s">
        <v>3</v>
      </c>
      <c r="DF134" t="s">
        <v>3</v>
      </c>
      <c r="DG134" t="s">
        <v>3</v>
      </c>
      <c r="DH134" t="s">
        <v>3</v>
      </c>
      <c r="DI134" t="s">
        <v>3</v>
      </c>
      <c r="DJ134" t="s">
        <v>3</v>
      </c>
      <c r="DK134" t="s">
        <v>3</v>
      </c>
      <c r="DL134" t="s">
        <v>3</v>
      </c>
      <c r="DM134" t="s">
        <v>3</v>
      </c>
      <c r="DN134">
        <v>0</v>
      </c>
      <c r="DO134">
        <v>0</v>
      </c>
      <c r="DP134">
        <v>1</v>
      </c>
      <c r="DQ134">
        <v>1</v>
      </c>
      <c r="DU134">
        <v>1010</v>
      </c>
      <c r="DV134" t="s">
        <v>29</v>
      </c>
      <c r="DW134" t="s">
        <v>29</v>
      </c>
      <c r="DX134">
        <v>1</v>
      </c>
      <c r="DZ134" t="s">
        <v>3</v>
      </c>
      <c r="EA134" t="s">
        <v>3</v>
      </c>
      <c r="EB134" t="s">
        <v>3</v>
      </c>
      <c r="EC134" t="s">
        <v>3</v>
      </c>
      <c r="EE134">
        <v>77790599</v>
      </c>
      <c r="EF134">
        <v>1</v>
      </c>
      <c r="EG134" t="s">
        <v>23</v>
      </c>
      <c r="EH134">
        <v>0</v>
      </c>
      <c r="EI134" t="s">
        <v>3</v>
      </c>
      <c r="EJ134">
        <v>4</v>
      </c>
      <c r="EK134">
        <v>0</v>
      </c>
      <c r="EL134" t="s">
        <v>24</v>
      </c>
      <c r="EM134" t="s">
        <v>25</v>
      </c>
      <c r="EO134" t="s">
        <v>3</v>
      </c>
      <c r="EQ134">
        <v>131072</v>
      </c>
      <c r="ER134">
        <v>6274.03</v>
      </c>
      <c r="ES134">
        <v>3421.79</v>
      </c>
      <c r="ET134">
        <v>23.64</v>
      </c>
      <c r="EU134">
        <v>0.28000000000000003</v>
      </c>
      <c r="EV134">
        <v>2828.6</v>
      </c>
      <c r="EW134">
        <v>6.49</v>
      </c>
      <c r="EX134">
        <v>0</v>
      </c>
      <c r="EY134">
        <v>0</v>
      </c>
      <c r="FQ134">
        <v>0</v>
      </c>
      <c r="FR134">
        <f t="shared" si="119"/>
        <v>0</v>
      </c>
      <c r="FS134">
        <v>0</v>
      </c>
      <c r="FX134">
        <v>70</v>
      </c>
      <c r="FY134">
        <v>10</v>
      </c>
      <c r="GA134" t="s">
        <v>3</v>
      </c>
      <c r="GD134">
        <v>0</v>
      </c>
      <c r="GF134">
        <v>-1132442898</v>
      </c>
      <c r="GG134">
        <v>2</v>
      </c>
      <c r="GH134">
        <v>1</v>
      </c>
      <c r="GI134">
        <v>-2</v>
      </c>
      <c r="GJ134">
        <v>0</v>
      </c>
      <c r="GK134">
        <f>ROUND(R134*(R12)/100,2)</f>
        <v>5.38</v>
      </c>
      <c r="GL134">
        <f t="shared" si="120"/>
        <v>0</v>
      </c>
      <c r="GM134">
        <f t="shared" si="121"/>
        <v>102448.3</v>
      </c>
      <c r="GN134">
        <f t="shared" si="122"/>
        <v>0</v>
      </c>
      <c r="GO134">
        <f t="shared" si="123"/>
        <v>0</v>
      </c>
      <c r="GP134">
        <f t="shared" si="124"/>
        <v>102448.3</v>
      </c>
      <c r="GR134">
        <v>0</v>
      </c>
      <c r="GS134">
        <v>3</v>
      </c>
      <c r="GT134">
        <v>0</v>
      </c>
      <c r="GU134" t="s">
        <v>3</v>
      </c>
      <c r="GV134">
        <f t="shared" si="125"/>
        <v>0</v>
      </c>
      <c r="GW134">
        <v>1</v>
      </c>
      <c r="GX134">
        <f t="shared" si="126"/>
        <v>0</v>
      </c>
      <c r="HA134">
        <v>0</v>
      </c>
      <c r="HB134">
        <v>0</v>
      </c>
      <c r="HC134">
        <f t="shared" si="127"/>
        <v>0</v>
      </c>
      <c r="HE134" t="s">
        <v>3</v>
      </c>
      <c r="HF134" t="s">
        <v>3</v>
      </c>
      <c r="HM134" t="s">
        <v>3</v>
      </c>
      <c r="HN134" t="s">
        <v>3</v>
      </c>
      <c r="HO134" t="s">
        <v>3</v>
      </c>
      <c r="HP134" t="s">
        <v>3</v>
      </c>
      <c r="HQ134" t="s">
        <v>3</v>
      </c>
      <c r="IK134">
        <v>0</v>
      </c>
    </row>
    <row r="135" spans="1:245" x14ac:dyDescent="0.2">
      <c r="A135">
        <v>18</v>
      </c>
      <c r="B135">
        <v>1</v>
      </c>
      <c r="C135">
        <v>112</v>
      </c>
      <c r="E135" t="s">
        <v>197</v>
      </c>
      <c r="F135" t="s">
        <v>198</v>
      </c>
      <c r="G135" t="s">
        <v>199</v>
      </c>
      <c r="H135" t="s">
        <v>200</v>
      </c>
      <c r="I135">
        <f>I134*J135</f>
        <v>-7.1999999999999998E-3</v>
      </c>
      <c r="J135">
        <v>-5.9999999999999995E-4</v>
      </c>
      <c r="K135">
        <v>-5.9999999999999995E-4</v>
      </c>
      <c r="O135">
        <f t="shared" si="88"/>
        <v>-1247.48</v>
      </c>
      <c r="P135">
        <f t="shared" si="89"/>
        <v>-1247.48</v>
      </c>
      <c r="Q135">
        <f t="shared" si="90"/>
        <v>0</v>
      </c>
      <c r="R135">
        <f t="shared" si="91"/>
        <v>0</v>
      </c>
      <c r="S135">
        <f t="shared" si="92"/>
        <v>0</v>
      </c>
      <c r="T135">
        <f t="shared" si="93"/>
        <v>0</v>
      </c>
      <c r="U135">
        <f t="shared" si="94"/>
        <v>0</v>
      </c>
      <c r="V135">
        <f t="shared" si="95"/>
        <v>0</v>
      </c>
      <c r="W135">
        <f t="shared" si="96"/>
        <v>0</v>
      </c>
      <c r="X135">
        <f t="shared" si="97"/>
        <v>0</v>
      </c>
      <c r="Y135">
        <f t="shared" si="98"/>
        <v>0</v>
      </c>
      <c r="AA135">
        <v>78131199</v>
      </c>
      <c r="AB135">
        <f t="shared" si="99"/>
        <v>173260.69</v>
      </c>
      <c r="AC135">
        <f t="shared" si="100"/>
        <v>173260.69</v>
      </c>
      <c r="AD135">
        <f t="shared" si="101"/>
        <v>0</v>
      </c>
      <c r="AE135">
        <f t="shared" si="102"/>
        <v>0</v>
      </c>
      <c r="AF135">
        <f t="shared" si="103"/>
        <v>0</v>
      </c>
      <c r="AG135">
        <f t="shared" si="104"/>
        <v>0</v>
      </c>
      <c r="AH135">
        <f t="shared" si="105"/>
        <v>0</v>
      </c>
      <c r="AI135">
        <f t="shared" si="106"/>
        <v>0</v>
      </c>
      <c r="AJ135">
        <f t="shared" si="107"/>
        <v>0</v>
      </c>
      <c r="AK135">
        <v>173260.69</v>
      </c>
      <c r="AL135">
        <v>173260.69</v>
      </c>
      <c r="AM135">
        <v>0</v>
      </c>
      <c r="AN135">
        <v>0</v>
      </c>
      <c r="AO135">
        <v>0</v>
      </c>
      <c r="AP135">
        <v>0</v>
      </c>
      <c r="AQ135">
        <v>0</v>
      </c>
      <c r="AR135">
        <v>0</v>
      </c>
      <c r="AS135">
        <v>0</v>
      </c>
      <c r="AT135">
        <v>70</v>
      </c>
      <c r="AU135">
        <v>10</v>
      </c>
      <c r="AV135">
        <v>1</v>
      </c>
      <c r="AW135">
        <v>1</v>
      </c>
      <c r="AZ135">
        <v>1</v>
      </c>
      <c r="BA135">
        <v>1</v>
      </c>
      <c r="BB135">
        <v>1</v>
      </c>
      <c r="BC135">
        <v>1</v>
      </c>
      <c r="BD135" t="s">
        <v>3</v>
      </c>
      <c r="BE135" t="s">
        <v>3</v>
      </c>
      <c r="BF135" t="s">
        <v>3</v>
      </c>
      <c r="BG135" t="s">
        <v>3</v>
      </c>
      <c r="BH135">
        <v>3</v>
      </c>
      <c r="BI135">
        <v>4</v>
      </c>
      <c r="BJ135" t="s">
        <v>201</v>
      </c>
      <c r="BM135">
        <v>0</v>
      </c>
      <c r="BN135">
        <v>77790596</v>
      </c>
      <c r="BO135" t="s">
        <v>3</v>
      </c>
      <c r="BP135">
        <v>0</v>
      </c>
      <c r="BQ135">
        <v>1</v>
      </c>
      <c r="BR135">
        <v>1</v>
      </c>
      <c r="BS135">
        <v>1</v>
      </c>
      <c r="BT135">
        <v>1</v>
      </c>
      <c r="BU135">
        <v>1</v>
      </c>
      <c r="BV135">
        <v>1</v>
      </c>
      <c r="BW135">
        <v>1</v>
      </c>
      <c r="BX135">
        <v>1</v>
      </c>
      <c r="BY135" t="s">
        <v>3</v>
      </c>
      <c r="BZ135">
        <v>70</v>
      </c>
      <c r="CA135">
        <v>10</v>
      </c>
      <c r="CB135" t="s">
        <v>3</v>
      </c>
      <c r="CE135">
        <v>0</v>
      </c>
      <c r="CF135">
        <v>0</v>
      </c>
      <c r="CG135">
        <v>0</v>
      </c>
      <c r="CM135">
        <v>0</v>
      </c>
      <c r="CN135" t="s">
        <v>3</v>
      </c>
      <c r="CO135">
        <v>0</v>
      </c>
      <c r="CP135">
        <f t="shared" si="108"/>
        <v>-1247.48</v>
      </c>
      <c r="CQ135">
        <f t="shared" si="109"/>
        <v>173260.69</v>
      </c>
      <c r="CR135">
        <f t="shared" si="110"/>
        <v>0</v>
      </c>
      <c r="CS135">
        <f t="shared" si="111"/>
        <v>0</v>
      </c>
      <c r="CT135">
        <f t="shared" si="112"/>
        <v>0</v>
      </c>
      <c r="CU135">
        <f t="shared" si="113"/>
        <v>0</v>
      </c>
      <c r="CV135">
        <f t="shared" si="114"/>
        <v>0</v>
      </c>
      <c r="CW135">
        <f t="shared" si="115"/>
        <v>0</v>
      </c>
      <c r="CX135">
        <f t="shared" si="116"/>
        <v>0</v>
      </c>
      <c r="CY135">
        <f t="shared" si="117"/>
        <v>0</v>
      </c>
      <c r="CZ135">
        <f t="shared" si="118"/>
        <v>0</v>
      </c>
      <c r="DC135" t="s">
        <v>3</v>
      </c>
      <c r="DD135" t="s">
        <v>3</v>
      </c>
      <c r="DE135" t="s">
        <v>3</v>
      </c>
      <c r="DF135" t="s">
        <v>3</v>
      </c>
      <c r="DG135" t="s">
        <v>3</v>
      </c>
      <c r="DH135" t="s">
        <v>3</v>
      </c>
      <c r="DI135" t="s">
        <v>3</v>
      </c>
      <c r="DJ135" t="s">
        <v>3</v>
      </c>
      <c r="DK135" t="s">
        <v>3</v>
      </c>
      <c r="DL135" t="s">
        <v>3</v>
      </c>
      <c r="DM135" t="s">
        <v>3</v>
      </c>
      <c r="DN135">
        <v>0</v>
      </c>
      <c r="DO135">
        <v>0</v>
      </c>
      <c r="DP135">
        <v>1</v>
      </c>
      <c r="DQ135">
        <v>1</v>
      </c>
      <c r="DU135">
        <v>1009</v>
      </c>
      <c r="DV135" t="s">
        <v>200</v>
      </c>
      <c r="DW135" t="s">
        <v>200</v>
      </c>
      <c r="DX135">
        <v>1000</v>
      </c>
      <c r="DZ135" t="s">
        <v>3</v>
      </c>
      <c r="EA135" t="s">
        <v>3</v>
      </c>
      <c r="EB135" t="s">
        <v>3</v>
      </c>
      <c r="EC135" t="s">
        <v>3</v>
      </c>
      <c r="EE135">
        <v>77790599</v>
      </c>
      <c r="EF135">
        <v>1</v>
      </c>
      <c r="EG135" t="s">
        <v>23</v>
      </c>
      <c r="EH135">
        <v>0</v>
      </c>
      <c r="EI135" t="s">
        <v>3</v>
      </c>
      <c r="EJ135">
        <v>4</v>
      </c>
      <c r="EK135">
        <v>0</v>
      </c>
      <c r="EL135" t="s">
        <v>24</v>
      </c>
      <c r="EM135" t="s">
        <v>25</v>
      </c>
      <c r="EO135" t="s">
        <v>3</v>
      </c>
      <c r="EQ135">
        <v>0</v>
      </c>
      <c r="ER135">
        <v>173260.69</v>
      </c>
      <c r="ES135">
        <v>173260.69</v>
      </c>
      <c r="ET135">
        <v>0</v>
      </c>
      <c r="EU135">
        <v>0</v>
      </c>
      <c r="EV135">
        <v>0</v>
      </c>
      <c r="EW135">
        <v>0</v>
      </c>
      <c r="EX135">
        <v>0</v>
      </c>
      <c r="FQ135">
        <v>0</v>
      </c>
      <c r="FR135">
        <f t="shared" si="119"/>
        <v>0</v>
      </c>
      <c r="FS135">
        <v>0</v>
      </c>
      <c r="FX135">
        <v>70</v>
      </c>
      <c r="FY135">
        <v>10</v>
      </c>
      <c r="GA135" t="s">
        <v>3</v>
      </c>
      <c r="GD135">
        <v>0</v>
      </c>
      <c r="GF135">
        <v>-1470955817</v>
      </c>
      <c r="GG135">
        <v>2</v>
      </c>
      <c r="GH135">
        <v>1</v>
      </c>
      <c r="GI135">
        <v>-2</v>
      </c>
      <c r="GJ135">
        <v>0</v>
      </c>
      <c r="GK135">
        <f>ROUND(R135*(R12)/100,2)</f>
        <v>0</v>
      </c>
      <c r="GL135">
        <f t="shared" si="120"/>
        <v>0</v>
      </c>
      <c r="GM135">
        <f t="shared" si="121"/>
        <v>-1247.48</v>
      </c>
      <c r="GN135">
        <f t="shared" si="122"/>
        <v>0</v>
      </c>
      <c r="GO135">
        <f t="shared" si="123"/>
        <v>0</v>
      </c>
      <c r="GP135">
        <f t="shared" si="124"/>
        <v>-1247.48</v>
      </c>
      <c r="GR135">
        <v>0</v>
      </c>
      <c r="GS135">
        <v>3</v>
      </c>
      <c r="GT135">
        <v>0</v>
      </c>
      <c r="GU135" t="s">
        <v>3</v>
      </c>
      <c r="GV135">
        <f t="shared" si="125"/>
        <v>0</v>
      </c>
      <c r="GW135">
        <v>1</v>
      </c>
      <c r="GX135">
        <f t="shared" si="126"/>
        <v>0</v>
      </c>
      <c r="HA135">
        <v>0</v>
      </c>
      <c r="HB135">
        <v>0</v>
      </c>
      <c r="HC135">
        <f t="shared" si="127"/>
        <v>0</v>
      </c>
      <c r="HE135" t="s">
        <v>3</v>
      </c>
      <c r="HF135" t="s">
        <v>3</v>
      </c>
      <c r="HM135" t="s">
        <v>3</v>
      </c>
      <c r="HN135" t="s">
        <v>3</v>
      </c>
      <c r="HO135" t="s">
        <v>3</v>
      </c>
      <c r="HP135" t="s">
        <v>3</v>
      </c>
      <c r="HQ135" t="s">
        <v>3</v>
      </c>
      <c r="IK135">
        <v>0</v>
      </c>
    </row>
    <row r="136" spans="1:245" x14ac:dyDescent="0.2">
      <c r="A136">
        <v>18</v>
      </c>
      <c r="B136">
        <v>1</v>
      </c>
      <c r="C136">
        <v>113</v>
      </c>
      <c r="E136" t="s">
        <v>202</v>
      </c>
      <c r="F136" t="s">
        <v>203</v>
      </c>
      <c r="G136" t="s">
        <v>204</v>
      </c>
      <c r="H136" t="s">
        <v>33</v>
      </c>
      <c r="I136">
        <f>I134*J136</f>
        <v>-4.8</v>
      </c>
      <c r="J136">
        <v>-0.39999999999999997</v>
      </c>
      <c r="K136">
        <v>-0.4</v>
      </c>
      <c r="O136">
        <f t="shared" si="88"/>
        <v>-3208.85</v>
      </c>
      <c r="P136">
        <f t="shared" si="89"/>
        <v>-3208.85</v>
      </c>
      <c r="Q136">
        <f t="shared" si="90"/>
        <v>0</v>
      </c>
      <c r="R136">
        <f t="shared" si="91"/>
        <v>0</v>
      </c>
      <c r="S136">
        <f t="shared" si="92"/>
        <v>0</v>
      </c>
      <c r="T136">
        <f t="shared" si="93"/>
        <v>0</v>
      </c>
      <c r="U136">
        <f t="shared" si="94"/>
        <v>0</v>
      </c>
      <c r="V136">
        <f t="shared" si="95"/>
        <v>0</v>
      </c>
      <c r="W136">
        <f t="shared" si="96"/>
        <v>0</v>
      </c>
      <c r="X136">
        <f t="shared" si="97"/>
        <v>0</v>
      </c>
      <c r="Y136">
        <f t="shared" si="98"/>
        <v>0</v>
      </c>
      <c r="AA136">
        <v>78131199</v>
      </c>
      <c r="AB136">
        <f t="shared" si="99"/>
        <v>668.51</v>
      </c>
      <c r="AC136">
        <f t="shared" si="100"/>
        <v>668.51</v>
      </c>
      <c r="AD136">
        <f t="shared" si="101"/>
        <v>0</v>
      </c>
      <c r="AE136">
        <f t="shared" si="102"/>
        <v>0</v>
      </c>
      <c r="AF136">
        <f t="shared" si="103"/>
        <v>0</v>
      </c>
      <c r="AG136">
        <f t="shared" si="104"/>
        <v>0</v>
      </c>
      <c r="AH136">
        <f t="shared" si="105"/>
        <v>0</v>
      </c>
      <c r="AI136">
        <f t="shared" si="106"/>
        <v>0</v>
      </c>
      <c r="AJ136">
        <f t="shared" si="107"/>
        <v>0</v>
      </c>
      <c r="AK136">
        <v>668.51</v>
      </c>
      <c r="AL136">
        <v>668.51</v>
      </c>
      <c r="AM136">
        <v>0</v>
      </c>
      <c r="AN136">
        <v>0</v>
      </c>
      <c r="AO136">
        <v>0</v>
      </c>
      <c r="AP136">
        <v>0</v>
      </c>
      <c r="AQ136">
        <v>0</v>
      </c>
      <c r="AR136">
        <v>0</v>
      </c>
      <c r="AS136">
        <v>0</v>
      </c>
      <c r="AT136">
        <v>70</v>
      </c>
      <c r="AU136">
        <v>10</v>
      </c>
      <c r="AV136">
        <v>1</v>
      </c>
      <c r="AW136">
        <v>1</v>
      </c>
      <c r="AZ136">
        <v>1</v>
      </c>
      <c r="BA136">
        <v>1</v>
      </c>
      <c r="BB136">
        <v>1</v>
      </c>
      <c r="BC136">
        <v>1</v>
      </c>
      <c r="BD136" t="s">
        <v>3</v>
      </c>
      <c r="BE136" t="s">
        <v>3</v>
      </c>
      <c r="BF136" t="s">
        <v>3</v>
      </c>
      <c r="BG136" t="s">
        <v>3</v>
      </c>
      <c r="BH136">
        <v>3</v>
      </c>
      <c r="BI136">
        <v>4</v>
      </c>
      <c r="BJ136" t="s">
        <v>205</v>
      </c>
      <c r="BM136">
        <v>0</v>
      </c>
      <c r="BN136">
        <v>77790596</v>
      </c>
      <c r="BO136" t="s">
        <v>3</v>
      </c>
      <c r="BP136">
        <v>0</v>
      </c>
      <c r="BQ136">
        <v>1</v>
      </c>
      <c r="BR136">
        <v>1</v>
      </c>
      <c r="BS136">
        <v>1</v>
      </c>
      <c r="BT136">
        <v>1</v>
      </c>
      <c r="BU136">
        <v>1</v>
      </c>
      <c r="BV136">
        <v>1</v>
      </c>
      <c r="BW136">
        <v>1</v>
      </c>
      <c r="BX136">
        <v>1</v>
      </c>
      <c r="BY136" t="s">
        <v>3</v>
      </c>
      <c r="BZ136">
        <v>70</v>
      </c>
      <c r="CA136">
        <v>10</v>
      </c>
      <c r="CB136" t="s">
        <v>3</v>
      </c>
      <c r="CE136">
        <v>0</v>
      </c>
      <c r="CF136">
        <v>0</v>
      </c>
      <c r="CG136">
        <v>0</v>
      </c>
      <c r="CM136">
        <v>0</v>
      </c>
      <c r="CN136" t="s">
        <v>3</v>
      </c>
      <c r="CO136">
        <v>0</v>
      </c>
      <c r="CP136">
        <f t="shared" si="108"/>
        <v>-3208.85</v>
      </c>
      <c r="CQ136">
        <f t="shared" si="109"/>
        <v>668.51</v>
      </c>
      <c r="CR136">
        <f t="shared" si="110"/>
        <v>0</v>
      </c>
      <c r="CS136">
        <f t="shared" si="111"/>
        <v>0</v>
      </c>
      <c r="CT136">
        <f t="shared" si="112"/>
        <v>0</v>
      </c>
      <c r="CU136">
        <f t="shared" si="113"/>
        <v>0</v>
      </c>
      <c r="CV136">
        <f t="shared" si="114"/>
        <v>0</v>
      </c>
      <c r="CW136">
        <f t="shared" si="115"/>
        <v>0</v>
      </c>
      <c r="CX136">
        <f t="shared" si="116"/>
        <v>0</v>
      </c>
      <c r="CY136">
        <f t="shared" si="117"/>
        <v>0</v>
      </c>
      <c r="CZ136">
        <f t="shared" si="118"/>
        <v>0</v>
      </c>
      <c r="DC136" t="s">
        <v>3</v>
      </c>
      <c r="DD136" t="s">
        <v>3</v>
      </c>
      <c r="DE136" t="s">
        <v>3</v>
      </c>
      <c r="DF136" t="s">
        <v>3</v>
      </c>
      <c r="DG136" t="s">
        <v>3</v>
      </c>
      <c r="DH136" t="s">
        <v>3</v>
      </c>
      <c r="DI136" t="s">
        <v>3</v>
      </c>
      <c r="DJ136" t="s">
        <v>3</v>
      </c>
      <c r="DK136" t="s">
        <v>3</v>
      </c>
      <c r="DL136" t="s">
        <v>3</v>
      </c>
      <c r="DM136" t="s">
        <v>3</v>
      </c>
      <c r="DN136">
        <v>0</v>
      </c>
      <c r="DO136">
        <v>0</v>
      </c>
      <c r="DP136">
        <v>1</v>
      </c>
      <c r="DQ136">
        <v>1</v>
      </c>
      <c r="DU136">
        <v>1003</v>
      </c>
      <c r="DV136" t="s">
        <v>33</v>
      </c>
      <c r="DW136" t="s">
        <v>33</v>
      </c>
      <c r="DX136">
        <v>1</v>
      </c>
      <c r="DZ136" t="s">
        <v>3</v>
      </c>
      <c r="EA136" t="s">
        <v>3</v>
      </c>
      <c r="EB136" t="s">
        <v>3</v>
      </c>
      <c r="EC136" t="s">
        <v>3</v>
      </c>
      <c r="EE136">
        <v>77790599</v>
      </c>
      <c r="EF136">
        <v>1</v>
      </c>
      <c r="EG136" t="s">
        <v>23</v>
      </c>
      <c r="EH136">
        <v>0</v>
      </c>
      <c r="EI136" t="s">
        <v>3</v>
      </c>
      <c r="EJ136">
        <v>4</v>
      </c>
      <c r="EK136">
        <v>0</v>
      </c>
      <c r="EL136" t="s">
        <v>24</v>
      </c>
      <c r="EM136" t="s">
        <v>25</v>
      </c>
      <c r="EO136" t="s">
        <v>3</v>
      </c>
      <c r="EQ136">
        <v>0</v>
      </c>
      <c r="ER136">
        <v>668.51</v>
      </c>
      <c r="ES136">
        <v>668.51</v>
      </c>
      <c r="ET136">
        <v>0</v>
      </c>
      <c r="EU136">
        <v>0</v>
      </c>
      <c r="EV136">
        <v>0</v>
      </c>
      <c r="EW136">
        <v>0</v>
      </c>
      <c r="EX136">
        <v>0</v>
      </c>
      <c r="FQ136">
        <v>0</v>
      </c>
      <c r="FR136">
        <f t="shared" si="119"/>
        <v>0</v>
      </c>
      <c r="FS136">
        <v>0</v>
      </c>
      <c r="FX136">
        <v>70</v>
      </c>
      <c r="FY136">
        <v>10</v>
      </c>
      <c r="GA136" t="s">
        <v>3</v>
      </c>
      <c r="GD136">
        <v>0</v>
      </c>
      <c r="GF136">
        <v>2138246344</v>
      </c>
      <c r="GG136">
        <v>2</v>
      </c>
      <c r="GH136">
        <v>1</v>
      </c>
      <c r="GI136">
        <v>-2</v>
      </c>
      <c r="GJ136">
        <v>0</v>
      </c>
      <c r="GK136">
        <f>ROUND(R136*(R12)/100,2)</f>
        <v>0</v>
      </c>
      <c r="GL136">
        <f t="shared" si="120"/>
        <v>0</v>
      </c>
      <c r="GM136">
        <f t="shared" si="121"/>
        <v>-3208.85</v>
      </c>
      <c r="GN136">
        <f t="shared" si="122"/>
        <v>0</v>
      </c>
      <c r="GO136">
        <f t="shared" si="123"/>
        <v>0</v>
      </c>
      <c r="GP136">
        <f t="shared" si="124"/>
        <v>-3208.85</v>
      </c>
      <c r="GR136">
        <v>0</v>
      </c>
      <c r="GS136">
        <v>3</v>
      </c>
      <c r="GT136">
        <v>0</v>
      </c>
      <c r="GU136" t="s">
        <v>3</v>
      </c>
      <c r="GV136">
        <f t="shared" si="125"/>
        <v>0</v>
      </c>
      <c r="GW136">
        <v>1</v>
      </c>
      <c r="GX136">
        <f t="shared" si="126"/>
        <v>0</v>
      </c>
      <c r="HA136">
        <v>0</v>
      </c>
      <c r="HB136">
        <v>0</v>
      </c>
      <c r="HC136">
        <f t="shared" si="127"/>
        <v>0</v>
      </c>
      <c r="HE136" t="s">
        <v>3</v>
      </c>
      <c r="HF136" t="s">
        <v>3</v>
      </c>
      <c r="HM136" t="s">
        <v>3</v>
      </c>
      <c r="HN136" t="s">
        <v>3</v>
      </c>
      <c r="HO136" t="s">
        <v>3</v>
      </c>
      <c r="HP136" t="s">
        <v>3</v>
      </c>
      <c r="HQ136" t="s">
        <v>3</v>
      </c>
      <c r="IK136">
        <v>0</v>
      </c>
    </row>
    <row r="137" spans="1:245" x14ac:dyDescent="0.2">
      <c r="A137">
        <v>18</v>
      </c>
      <c r="B137">
        <v>1</v>
      </c>
      <c r="C137">
        <v>114</v>
      </c>
      <c r="E137" t="s">
        <v>206</v>
      </c>
      <c r="F137" t="s">
        <v>207</v>
      </c>
      <c r="G137" t="s">
        <v>208</v>
      </c>
      <c r="H137" t="s">
        <v>29</v>
      </c>
      <c r="I137">
        <f>I134*J137</f>
        <v>-12</v>
      </c>
      <c r="J137">
        <v>-1</v>
      </c>
      <c r="K137">
        <v>-1</v>
      </c>
      <c r="O137">
        <f t="shared" si="88"/>
        <v>-5830.68</v>
      </c>
      <c r="P137">
        <f t="shared" si="89"/>
        <v>-5830.68</v>
      </c>
      <c r="Q137">
        <f t="shared" si="90"/>
        <v>0</v>
      </c>
      <c r="R137">
        <f t="shared" si="91"/>
        <v>0</v>
      </c>
      <c r="S137">
        <f t="shared" si="92"/>
        <v>0</v>
      </c>
      <c r="T137">
        <f t="shared" si="93"/>
        <v>0</v>
      </c>
      <c r="U137">
        <f t="shared" si="94"/>
        <v>0</v>
      </c>
      <c r="V137">
        <f t="shared" si="95"/>
        <v>0</v>
      </c>
      <c r="W137">
        <f t="shared" si="96"/>
        <v>0</v>
      </c>
      <c r="X137">
        <f t="shared" si="97"/>
        <v>0</v>
      </c>
      <c r="Y137">
        <f t="shared" si="98"/>
        <v>0</v>
      </c>
      <c r="AA137">
        <v>78131199</v>
      </c>
      <c r="AB137">
        <f t="shared" si="99"/>
        <v>485.89</v>
      </c>
      <c r="AC137">
        <f t="shared" si="100"/>
        <v>485.89</v>
      </c>
      <c r="AD137">
        <f t="shared" si="101"/>
        <v>0</v>
      </c>
      <c r="AE137">
        <f t="shared" si="102"/>
        <v>0</v>
      </c>
      <c r="AF137">
        <f t="shared" si="103"/>
        <v>0</v>
      </c>
      <c r="AG137">
        <f t="shared" si="104"/>
        <v>0</v>
      </c>
      <c r="AH137">
        <f t="shared" si="105"/>
        <v>0</v>
      </c>
      <c r="AI137">
        <f t="shared" si="106"/>
        <v>0</v>
      </c>
      <c r="AJ137">
        <f t="shared" si="107"/>
        <v>0</v>
      </c>
      <c r="AK137">
        <v>485.89</v>
      </c>
      <c r="AL137">
        <v>485.89</v>
      </c>
      <c r="AM137">
        <v>0</v>
      </c>
      <c r="AN137">
        <v>0</v>
      </c>
      <c r="AO137">
        <v>0</v>
      </c>
      <c r="AP137">
        <v>0</v>
      </c>
      <c r="AQ137">
        <v>0</v>
      </c>
      <c r="AR137">
        <v>0</v>
      </c>
      <c r="AS137">
        <v>0</v>
      </c>
      <c r="AT137">
        <v>70</v>
      </c>
      <c r="AU137">
        <v>10</v>
      </c>
      <c r="AV137">
        <v>1</v>
      </c>
      <c r="AW137">
        <v>1</v>
      </c>
      <c r="AZ137">
        <v>1</v>
      </c>
      <c r="BA137">
        <v>1</v>
      </c>
      <c r="BB137">
        <v>1</v>
      </c>
      <c r="BC137">
        <v>1</v>
      </c>
      <c r="BD137" t="s">
        <v>3</v>
      </c>
      <c r="BE137" t="s">
        <v>3</v>
      </c>
      <c r="BF137" t="s">
        <v>3</v>
      </c>
      <c r="BG137" t="s">
        <v>3</v>
      </c>
      <c r="BH137">
        <v>3</v>
      </c>
      <c r="BI137">
        <v>4</v>
      </c>
      <c r="BJ137" t="s">
        <v>209</v>
      </c>
      <c r="BM137">
        <v>0</v>
      </c>
      <c r="BN137">
        <v>77790596</v>
      </c>
      <c r="BO137" t="s">
        <v>3</v>
      </c>
      <c r="BP137">
        <v>0</v>
      </c>
      <c r="BQ137">
        <v>1</v>
      </c>
      <c r="BR137">
        <v>1</v>
      </c>
      <c r="BS137">
        <v>1</v>
      </c>
      <c r="BT137">
        <v>1</v>
      </c>
      <c r="BU137">
        <v>1</v>
      </c>
      <c r="BV137">
        <v>1</v>
      </c>
      <c r="BW137">
        <v>1</v>
      </c>
      <c r="BX137">
        <v>1</v>
      </c>
      <c r="BY137" t="s">
        <v>3</v>
      </c>
      <c r="BZ137">
        <v>70</v>
      </c>
      <c r="CA137">
        <v>10</v>
      </c>
      <c r="CB137" t="s">
        <v>3</v>
      </c>
      <c r="CE137">
        <v>0</v>
      </c>
      <c r="CF137">
        <v>0</v>
      </c>
      <c r="CG137">
        <v>0</v>
      </c>
      <c r="CM137">
        <v>0</v>
      </c>
      <c r="CN137" t="s">
        <v>3</v>
      </c>
      <c r="CO137">
        <v>0</v>
      </c>
      <c r="CP137">
        <f t="shared" si="108"/>
        <v>-5830.68</v>
      </c>
      <c r="CQ137">
        <f t="shared" si="109"/>
        <v>485.89</v>
      </c>
      <c r="CR137">
        <f t="shared" si="110"/>
        <v>0</v>
      </c>
      <c r="CS137">
        <f t="shared" si="111"/>
        <v>0</v>
      </c>
      <c r="CT137">
        <f t="shared" si="112"/>
        <v>0</v>
      </c>
      <c r="CU137">
        <f t="shared" si="113"/>
        <v>0</v>
      </c>
      <c r="CV137">
        <f t="shared" si="114"/>
        <v>0</v>
      </c>
      <c r="CW137">
        <f t="shared" si="115"/>
        <v>0</v>
      </c>
      <c r="CX137">
        <f t="shared" si="116"/>
        <v>0</v>
      </c>
      <c r="CY137">
        <f t="shared" si="117"/>
        <v>0</v>
      </c>
      <c r="CZ137">
        <f t="shared" si="118"/>
        <v>0</v>
      </c>
      <c r="DC137" t="s">
        <v>3</v>
      </c>
      <c r="DD137" t="s">
        <v>3</v>
      </c>
      <c r="DE137" t="s">
        <v>3</v>
      </c>
      <c r="DF137" t="s">
        <v>3</v>
      </c>
      <c r="DG137" t="s">
        <v>3</v>
      </c>
      <c r="DH137" t="s">
        <v>3</v>
      </c>
      <c r="DI137" t="s">
        <v>3</v>
      </c>
      <c r="DJ137" t="s">
        <v>3</v>
      </c>
      <c r="DK137" t="s">
        <v>3</v>
      </c>
      <c r="DL137" t="s">
        <v>3</v>
      </c>
      <c r="DM137" t="s">
        <v>3</v>
      </c>
      <c r="DN137">
        <v>0</v>
      </c>
      <c r="DO137">
        <v>0</v>
      </c>
      <c r="DP137">
        <v>1</v>
      </c>
      <c r="DQ137">
        <v>1</v>
      </c>
      <c r="DU137">
        <v>1010</v>
      </c>
      <c r="DV137" t="s">
        <v>29</v>
      </c>
      <c r="DW137" t="s">
        <v>29</v>
      </c>
      <c r="DX137">
        <v>1</v>
      </c>
      <c r="DZ137" t="s">
        <v>3</v>
      </c>
      <c r="EA137" t="s">
        <v>3</v>
      </c>
      <c r="EB137" t="s">
        <v>3</v>
      </c>
      <c r="EC137" t="s">
        <v>3</v>
      </c>
      <c r="EE137">
        <v>77790599</v>
      </c>
      <c r="EF137">
        <v>1</v>
      </c>
      <c r="EG137" t="s">
        <v>23</v>
      </c>
      <c r="EH137">
        <v>0</v>
      </c>
      <c r="EI137" t="s">
        <v>3</v>
      </c>
      <c r="EJ137">
        <v>4</v>
      </c>
      <c r="EK137">
        <v>0</v>
      </c>
      <c r="EL137" t="s">
        <v>24</v>
      </c>
      <c r="EM137" t="s">
        <v>25</v>
      </c>
      <c r="EO137" t="s">
        <v>3</v>
      </c>
      <c r="EQ137">
        <v>0</v>
      </c>
      <c r="ER137">
        <v>485.89</v>
      </c>
      <c r="ES137">
        <v>485.89</v>
      </c>
      <c r="ET137">
        <v>0</v>
      </c>
      <c r="EU137">
        <v>0</v>
      </c>
      <c r="EV137">
        <v>0</v>
      </c>
      <c r="EW137">
        <v>0</v>
      </c>
      <c r="EX137">
        <v>0</v>
      </c>
      <c r="FQ137">
        <v>0</v>
      </c>
      <c r="FR137">
        <f t="shared" si="119"/>
        <v>0</v>
      </c>
      <c r="FS137">
        <v>0</v>
      </c>
      <c r="FX137">
        <v>70</v>
      </c>
      <c r="FY137">
        <v>10</v>
      </c>
      <c r="GA137" t="s">
        <v>3</v>
      </c>
      <c r="GD137">
        <v>0</v>
      </c>
      <c r="GF137">
        <v>565901026</v>
      </c>
      <c r="GG137">
        <v>2</v>
      </c>
      <c r="GH137">
        <v>1</v>
      </c>
      <c r="GI137">
        <v>-2</v>
      </c>
      <c r="GJ137">
        <v>0</v>
      </c>
      <c r="GK137">
        <f>ROUND(R137*(R12)/100,2)</f>
        <v>0</v>
      </c>
      <c r="GL137">
        <f t="shared" si="120"/>
        <v>0</v>
      </c>
      <c r="GM137">
        <f t="shared" si="121"/>
        <v>-5830.68</v>
      </c>
      <c r="GN137">
        <f t="shared" si="122"/>
        <v>0</v>
      </c>
      <c r="GO137">
        <f t="shared" si="123"/>
        <v>0</v>
      </c>
      <c r="GP137">
        <f t="shared" si="124"/>
        <v>-5830.68</v>
      </c>
      <c r="GR137">
        <v>0</v>
      </c>
      <c r="GS137">
        <v>3</v>
      </c>
      <c r="GT137">
        <v>0</v>
      </c>
      <c r="GU137" t="s">
        <v>3</v>
      </c>
      <c r="GV137">
        <f t="shared" si="125"/>
        <v>0</v>
      </c>
      <c r="GW137">
        <v>1</v>
      </c>
      <c r="GX137">
        <f t="shared" si="126"/>
        <v>0</v>
      </c>
      <c r="HA137">
        <v>0</v>
      </c>
      <c r="HB137">
        <v>0</v>
      </c>
      <c r="HC137">
        <f t="shared" si="127"/>
        <v>0</v>
      </c>
      <c r="HE137" t="s">
        <v>3</v>
      </c>
      <c r="HF137" t="s">
        <v>3</v>
      </c>
      <c r="HM137" t="s">
        <v>3</v>
      </c>
      <c r="HN137" t="s">
        <v>3</v>
      </c>
      <c r="HO137" t="s">
        <v>3</v>
      </c>
      <c r="HP137" t="s">
        <v>3</v>
      </c>
      <c r="HQ137" t="s">
        <v>3</v>
      </c>
      <c r="IK137">
        <v>0</v>
      </c>
    </row>
    <row r="138" spans="1:245" x14ac:dyDescent="0.2">
      <c r="A138">
        <v>18</v>
      </c>
      <c r="B138">
        <v>1</v>
      </c>
      <c r="C138">
        <v>115</v>
      </c>
      <c r="E138" t="s">
        <v>210</v>
      </c>
      <c r="F138" t="s">
        <v>211</v>
      </c>
      <c r="G138" t="s">
        <v>212</v>
      </c>
      <c r="H138" t="s">
        <v>29</v>
      </c>
      <c r="I138">
        <f>I134*J138</f>
        <v>-12</v>
      </c>
      <c r="J138">
        <v>-1</v>
      </c>
      <c r="K138">
        <v>-1</v>
      </c>
      <c r="O138">
        <f t="shared" si="88"/>
        <v>-30359.4</v>
      </c>
      <c r="P138">
        <f t="shared" si="89"/>
        <v>-30359.4</v>
      </c>
      <c r="Q138">
        <f t="shared" si="90"/>
        <v>0</v>
      </c>
      <c r="R138">
        <f t="shared" si="91"/>
        <v>0</v>
      </c>
      <c r="S138">
        <f t="shared" si="92"/>
        <v>0</v>
      </c>
      <c r="T138">
        <f t="shared" si="93"/>
        <v>0</v>
      </c>
      <c r="U138">
        <f t="shared" si="94"/>
        <v>0</v>
      </c>
      <c r="V138">
        <f t="shared" si="95"/>
        <v>0</v>
      </c>
      <c r="W138">
        <f t="shared" si="96"/>
        <v>0</v>
      </c>
      <c r="X138">
        <f t="shared" si="97"/>
        <v>0</v>
      </c>
      <c r="Y138">
        <f t="shared" si="98"/>
        <v>0</v>
      </c>
      <c r="AA138">
        <v>78131199</v>
      </c>
      <c r="AB138">
        <f t="shared" si="99"/>
        <v>2529.9499999999998</v>
      </c>
      <c r="AC138">
        <f t="shared" si="100"/>
        <v>2529.9499999999998</v>
      </c>
      <c r="AD138">
        <f t="shared" si="101"/>
        <v>0</v>
      </c>
      <c r="AE138">
        <f t="shared" si="102"/>
        <v>0</v>
      </c>
      <c r="AF138">
        <f t="shared" si="103"/>
        <v>0</v>
      </c>
      <c r="AG138">
        <f t="shared" si="104"/>
        <v>0</v>
      </c>
      <c r="AH138">
        <f t="shared" si="105"/>
        <v>0</v>
      </c>
      <c r="AI138">
        <f t="shared" si="106"/>
        <v>0</v>
      </c>
      <c r="AJ138">
        <f t="shared" si="107"/>
        <v>0</v>
      </c>
      <c r="AK138">
        <v>2529.9499999999998</v>
      </c>
      <c r="AL138">
        <v>2529.9499999999998</v>
      </c>
      <c r="AM138">
        <v>0</v>
      </c>
      <c r="AN138">
        <v>0</v>
      </c>
      <c r="AO138">
        <v>0</v>
      </c>
      <c r="AP138">
        <v>0</v>
      </c>
      <c r="AQ138">
        <v>0</v>
      </c>
      <c r="AR138">
        <v>0</v>
      </c>
      <c r="AS138">
        <v>0</v>
      </c>
      <c r="AT138">
        <v>70</v>
      </c>
      <c r="AU138">
        <v>10</v>
      </c>
      <c r="AV138">
        <v>1</v>
      </c>
      <c r="AW138">
        <v>1</v>
      </c>
      <c r="AZ138">
        <v>1</v>
      </c>
      <c r="BA138">
        <v>1</v>
      </c>
      <c r="BB138">
        <v>1</v>
      </c>
      <c r="BC138">
        <v>1</v>
      </c>
      <c r="BD138" t="s">
        <v>3</v>
      </c>
      <c r="BE138" t="s">
        <v>3</v>
      </c>
      <c r="BF138" t="s">
        <v>3</v>
      </c>
      <c r="BG138" t="s">
        <v>3</v>
      </c>
      <c r="BH138">
        <v>3</v>
      </c>
      <c r="BI138">
        <v>4</v>
      </c>
      <c r="BJ138" t="s">
        <v>213</v>
      </c>
      <c r="BM138">
        <v>0</v>
      </c>
      <c r="BN138">
        <v>77790596</v>
      </c>
      <c r="BO138" t="s">
        <v>3</v>
      </c>
      <c r="BP138">
        <v>0</v>
      </c>
      <c r="BQ138">
        <v>1</v>
      </c>
      <c r="BR138">
        <v>1</v>
      </c>
      <c r="BS138">
        <v>1</v>
      </c>
      <c r="BT138">
        <v>1</v>
      </c>
      <c r="BU138">
        <v>1</v>
      </c>
      <c r="BV138">
        <v>1</v>
      </c>
      <c r="BW138">
        <v>1</v>
      </c>
      <c r="BX138">
        <v>1</v>
      </c>
      <c r="BY138" t="s">
        <v>3</v>
      </c>
      <c r="BZ138">
        <v>70</v>
      </c>
      <c r="CA138">
        <v>10</v>
      </c>
      <c r="CB138" t="s">
        <v>3</v>
      </c>
      <c r="CE138">
        <v>0</v>
      </c>
      <c r="CF138">
        <v>0</v>
      </c>
      <c r="CG138">
        <v>0</v>
      </c>
      <c r="CM138">
        <v>0</v>
      </c>
      <c r="CN138" t="s">
        <v>3</v>
      </c>
      <c r="CO138">
        <v>0</v>
      </c>
      <c r="CP138">
        <f t="shared" si="108"/>
        <v>-30359.4</v>
      </c>
      <c r="CQ138">
        <f t="shared" si="109"/>
        <v>2529.9499999999998</v>
      </c>
      <c r="CR138">
        <f t="shared" si="110"/>
        <v>0</v>
      </c>
      <c r="CS138">
        <f t="shared" si="111"/>
        <v>0</v>
      </c>
      <c r="CT138">
        <f t="shared" si="112"/>
        <v>0</v>
      </c>
      <c r="CU138">
        <f t="shared" si="113"/>
        <v>0</v>
      </c>
      <c r="CV138">
        <f t="shared" si="114"/>
        <v>0</v>
      </c>
      <c r="CW138">
        <f t="shared" si="115"/>
        <v>0</v>
      </c>
      <c r="CX138">
        <f t="shared" si="116"/>
        <v>0</v>
      </c>
      <c r="CY138">
        <f t="shared" si="117"/>
        <v>0</v>
      </c>
      <c r="CZ138">
        <f t="shared" si="118"/>
        <v>0</v>
      </c>
      <c r="DC138" t="s">
        <v>3</v>
      </c>
      <c r="DD138" t="s">
        <v>3</v>
      </c>
      <c r="DE138" t="s">
        <v>3</v>
      </c>
      <c r="DF138" t="s">
        <v>3</v>
      </c>
      <c r="DG138" t="s">
        <v>3</v>
      </c>
      <c r="DH138" t="s">
        <v>3</v>
      </c>
      <c r="DI138" t="s">
        <v>3</v>
      </c>
      <c r="DJ138" t="s">
        <v>3</v>
      </c>
      <c r="DK138" t="s">
        <v>3</v>
      </c>
      <c r="DL138" t="s">
        <v>3</v>
      </c>
      <c r="DM138" t="s">
        <v>3</v>
      </c>
      <c r="DN138">
        <v>0</v>
      </c>
      <c r="DO138">
        <v>0</v>
      </c>
      <c r="DP138">
        <v>1</v>
      </c>
      <c r="DQ138">
        <v>1</v>
      </c>
      <c r="DU138">
        <v>1010</v>
      </c>
      <c r="DV138" t="s">
        <v>29</v>
      </c>
      <c r="DW138" t="s">
        <v>29</v>
      </c>
      <c r="DX138">
        <v>1</v>
      </c>
      <c r="DZ138" t="s">
        <v>3</v>
      </c>
      <c r="EA138" t="s">
        <v>3</v>
      </c>
      <c r="EB138" t="s">
        <v>3</v>
      </c>
      <c r="EC138" t="s">
        <v>3</v>
      </c>
      <c r="EE138">
        <v>77790599</v>
      </c>
      <c r="EF138">
        <v>1</v>
      </c>
      <c r="EG138" t="s">
        <v>23</v>
      </c>
      <c r="EH138">
        <v>0</v>
      </c>
      <c r="EI138" t="s">
        <v>3</v>
      </c>
      <c r="EJ138">
        <v>4</v>
      </c>
      <c r="EK138">
        <v>0</v>
      </c>
      <c r="EL138" t="s">
        <v>24</v>
      </c>
      <c r="EM138" t="s">
        <v>25</v>
      </c>
      <c r="EO138" t="s">
        <v>3</v>
      </c>
      <c r="EQ138">
        <v>0</v>
      </c>
      <c r="ER138">
        <v>2529.9499999999998</v>
      </c>
      <c r="ES138">
        <v>2529.9499999999998</v>
      </c>
      <c r="ET138">
        <v>0</v>
      </c>
      <c r="EU138">
        <v>0</v>
      </c>
      <c r="EV138">
        <v>0</v>
      </c>
      <c r="EW138">
        <v>0</v>
      </c>
      <c r="EX138">
        <v>0</v>
      </c>
      <c r="FQ138">
        <v>0</v>
      </c>
      <c r="FR138">
        <f t="shared" si="119"/>
        <v>0</v>
      </c>
      <c r="FS138">
        <v>0</v>
      </c>
      <c r="FX138">
        <v>70</v>
      </c>
      <c r="FY138">
        <v>10</v>
      </c>
      <c r="GA138" t="s">
        <v>3</v>
      </c>
      <c r="GD138">
        <v>0</v>
      </c>
      <c r="GF138">
        <v>1448620458</v>
      </c>
      <c r="GG138">
        <v>2</v>
      </c>
      <c r="GH138">
        <v>1</v>
      </c>
      <c r="GI138">
        <v>-2</v>
      </c>
      <c r="GJ138">
        <v>0</v>
      </c>
      <c r="GK138">
        <f>ROUND(R138*(R12)/100,2)</f>
        <v>0</v>
      </c>
      <c r="GL138">
        <f t="shared" si="120"/>
        <v>0</v>
      </c>
      <c r="GM138">
        <f t="shared" si="121"/>
        <v>-30359.4</v>
      </c>
      <c r="GN138">
        <f t="shared" si="122"/>
        <v>0</v>
      </c>
      <c r="GO138">
        <f t="shared" si="123"/>
        <v>0</v>
      </c>
      <c r="GP138">
        <f t="shared" si="124"/>
        <v>-30359.4</v>
      </c>
      <c r="GR138">
        <v>0</v>
      </c>
      <c r="GS138">
        <v>3</v>
      </c>
      <c r="GT138">
        <v>0</v>
      </c>
      <c r="GU138" t="s">
        <v>3</v>
      </c>
      <c r="GV138">
        <f t="shared" si="125"/>
        <v>0</v>
      </c>
      <c r="GW138">
        <v>1</v>
      </c>
      <c r="GX138">
        <f t="shared" si="126"/>
        <v>0</v>
      </c>
      <c r="HA138">
        <v>0</v>
      </c>
      <c r="HB138">
        <v>0</v>
      </c>
      <c r="HC138">
        <f t="shared" si="127"/>
        <v>0</v>
      </c>
      <c r="HE138" t="s">
        <v>3</v>
      </c>
      <c r="HF138" t="s">
        <v>3</v>
      </c>
      <c r="HM138" t="s">
        <v>3</v>
      </c>
      <c r="HN138" t="s">
        <v>3</v>
      </c>
      <c r="HO138" t="s">
        <v>3</v>
      </c>
      <c r="HP138" t="s">
        <v>3</v>
      </c>
      <c r="HQ138" t="s">
        <v>3</v>
      </c>
      <c r="IK138">
        <v>0</v>
      </c>
    </row>
    <row r="139" spans="1:245" x14ac:dyDescent="0.2">
      <c r="A139">
        <v>17</v>
      </c>
      <c r="B139">
        <v>1</v>
      </c>
      <c r="C139">
        <f>ROW(SmtRes!A117)</f>
        <v>117</v>
      </c>
      <c r="D139">
        <f>ROW(EtalonRes!A115)</f>
        <v>115</v>
      </c>
      <c r="E139" t="s">
        <v>214</v>
      </c>
      <c r="F139" t="s">
        <v>215</v>
      </c>
      <c r="G139" t="s">
        <v>216</v>
      </c>
      <c r="H139" t="s">
        <v>19</v>
      </c>
      <c r="I139">
        <f>ROUND(63/100,9)</f>
        <v>0.63</v>
      </c>
      <c r="J139">
        <v>0</v>
      </c>
      <c r="K139">
        <f>ROUND(63/100,9)</f>
        <v>0.63</v>
      </c>
      <c r="O139">
        <f t="shared" si="88"/>
        <v>3502.31</v>
      </c>
      <c r="P139">
        <f t="shared" si="89"/>
        <v>31.39</v>
      </c>
      <c r="Q139">
        <f t="shared" si="90"/>
        <v>0</v>
      </c>
      <c r="R139">
        <f t="shared" si="91"/>
        <v>0</v>
      </c>
      <c r="S139">
        <f t="shared" si="92"/>
        <v>3470.92</v>
      </c>
      <c r="T139">
        <f t="shared" si="93"/>
        <v>0</v>
      </c>
      <c r="U139">
        <f t="shared" si="94"/>
        <v>6.7032000000000007</v>
      </c>
      <c r="V139">
        <f t="shared" si="95"/>
        <v>0</v>
      </c>
      <c r="W139">
        <f t="shared" si="96"/>
        <v>0</v>
      </c>
      <c r="X139">
        <f t="shared" si="97"/>
        <v>2429.64</v>
      </c>
      <c r="Y139">
        <f t="shared" si="98"/>
        <v>347.09</v>
      </c>
      <c r="AA139">
        <v>78131199</v>
      </c>
      <c r="AB139">
        <f t="shared" si="99"/>
        <v>5559.22</v>
      </c>
      <c r="AC139">
        <f t="shared" si="100"/>
        <v>49.83</v>
      </c>
      <c r="AD139">
        <f t="shared" si="101"/>
        <v>0</v>
      </c>
      <c r="AE139">
        <f t="shared" si="102"/>
        <v>0</v>
      </c>
      <c r="AF139">
        <f t="shared" si="103"/>
        <v>5509.39</v>
      </c>
      <c r="AG139">
        <f t="shared" si="104"/>
        <v>0</v>
      </c>
      <c r="AH139">
        <f t="shared" si="105"/>
        <v>10.64</v>
      </c>
      <c r="AI139">
        <f t="shared" si="106"/>
        <v>0</v>
      </c>
      <c r="AJ139">
        <f t="shared" si="107"/>
        <v>0</v>
      </c>
      <c r="AK139">
        <v>5559.22</v>
      </c>
      <c r="AL139">
        <v>49.83</v>
      </c>
      <c r="AM139">
        <v>0</v>
      </c>
      <c r="AN139">
        <v>0</v>
      </c>
      <c r="AO139">
        <v>5509.39</v>
      </c>
      <c r="AP139">
        <v>0</v>
      </c>
      <c r="AQ139">
        <v>10.64</v>
      </c>
      <c r="AR139">
        <v>0</v>
      </c>
      <c r="AS139">
        <v>0</v>
      </c>
      <c r="AT139">
        <v>70</v>
      </c>
      <c r="AU139">
        <v>10</v>
      </c>
      <c r="AV139">
        <v>1</v>
      </c>
      <c r="AW139">
        <v>1</v>
      </c>
      <c r="AZ139">
        <v>1</v>
      </c>
      <c r="BA139">
        <v>1</v>
      </c>
      <c r="BB139">
        <v>1</v>
      </c>
      <c r="BC139">
        <v>1</v>
      </c>
      <c r="BD139" t="s">
        <v>3</v>
      </c>
      <c r="BE139" t="s">
        <v>3</v>
      </c>
      <c r="BF139" t="s">
        <v>3</v>
      </c>
      <c r="BG139" t="s">
        <v>3</v>
      </c>
      <c r="BH139">
        <v>0</v>
      </c>
      <c r="BI139">
        <v>4</v>
      </c>
      <c r="BJ139" t="s">
        <v>217</v>
      </c>
      <c r="BM139">
        <v>0</v>
      </c>
      <c r="BN139">
        <v>77790596</v>
      </c>
      <c r="BO139" t="s">
        <v>3</v>
      </c>
      <c r="BP139">
        <v>0</v>
      </c>
      <c r="BQ139">
        <v>1</v>
      </c>
      <c r="BR139">
        <v>0</v>
      </c>
      <c r="BS139">
        <v>1</v>
      </c>
      <c r="BT139">
        <v>1</v>
      </c>
      <c r="BU139">
        <v>1</v>
      </c>
      <c r="BV139">
        <v>1</v>
      </c>
      <c r="BW139">
        <v>1</v>
      </c>
      <c r="BX139">
        <v>1</v>
      </c>
      <c r="BY139" t="s">
        <v>3</v>
      </c>
      <c r="BZ139">
        <v>70</v>
      </c>
      <c r="CA139">
        <v>10</v>
      </c>
      <c r="CB139" t="s">
        <v>3</v>
      </c>
      <c r="CE139">
        <v>0</v>
      </c>
      <c r="CF139">
        <v>0</v>
      </c>
      <c r="CG139">
        <v>0</v>
      </c>
      <c r="CM139">
        <v>0</v>
      </c>
      <c r="CN139" t="s">
        <v>3</v>
      </c>
      <c r="CO139">
        <v>0</v>
      </c>
      <c r="CP139">
        <f t="shared" si="108"/>
        <v>3502.31</v>
      </c>
      <c r="CQ139">
        <f t="shared" si="109"/>
        <v>49.83</v>
      </c>
      <c r="CR139">
        <f t="shared" si="110"/>
        <v>0</v>
      </c>
      <c r="CS139">
        <f t="shared" si="111"/>
        <v>0</v>
      </c>
      <c r="CT139">
        <f t="shared" si="112"/>
        <v>5509.39</v>
      </c>
      <c r="CU139">
        <f t="shared" si="113"/>
        <v>0</v>
      </c>
      <c r="CV139">
        <f t="shared" si="114"/>
        <v>10.64</v>
      </c>
      <c r="CW139">
        <f t="shared" si="115"/>
        <v>0</v>
      </c>
      <c r="CX139">
        <f t="shared" si="116"/>
        <v>0</v>
      </c>
      <c r="CY139">
        <f t="shared" si="117"/>
        <v>2429.6439999999998</v>
      </c>
      <c r="CZ139">
        <f t="shared" si="118"/>
        <v>347.09199999999998</v>
      </c>
      <c r="DC139" t="s">
        <v>3</v>
      </c>
      <c r="DD139" t="s">
        <v>3</v>
      </c>
      <c r="DE139" t="s">
        <v>3</v>
      </c>
      <c r="DF139" t="s">
        <v>3</v>
      </c>
      <c r="DG139" t="s">
        <v>3</v>
      </c>
      <c r="DH139" t="s">
        <v>3</v>
      </c>
      <c r="DI139" t="s">
        <v>3</v>
      </c>
      <c r="DJ139" t="s">
        <v>3</v>
      </c>
      <c r="DK139" t="s">
        <v>3</v>
      </c>
      <c r="DL139" t="s">
        <v>3</v>
      </c>
      <c r="DM139" t="s">
        <v>3</v>
      </c>
      <c r="DN139">
        <v>0</v>
      </c>
      <c r="DO139">
        <v>0</v>
      </c>
      <c r="DP139">
        <v>1</v>
      </c>
      <c r="DQ139">
        <v>1</v>
      </c>
      <c r="DU139">
        <v>1003</v>
      </c>
      <c r="DV139" t="s">
        <v>19</v>
      </c>
      <c r="DW139" t="s">
        <v>19</v>
      </c>
      <c r="DX139">
        <v>100</v>
      </c>
      <c r="DZ139" t="s">
        <v>3</v>
      </c>
      <c r="EA139" t="s">
        <v>3</v>
      </c>
      <c r="EB139" t="s">
        <v>3</v>
      </c>
      <c r="EC139" t="s">
        <v>3</v>
      </c>
      <c r="EE139">
        <v>77790599</v>
      </c>
      <c r="EF139">
        <v>1</v>
      </c>
      <c r="EG139" t="s">
        <v>23</v>
      </c>
      <c r="EH139">
        <v>0</v>
      </c>
      <c r="EI139" t="s">
        <v>3</v>
      </c>
      <c r="EJ139">
        <v>4</v>
      </c>
      <c r="EK139">
        <v>0</v>
      </c>
      <c r="EL139" t="s">
        <v>24</v>
      </c>
      <c r="EM139" t="s">
        <v>25</v>
      </c>
      <c r="EO139" t="s">
        <v>3</v>
      </c>
      <c r="EQ139">
        <v>131072</v>
      </c>
      <c r="ER139">
        <v>5559.22</v>
      </c>
      <c r="ES139">
        <v>49.83</v>
      </c>
      <c r="ET139">
        <v>0</v>
      </c>
      <c r="EU139">
        <v>0</v>
      </c>
      <c r="EV139">
        <v>5509.39</v>
      </c>
      <c r="EW139">
        <v>10.64</v>
      </c>
      <c r="EX139">
        <v>0</v>
      </c>
      <c r="EY139">
        <v>0</v>
      </c>
      <c r="FQ139">
        <v>0</v>
      </c>
      <c r="FR139">
        <f t="shared" si="119"/>
        <v>0</v>
      </c>
      <c r="FS139">
        <v>0</v>
      </c>
      <c r="FX139">
        <v>70</v>
      </c>
      <c r="FY139">
        <v>10</v>
      </c>
      <c r="GA139" t="s">
        <v>3</v>
      </c>
      <c r="GD139">
        <v>0</v>
      </c>
      <c r="GF139">
        <v>2074005117</v>
      </c>
      <c r="GG139">
        <v>2</v>
      </c>
      <c r="GH139">
        <v>1</v>
      </c>
      <c r="GI139">
        <v>-2</v>
      </c>
      <c r="GJ139">
        <v>0</v>
      </c>
      <c r="GK139">
        <f>ROUND(R139*(R12)/100,2)</f>
        <v>0</v>
      </c>
      <c r="GL139">
        <f t="shared" si="120"/>
        <v>0</v>
      </c>
      <c r="GM139">
        <f t="shared" si="121"/>
        <v>6279.04</v>
      </c>
      <c r="GN139">
        <f t="shared" si="122"/>
        <v>0</v>
      </c>
      <c r="GO139">
        <f t="shared" si="123"/>
        <v>0</v>
      </c>
      <c r="GP139">
        <f t="shared" si="124"/>
        <v>6279.04</v>
      </c>
      <c r="GR139">
        <v>0</v>
      </c>
      <c r="GS139">
        <v>3</v>
      </c>
      <c r="GT139">
        <v>0</v>
      </c>
      <c r="GU139" t="s">
        <v>3</v>
      </c>
      <c r="GV139">
        <f t="shared" si="125"/>
        <v>0</v>
      </c>
      <c r="GW139">
        <v>1</v>
      </c>
      <c r="GX139">
        <f t="shared" si="126"/>
        <v>0</v>
      </c>
      <c r="HA139">
        <v>0</v>
      </c>
      <c r="HB139">
        <v>0</v>
      </c>
      <c r="HC139">
        <f t="shared" si="127"/>
        <v>0</v>
      </c>
      <c r="HE139" t="s">
        <v>3</v>
      </c>
      <c r="HF139" t="s">
        <v>3</v>
      </c>
      <c r="HM139" t="s">
        <v>3</v>
      </c>
      <c r="HN139" t="s">
        <v>3</v>
      </c>
      <c r="HO139" t="s">
        <v>3</v>
      </c>
      <c r="HP139" t="s">
        <v>3</v>
      </c>
      <c r="HQ139" t="s">
        <v>3</v>
      </c>
      <c r="IK139">
        <v>0</v>
      </c>
    </row>
    <row r="140" spans="1:245" x14ac:dyDescent="0.2">
      <c r="A140">
        <v>17</v>
      </c>
      <c r="B140">
        <v>1</v>
      </c>
      <c r="C140">
        <f>ROW(SmtRes!A119)</f>
        <v>119</v>
      </c>
      <c r="D140">
        <f>ROW(EtalonRes!A117)</f>
        <v>117</v>
      </c>
      <c r="E140" t="s">
        <v>218</v>
      </c>
      <c r="F140" t="s">
        <v>219</v>
      </c>
      <c r="G140" t="s">
        <v>220</v>
      </c>
      <c r="H140" t="s">
        <v>19</v>
      </c>
      <c r="I140">
        <f>ROUND(69/100,9)</f>
        <v>0.69</v>
      </c>
      <c r="J140">
        <v>0</v>
      </c>
      <c r="K140">
        <f>ROUND(69/100,9)</f>
        <v>0.69</v>
      </c>
      <c r="O140">
        <f t="shared" si="88"/>
        <v>3932.13</v>
      </c>
      <c r="P140">
        <f t="shared" si="89"/>
        <v>130.65</v>
      </c>
      <c r="Q140">
        <f t="shared" si="90"/>
        <v>0</v>
      </c>
      <c r="R140">
        <f t="shared" si="91"/>
        <v>0</v>
      </c>
      <c r="S140">
        <f t="shared" si="92"/>
        <v>3801.48</v>
      </c>
      <c r="T140">
        <f t="shared" si="93"/>
        <v>0</v>
      </c>
      <c r="U140">
        <f t="shared" si="94"/>
        <v>7.3415999999999997</v>
      </c>
      <c r="V140">
        <f t="shared" si="95"/>
        <v>0</v>
      </c>
      <c r="W140">
        <f t="shared" si="96"/>
        <v>0</v>
      </c>
      <c r="X140">
        <f t="shared" si="97"/>
        <v>2661.04</v>
      </c>
      <c r="Y140">
        <f t="shared" si="98"/>
        <v>380.15</v>
      </c>
      <c r="AA140">
        <v>78131199</v>
      </c>
      <c r="AB140">
        <f t="shared" si="99"/>
        <v>5698.74</v>
      </c>
      <c r="AC140">
        <f t="shared" si="100"/>
        <v>189.35</v>
      </c>
      <c r="AD140">
        <f t="shared" si="101"/>
        <v>0</v>
      </c>
      <c r="AE140">
        <f t="shared" si="102"/>
        <v>0</v>
      </c>
      <c r="AF140">
        <f t="shared" si="103"/>
        <v>5509.39</v>
      </c>
      <c r="AG140">
        <f t="shared" si="104"/>
        <v>0</v>
      </c>
      <c r="AH140">
        <f t="shared" si="105"/>
        <v>10.64</v>
      </c>
      <c r="AI140">
        <f t="shared" si="106"/>
        <v>0</v>
      </c>
      <c r="AJ140">
        <f t="shared" si="107"/>
        <v>0</v>
      </c>
      <c r="AK140">
        <v>5698.74</v>
      </c>
      <c r="AL140">
        <v>189.35</v>
      </c>
      <c r="AM140">
        <v>0</v>
      </c>
      <c r="AN140">
        <v>0</v>
      </c>
      <c r="AO140">
        <v>5509.39</v>
      </c>
      <c r="AP140">
        <v>0</v>
      </c>
      <c r="AQ140">
        <v>10.64</v>
      </c>
      <c r="AR140">
        <v>0</v>
      </c>
      <c r="AS140">
        <v>0</v>
      </c>
      <c r="AT140">
        <v>70</v>
      </c>
      <c r="AU140">
        <v>10</v>
      </c>
      <c r="AV140">
        <v>1</v>
      </c>
      <c r="AW140">
        <v>1</v>
      </c>
      <c r="AZ140">
        <v>1</v>
      </c>
      <c r="BA140">
        <v>1</v>
      </c>
      <c r="BB140">
        <v>1</v>
      </c>
      <c r="BC140">
        <v>1</v>
      </c>
      <c r="BD140" t="s">
        <v>3</v>
      </c>
      <c r="BE140" t="s">
        <v>3</v>
      </c>
      <c r="BF140" t="s">
        <v>3</v>
      </c>
      <c r="BG140" t="s">
        <v>3</v>
      </c>
      <c r="BH140">
        <v>0</v>
      </c>
      <c r="BI140">
        <v>4</v>
      </c>
      <c r="BJ140" t="s">
        <v>221</v>
      </c>
      <c r="BM140">
        <v>0</v>
      </c>
      <c r="BN140">
        <v>77790596</v>
      </c>
      <c r="BO140" t="s">
        <v>3</v>
      </c>
      <c r="BP140">
        <v>0</v>
      </c>
      <c r="BQ140">
        <v>1</v>
      </c>
      <c r="BR140">
        <v>0</v>
      </c>
      <c r="BS140">
        <v>1</v>
      </c>
      <c r="BT140">
        <v>1</v>
      </c>
      <c r="BU140">
        <v>1</v>
      </c>
      <c r="BV140">
        <v>1</v>
      </c>
      <c r="BW140">
        <v>1</v>
      </c>
      <c r="BX140">
        <v>1</v>
      </c>
      <c r="BY140" t="s">
        <v>3</v>
      </c>
      <c r="BZ140">
        <v>70</v>
      </c>
      <c r="CA140">
        <v>10</v>
      </c>
      <c r="CB140" t="s">
        <v>3</v>
      </c>
      <c r="CE140">
        <v>0</v>
      </c>
      <c r="CF140">
        <v>0</v>
      </c>
      <c r="CG140">
        <v>0</v>
      </c>
      <c r="CM140">
        <v>0</v>
      </c>
      <c r="CN140" t="s">
        <v>3</v>
      </c>
      <c r="CO140">
        <v>0</v>
      </c>
      <c r="CP140">
        <f t="shared" si="108"/>
        <v>3932.13</v>
      </c>
      <c r="CQ140">
        <f t="shared" si="109"/>
        <v>189.35</v>
      </c>
      <c r="CR140">
        <f t="shared" si="110"/>
        <v>0</v>
      </c>
      <c r="CS140">
        <f t="shared" si="111"/>
        <v>0</v>
      </c>
      <c r="CT140">
        <f t="shared" si="112"/>
        <v>5509.39</v>
      </c>
      <c r="CU140">
        <f t="shared" si="113"/>
        <v>0</v>
      </c>
      <c r="CV140">
        <f t="shared" si="114"/>
        <v>10.64</v>
      </c>
      <c r="CW140">
        <f t="shared" si="115"/>
        <v>0</v>
      </c>
      <c r="CX140">
        <f t="shared" si="116"/>
        <v>0</v>
      </c>
      <c r="CY140">
        <f t="shared" si="117"/>
        <v>2661.0359999999996</v>
      </c>
      <c r="CZ140">
        <f t="shared" si="118"/>
        <v>380.14800000000002</v>
      </c>
      <c r="DC140" t="s">
        <v>3</v>
      </c>
      <c r="DD140" t="s">
        <v>3</v>
      </c>
      <c r="DE140" t="s">
        <v>3</v>
      </c>
      <c r="DF140" t="s">
        <v>3</v>
      </c>
      <c r="DG140" t="s">
        <v>3</v>
      </c>
      <c r="DH140" t="s">
        <v>3</v>
      </c>
      <c r="DI140" t="s">
        <v>3</v>
      </c>
      <c r="DJ140" t="s">
        <v>3</v>
      </c>
      <c r="DK140" t="s">
        <v>3</v>
      </c>
      <c r="DL140" t="s">
        <v>3</v>
      </c>
      <c r="DM140" t="s">
        <v>3</v>
      </c>
      <c r="DN140">
        <v>0</v>
      </c>
      <c r="DO140">
        <v>0</v>
      </c>
      <c r="DP140">
        <v>1</v>
      </c>
      <c r="DQ140">
        <v>1</v>
      </c>
      <c r="DU140">
        <v>1003</v>
      </c>
      <c r="DV140" t="s">
        <v>19</v>
      </c>
      <c r="DW140" t="s">
        <v>19</v>
      </c>
      <c r="DX140">
        <v>100</v>
      </c>
      <c r="DZ140" t="s">
        <v>3</v>
      </c>
      <c r="EA140" t="s">
        <v>3</v>
      </c>
      <c r="EB140" t="s">
        <v>3</v>
      </c>
      <c r="EC140" t="s">
        <v>3</v>
      </c>
      <c r="EE140">
        <v>77790599</v>
      </c>
      <c r="EF140">
        <v>1</v>
      </c>
      <c r="EG140" t="s">
        <v>23</v>
      </c>
      <c r="EH140">
        <v>0</v>
      </c>
      <c r="EI140" t="s">
        <v>3</v>
      </c>
      <c r="EJ140">
        <v>4</v>
      </c>
      <c r="EK140">
        <v>0</v>
      </c>
      <c r="EL140" t="s">
        <v>24</v>
      </c>
      <c r="EM140" t="s">
        <v>25</v>
      </c>
      <c r="EO140" t="s">
        <v>3</v>
      </c>
      <c r="EQ140">
        <v>131072</v>
      </c>
      <c r="ER140">
        <v>5698.74</v>
      </c>
      <c r="ES140">
        <v>189.35</v>
      </c>
      <c r="ET140">
        <v>0</v>
      </c>
      <c r="EU140">
        <v>0</v>
      </c>
      <c r="EV140">
        <v>5509.39</v>
      </c>
      <c r="EW140">
        <v>10.64</v>
      </c>
      <c r="EX140">
        <v>0</v>
      </c>
      <c r="EY140">
        <v>0</v>
      </c>
      <c r="FQ140">
        <v>0</v>
      </c>
      <c r="FR140">
        <f t="shared" si="119"/>
        <v>0</v>
      </c>
      <c r="FS140">
        <v>0</v>
      </c>
      <c r="FX140">
        <v>70</v>
      </c>
      <c r="FY140">
        <v>10</v>
      </c>
      <c r="GA140" t="s">
        <v>3</v>
      </c>
      <c r="GD140">
        <v>0</v>
      </c>
      <c r="GF140">
        <v>1182786876</v>
      </c>
      <c r="GG140">
        <v>2</v>
      </c>
      <c r="GH140">
        <v>1</v>
      </c>
      <c r="GI140">
        <v>-2</v>
      </c>
      <c r="GJ140">
        <v>0</v>
      </c>
      <c r="GK140">
        <f>ROUND(R140*(R12)/100,2)</f>
        <v>0</v>
      </c>
      <c r="GL140">
        <f t="shared" si="120"/>
        <v>0</v>
      </c>
      <c r="GM140">
        <f t="shared" si="121"/>
        <v>6973.32</v>
      </c>
      <c r="GN140">
        <f t="shared" si="122"/>
        <v>0</v>
      </c>
      <c r="GO140">
        <f t="shared" si="123"/>
        <v>0</v>
      </c>
      <c r="GP140">
        <f t="shared" si="124"/>
        <v>6973.32</v>
      </c>
      <c r="GR140">
        <v>0</v>
      </c>
      <c r="GS140">
        <v>3</v>
      </c>
      <c r="GT140">
        <v>0</v>
      </c>
      <c r="GU140" t="s">
        <v>3</v>
      </c>
      <c r="GV140">
        <f t="shared" si="125"/>
        <v>0</v>
      </c>
      <c r="GW140">
        <v>1</v>
      </c>
      <c r="GX140">
        <f t="shared" si="126"/>
        <v>0</v>
      </c>
      <c r="HA140">
        <v>0</v>
      </c>
      <c r="HB140">
        <v>0</v>
      </c>
      <c r="HC140">
        <f t="shared" si="127"/>
        <v>0</v>
      </c>
      <c r="HE140" t="s">
        <v>3</v>
      </c>
      <c r="HF140" t="s">
        <v>3</v>
      </c>
      <c r="HM140" t="s">
        <v>3</v>
      </c>
      <c r="HN140" t="s">
        <v>3</v>
      </c>
      <c r="HO140" t="s">
        <v>3</v>
      </c>
      <c r="HP140" t="s">
        <v>3</v>
      </c>
      <c r="HQ140" t="s">
        <v>3</v>
      </c>
      <c r="IK140">
        <v>0</v>
      </c>
    </row>
    <row r="141" spans="1:245" x14ac:dyDescent="0.2">
      <c r="A141">
        <v>17</v>
      </c>
      <c r="B141">
        <v>1</v>
      </c>
      <c r="C141">
        <f>ROW(SmtRes!A126)</f>
        <v>126</v>
      </c>
      <c r="D141">
        <f>ROW(EtalonRes!A123)</f>
        <v>123</v>
      </c>
      <c r="E141" t="s">
        <v>222</v>
      </c>
      <c r="F141" t="s">
        <v>223</v>
      </c>
      <c r="G141" t="s">
        <v>224</v>
      </c>
      <c r="H141" t="s">
        <v>225</v>
      </c>
      <c r="I141">
        <f>ROUND(132/10,9)</f>
        <v>13.2</v>
      </c>
      <c r="J141">
        <v>0</v>
      </c>
      <c r="K141">
        <f>ROUND(132/10,9)</f>
        <v>13.2</v>
      </c>
      <c r="O141">
        <f t="shared" si="88"/>
        <v>12844.13</v>
      </c>
      <c r="P141">
        <f t="shared" si="89"/>
        <v>105.73</v>
      </c>
      <c r="Q141">
        <f t="shared" si="90"/>
        <v>0</v>
      </c>
      <c r="R141">
        <f t="shared" si="91"/>
        <v>0</v>
      </c>
      <c r="S141">
        <f t="shared" si="92"/>
        <v>12738.4</v>
      </c>
      <c r="T141">
        <f t="shared" si="93"/>
        <v>0</v>
      </c>
      <c r="U141">
        <f t="shared" si="94"/>
        <v>28.38</v>
      </c>
      <c r="V141">
        <f t="shared" si="95"/>
        <v>0</v>
      </c>
      <c r="W141">
        <f t="shared" si="96"/>
        <v>0</v>
      </c>
      <c r="X141">
        <f t="shared" si="97"/>
        <v>8916.8799999999992</v>
      </c>
      <c r="Y141">
        <f t="shared" si="98"/>
        <v>1273.8399999999999</v>
      </c>
      <c r="AA141">
        <v>78131199</v>
      </c>
      <c r="AB141">
        <f t="shared" si="99"/>
        <v>973.04</v>
      </c>
      <c r="AC141">
        <f t="shared" si="100"/>
        <v>8.01</v>
      </c>
      <c r="AD141">
        <f t="shared" si="101"/>
        <v>0</v>
      </c>
      <c r="AE141">
        <f t="shared" si="102"/>
        <v>0</v>
      </c>
      <c r="AF141">
        <f t="shared" si="103"/>
        <v>965.03</v>
      </c>
      <c r="AG141">
        <f t="shared" si="104"/>
        <v>0</v>
      </c>
      <c r="AH141">
        <f t="shared" si="105"/>
        <v>2.15</v>
      </c>
      <c r="AI141">
        <f t="shared" si="106"/>
        <v>0</v>
      </c>
      <c r="AJ141">
        <f t="shared" si="107"/>
        <v>0</v>
      </c>
      <c r="AK141">
        <v>973.04</v>
      </c>
      <c r="AL141">
        <v>8.01</v>
      </c>
      <c r="AM141">
        <v>0</v>
      </c>
      <c r="AN141">
        <v>0</v>
      </c>
      <c r="AO141">
        <v>965.03</v>
      </c>
      <c r="AP141">
        <v>0</v>
      </c>
      <c r="AQ141">
        <v>2.15</v>
      </c>
      <c r="AR141">
        <v>0</v>
      </c>
      <c r="AS141">
        <v>0</v>
      </c>
      <c r="AT141">
        <v>70</v>
      </c>
      <c r="AU141">
        <v>10</v>
      </c>
      <c r="AV141">
        <v>1</v>
      </c>
      <c r="AW141">
        <v>1</v>
      </c>
      <c r="AZ141">
        <v>1</v>
      </c>
      <c r="BA141">
        <v>1</v>
      </c>
      <c r="BB141">
        <v>1</v>
      </c>
      <c r="BC141">
        <v>1</v>
      </c>
      <c r="BD141" t="s">
        <v>3</v>
      </c>
      <c r="BE141" t="s">
        <v>3</v>
      </c>
      <c r="BF141" t="s">
        <v>3</v>
      </c>
      <c r="BG141" t="s">
        <v>3</v>
      </c>
      <c r="BH141">
        <v>0</v>
      </c>
      <c r="BI141">
        <v>4</v>
      </c>
      <c r="BJ141" t="s">
        <v>226</v>
      </c>
      <c r="BM141">
        <v>0</v>
      </c>
      <c r="BN141">
        <v>77790596</v>
      </c>
      <c r="BO141" t="s">
        <v>3</v>
      </c>
      <c r="BP141">
        <v>0</v>
      </c>
      <c r="BQ141">
        <v>1</v>
      </c>
      <c r="BR141">
        <v>0</v>
      </c>
      <c r="BS141">
        <v>1</v>
      </c>
      <c r="BT141">
        <v>1</v>
      </c>
      <c r="BU141">
        <v>1</v>
      </c>
      <c r="BV141">
        <v>1</v>
      </c>
      <c r="BW141">
        <v>1</v>
      </c>
      <c r="BX141">
        <v>1</v>
      </c>
      <c r="BY141" t="s">
        <v>3</v>
      </c>
      <c r="BZ141">
        <v>70</v>
      </c>
      <c r="CA141">
        <v>10</v>
      </c>
      <c r="CB141" t="s">
        <v>3</v>
      </c>
      <c r="CE141">
        <v>0</v>
      </c>
      <c r="CF141">
        <v>0</v>
      </c>
      <c r="CG141">
        <v>0</v>
      </c>
      <c r="CM141">
        <v>0</v>
      </c>
      <c r="CN141" t="s">
        <v>3</v>
      </c>
      <c r="CO141">
        <v>0</v>
      </c>
      <c r="CP141">
        <f t="shared" si="108"/>
        <v>12844.13</v>
      </c>
      <c r="CQ141">
        <f t="shared" si="109"/>
        <v>8.01</v>
      </c>
      <c r="CR141">
        <f t="shared" si="110"/>
        <v>0</v>
      </c>
      <c r="CS141">
        <f t="shared" si="111"/>
        <v>0</v>
      </c>
      <c r="CT141">
        <f t="shared" si="112"/>
        <v>965.03</v>
      </c>
      <c r="CU141">
        <f t="shared" si="113"/>
        <v>0</v>
      </c>
      <c r="CV141">
        <f t="shared" si="114"/>
        <v>2.15</v>
      </c>
      <c r="CW141">
        <f t="shared" si="115"/>
        <v>0</v>
      </c>
      <c r="CX141">
        <f t="shared" si="116"/>
        <v>0</v>
      </c>
      <c r="CY141">
        <f t="shared" si="117"/>
        <v>8916.8799999999992</v>
      </c>
      <c r="CZ141">
        <f t="shared" si="118"/>
        <v>1273.8399999999999</v>
      </c>
      <c r="DC141" t="s">
        <v>3</v>
      </c>
      <c r="DD141" t="s">
        <v>3</v>
      </c>
      <c r="DE141" t="s">
        <v>3</v>
      </c>
      <c r="DF141" t="s">
        <v>3</v>
      </c>
      <c r="DG141" t="s">
        <v>3</v>
      </c>
      <c r="DH141" t="s">
        <v>3</v>
      </c>
      <c r="DI141" t="s">
        <v>3</v>
      </c>
      <c r="DJ141" t="s">
        <v>3</v>
      </c>
      <c r="DK141" t="s">
        <v>3</v>
      </c>
      <c r="DL141" t="s">
        <v>3</v>
      </c>
      <c r="DM141" t="s">
        <v>3</v>
      </c>
      <c r="DN141">
        <v>0</v>
      </c>
      <c r="DO141">
        <v>0</v>
      </c>
      <c r="DP141">
        <v>1</v>
      </c>
      <c r="DQ141">
        <v>1</v>
      </c>
      <c r="DU141">
        <v>1003</v>
      </c>
      <c r="DV141" t="s">
        <v>225</v>
      </c>
      <c r="DW141" t="s">
        <v>225</v>
      </c>
      <c r="DX141">
        <v>10</v>
      </c>
      <c r="DZ141" t="s">
        <v>3</v>
      </c>
      <c r="EA141" t="s">
        <v>3</v>
      </c>
      <c r="EB141" t="s">
        <v>3</v>
      </c>
      <c r="EC141" t="s">
        <v>3</v>
      </c>
      <c r="EE141">
        <v>77790599</v>
      </c>
      <c r="EF141">
        <v>1</v>
      </c>
      <c r="EG141" t="s">
        <v>23</v>
      </c>
      <c r="EH141">
        <v>0</v>
      </c>
      <c r="EI141" t="s">
        <v>3</v>
      </c>
      <c r="EJ141">
        <v>4</v>
      </c>
      <c r="EK141">
        <v>0</v>
      </c>
      <c r="EL141" t="s">
        <v>24</v>
      </c>
      <c r="EM141" t="s">
        <v>25</v>
      </c>
      <c r="EO141" t="s">
        <v>3</v>
      </c>
      <c r="EQ141">
        <v>131072</v>
      </c>
      <c r="ER141">
        <v>973.04</v>
      </c>
      <c r="ES141">
        <v>8.01</v>
      </c>
      <c r="ET141">
        <v>0</v>
      </c>
      <c r="EU141">
        <v>0</v>
      </c>
      <c r="EV141">
        <v>965.03</v>
      </c>
      <c r="EW141">
        <v>2.15</v>
      </c>
      <c r="EX141">
        <v>0</v>
      </c>
      <c r="EY141">
        <v>0</v>
      </c>
      <c r="FQ141">
        <v>0</v>
      </c>
      <c r="FR141">
        <f t="shared" si="119"/>
        <v>0</v>
      </c>
      <c r="FS141">
        <v>0</v>
      </c>
      <c r="FX141">
        <v>70</v>
      </c>
      <c r="FY141">
        <v>10</v>
      </c>
      <c r="GA141" t="s">
        <v>3</v>
      </c>
      <c r="GD141">
        <v>0</v>
      </c>
      <c r="GF141">
        <v>675275390</v>
      </c>
      <c r="GG141">
        <v>2</v>
      </c>
      <c r="GH141">
        <v>1</v>
      </c>
      <c r="GI141">
        <v>-2</v>
      </c>
      <c r="GJ141">
        <v>0</v>
      </c>
      <c r="GK141">
        <f>ROUND(R141*(R12)/100,2)</f>
        <v>0</v>
      </c>
      <c r="GL141">
        <f t="shared" si="120"/>
        <v>0</v>
      </c>
      <c r="GM141">
        <f t="shared" si="121"/>
        <v>23034.85</v>
      </c>
      <c r="GN141">
        <f t="shared" si="122"/>
        <v>0</v>
      </c>
      <c r="GO141">
        <f t="shared" si="123"/>
        <v>0</v>
      </c>
      <c r="GP141">
        <f t="shared" si="124"/>
        <v>23034.85</v>
      </c>
      <c r="GR141">
        <v>0</v>
      </c>
      <c r="GS141">
        <v>3</v>
      </c>
      <c r="GT141">
        <v>0</v>
      </c>
      <c r="GU141" t="s">
        <v>3</v>
      </c>
      <c r="GV141">
        <f t="shared" si="125"/>
        <v>0</v>
      </c>
      <c r="GW141">
        <v>1</v>
      </c>
      <c r="GX141">
        <f t="shared" si="126"/>
        <v>0</v>
      </c>
      <c r="HA141">
        <v>0</v>
      </c>
      <c r="HB141">
        <v>0</v>
      </c>
      <c r="HC141">
        <f t="shared" si="127"/>
        <v>0</v>
      </c>
      <c r="HE141" t="s">
        <v>3</v>
      </c>
      <c r="HF141" t="s">
        <v>3</v>
      </c>
      <c r="HM141" t="s">
        <v>3</v>
      </c>
      <c r="HN141" t="s">
        <v>3</v>
      </c>
      <c r="HO141" t="s">
        <v>3</v>
      </c>
      <c r="HP141" t="s">
        <v>3</v>
      </c>
      <c r="HQ141" t="s">
        <v>3</v>
      </c>
      <c r="IK141">
        <v>0</v>
      </c>
    </row>
    <row r="142" spans="1:245" x14ac:dyDescent="0.2">
      <c r="A142">
        <v>18</v>
      </c>
      <c r="B142">
        <v>1</v>
      </c>
      <c r="C142">
        <v>124</v>
      </c>
      <c r="E142" t="s">
        <v>227</v>
      </c>
      <c r="F142" t="s">
        <v>228</v>
      </c>
      <c r="G142" t="s">
        <v>229</v>
      </c>
      <c r="H142" t="s">
        <v>33</v>
      </c>
      <c r="I142">
        <f>I141*J142</f>
        <v>138.6</v>
      </c>
      <c r="J142">
        <v>10.5</v>
      </c>
      <c r="K142">
        <v>10.5</v>
      </c>
      <c r="O142">
        <f t="shared" si="88"/>
        <v>10749.82</v>
      </c>
      <c r="P142">
        <f t="shared" si="89"/>
        <v>10749.82</v>
      </c>
      <c r="Q142">
        <f t="shared" si="90"/>
        <v>0</v>
      </c>
      <c r="R142">
        <f t="shared" si="91"/>
        <v>0</v>
      </c>
      <c r="S142">
        <f t="shared" si="92"/>
        <v>0</v>
      </c>
      <c r="T142">
        <f t="shared" si="93"/>
        <v>0</v>
      </c>
      <c r="U142">
        <f t="shared" si="94"/>
        <v>0</v>
      </c>
      <c r="V142">
        <f t="shared" si="95"/>
        <v>0</v>
      </c>
      <c r="W142">
        <f t="shared" si="96"/>
        <v>0</v>
      </c>
      <c r="X142">
        <f t="shared" si="97"/>
        <v>0</v>
      </c>
      <c r="Y142">
        <f t="shared" si="98"/>
        <v>0</v>
      </c>
      <c r="AA142">
        <v>78131199</v>
      </c>
      <c r="AB142">
        <f t="shared" si="99"/>
        <v>77.56</v>
      </c>
      <c r="AC142">
        <f t="shared" si="100"/>
        <v>77.56</v>
      </c>
      <c r="AD142">
        <f t="shared" si="101"/>
        <v>0</v>
      </c>
      <c r="AE142">
        <f t="shared" si="102"/>
        <v>0</v>
      </c>
      <c r="AF142">
        <f t="shared" si="103"/>
        <v>0</v>
      </c>
      <c r="AG142">
        <f t="shared" si="104"/>
        <v>0</v>
      </c>
      <c r="AH142">
        <f t="shared" si="105"/>
        <v>0</v>
      </c>
      <c r="AI142">
        <f t="shared" si="106"/>
        <v>0</v>
      </c>
      <c r="AJ142">
        <f t="shared" si="107"/>
        <v>0</v>
      </c>
      <c r="AK142">
        <v>77.56</v>
      </c>
      <c r="AL142">
        <v>77.56</v>
      </c>
      <c r="AM142">
        <v>0</v>
      </c>
      <c r="AN142">
        <v>0</v>
      </c>
      <c r="AO142">
        <v>0</v>
      </c>
      <c r="AP142">
        <v>0</v>
      </c>
      <c r="AQ142">
        <v>0</v>
      </c>
      <c r="AR142">
        <v>0</v>
      </c>
      <c r="AS142">
        <v>0</v>
      </c>
      <c r="AT142">
        <v>70</v>
      </c>
      <c r="AU142">
        <v>10</v>
      </c>
      <c r="AV142">
        <v>1</v>
      </c>
      <c r="AW142">
        <v>1</v>
      </c>
      <c r="AZ142">
        <v>1</v>
      </c>
      <c r="BA142">
        <v>1</v>
      </c>
      <c r="BB142">
        <v>1</v>
      </c>
      <c r="BC142">
        <v>1</v>
      </c>
      <c r="BD142" t="s">
        <v>3</v>
      </c>
      <c r="BE142" t="s">
        <v>3</v>
      </c>
      <c r="BF142" t="s">
        <v>3</v>
      </c>
      <c r="BG142" t="s">
        <v>3</v>
      </c>
      <c r="BH142">
        <v>3</v>
      </c>
      <c r="BI142">
        <v>4</v>
      </c>
      <c r="BJ142" t="s">
        <v>230</v>
      </c>
      <c r="BM142">
        <v>0</v>
      </c>
      <c r="BN142">
        <v>77790596</v>
      </c>
      <c r="BO142" t="s">
        <v>3</v>
      </c>
      <c r="BP142">
        <v>0</v>
      </c>
      <c r="BQ142">
        <v>1</v>
      </c>
      <c r="BR142">
        <v>0</v>
      </c>
      <c r="BS142">
        <v>1</v>
      </c>
      <c r="BT142">
        <v>1</v>
      </c>
      <c r="BU142">
        <v>1</v>
      </c>
      <c r="BV142">
        <v>1</v>
      </c>
      <c r="BW142">
        <v>1</v>
      </c>
      <c r="BX142">
        <v>1</v>
      </c>
      <c r="BY142" t="s">
        <v>3</v>
      </c>
      <c r="BZ142">
        <v>70</v>
      </c>
      <c r="CA142">
        <v>10</v>
      </c>
      <c r="CB142" t="s">
        <v>3</v>
      </c>
      <c r="CE142">
        <v>0</v>
      </c>
      <c r="CF142">
        <v>0</v>
      </c>
      <c r="CG142">
        <v>0</v>
      </c>
      <c r="CM142">
        <v>0</v>
      </c>
      <c r="CN142" t="s">
        <v>3</v>
      </c>
      <c r="CO142">
        <v>0</v>
      </c>
      <c r="CP142">
        <f t="shared" si="108"/>
        <v>10749.82</v>
      </c>
      <c r="CQ142">
        <f t="shared" si="109"/>
        <v>77.56</v>
      </c>
      <c r="CR142">
        <f t="shared" si="110"/>
        <v>0</v>
      </c>
      <c r="CS142">
        <f t="shared" si="111"/>
        <v>0</v>
      </c>
      <c r="CT142">
        <f t="shared" si="112"/>
        <v>0</v>
      </c>
      <c r="CU142">
        <f t="shared" si="113"/>
        <v>0</v>
      </c>
      <c r="CV142">
        <f t="shared" si="114"/>
        <v>0</v>
      </c>
      <c r="CW142">
        <f t="shared" si="115"/>
        <v>0</v>
      </c>
      <c r="CX142">
        <f t="shared" si="116"/>
        <v>0</v>
      </c>
      <c r="CY142">
        <f t="shared" si="117"/>
        <v>0</v>
      </c>
      <c r="CZ142">
        <f t="shared" si="118"/>
        <v>0</v>
      </c>
      <c r="DC142" t="s">
        <v>3</v>
      </c>
      <c r="DD142" t="s">
        <v>3</v>
      </c>
      <c r="DE142" t="s">
        <v>3</v>
      </c>
      <c r="DF142" t="s">
        <v>3</v>
      </c>
      <c r="DG142" t="s">
        <v>3</v>
      </c>
      <c r="DH142" t="s">
        <v>3</v>
      </c>
      <c r="DI142" t="s">
        <v>3</v>
      </c>
      <c r="DJ142" t="s">
        <v>3</v>
      </c>
      <c r="DK142" t="s">
        <v>3</v>
      </c>
      <c r="DL142" t="s">
        <v>3</v>
      </c>
      <c r="DM142" t="s">
        <v>3</v>
      </c>
      <c r="DN142">
        <v>0</v>
      </c>
      <c r="DO142">
        <v>0</v>
      </c>
      <c r="DP142">
        <v>1</v>
      </c>
      <c r="DQ142">
        <v>1</v>
      </c>
      <c r="DU142">
        <v>1003</v>
      </c>
      <c r="DV142" t="s">
        <v>33</v>
      </c>
      <c r="DW142" t="s">
        <v>33</v>
      </c>
      <c r="DX142">
        <v>1</v>
      </c>
      <c r="DZ142" t="s">
        <v>3</v>
      </c>
      <c r="EA142" t="s">
        <v>3</v>
      </c>
      <c r="EB142" t="s">
        <v>3</v>
      </c>
      <c r="EC142" t="s">
        <v>3</v>
      </c>
      <c r="EE142">
        <v>77790599</v>
      </c>
      <c r="EF142">
        <v>1</v>
      </c>
      <c r="EG142" t="s">
        <v>23</v>
      </c>
      <c r="EH142">
        <v>0</v>
      </c>
      <c r="EI142" t="s">
        <v>3</v>
      </c>
      <c r="EJ142">
        <v>4</v>
      </c>
      <c r="EK142">
        <v>0</v>
      </c>
      <c r="EL142" t="s">
        <v>24</v>
      </c>
      <c r="EM142" t="s">
        <v>25</v>
      </c>
      <c r="EO142" t="s">
        <v>3</v>
      </c>
      <c r="EQ142">
        <v>0</v>
      </c>
      <c r="ER142">
        <v>77.56</v>
      </c>
      <c r="ES142">
        <v>77.56</v>
      </c>
      <c r="ET142">
        <v>0</v>
      </c>
      <c r="EU142">
        <v>0</v>
      </c>
      <c r="EV142">
        <v>0</v>
      </c>
      <c r="EW142">
        <v>0</v>
      </c>
      <c r="EX142">
        <v>0</v>
      </c>
      <c r="FQ142">
        <v>0</v>
      </c>
      <c r="FR142">
        <f t="shared" si="119"/>
        <v>0</v>
      </c>
      <c r="FS142">
        <v>0</v>
      </c>
      <c r="FX142">
        <v>70</v>
      </c>
      <c r="FY142">
        <v>10</v>
      </c>
      <c r="GA142" t="s">
        <v>3</v>
      </c>
      <c r="GD142">
        <v>0</v>
      </c>
      <c r="GF142">
        <v>952043258</v>
      </c>
      <c r="GG142">
        <v>2</v>
      </c>
      <c r="GH142">
        <v>1</v>
      </c>
      <c r="GI142">
        <v>-2</v>
      </c>
      <c r="GJ142">
        <v>0</v>
      </c>
      <c r="GK142">
        <f>ROUND(R142*(R12)/100,2)</f>
        <v>0</v>
      </c>
      <c r="GL142">
        <f t="shared" si="120"/>
        <v>0</v>
      </c>
      <c r="GM142">
        <f t="shared" si="121"/>
        <v>10749.82</v>
      </c>
      <c r="GN142">
        <f t="shared" si="122"/>
        <v>0</v>
      </c>
      <c r="GO142">
        <f t="shared" si="123"/>
        <v>0</v>
      </c>
      <c r="GP142">
        <f t="shared" si="124"/>
        <v>10749.82</v>
      </c>
      <c r="GR142">
        <v>0</v>
      </c>
      <c r="GS142">
        <v>3</v>
      </c>
      <c r="GT142">
        <v>0</v>
      </c>
      <c r="GU142" t="s">
        <v>3</v>
      </c>
      <c r="GV142">
        <f t="shared" si="125"/>
        <v>0</v>
      </c>
      <c r="GW142">
        <v>1</v>
      </c>
      <c r="GX142">
        <f t="shared" si="126"/>
        <v>0</v>
      </c>
      <c r="HA142">
        <v>0</v>
      </c>
      <c r="HB142">
        <v>0</v>
      </c>
      <c r="HC142">
        <f t="shared" si="127"/>
        <v>0</v>
      </c>
      <c r="HE142" t="s">
        <v>3</v>
      </c>
      <c r="HF142" t="s">
        <v>3</v>
      </c>
      <c r="HM142" t="s">
        <v>3</v>
      </c>
      <c r="HN142" t="s">
        <v>3</v>
      </c>
      <c r="HO142" t="s">
        <v>3</v>
      </c>
      <c r="HP142" t="s">
        <v>3</v>
      </c>
      <c r="HQ142" t="s">
        <v>3</v>
      </c>
      <c r="IK142">
        <v>0</v>
      </c>
    </row>
    <row r="143" spans="1:245" x14ac:dyDescent="0.2">
      <c r="A143">
        <v>18</v>
      </c>
      <c r="B143">
        <v>1</v>
      </c>
      <c r="C143">
        <v>125</v>
      </c>
      <c r="E143" t="s">
        <v>231</v>
      </c>
      <c r="F143" t="s">
        <v>232</v>
      </c>
      <c r="G143" t="s">
        <v>233</v>
      </c>
      <c r="H143" t="s">
        <v>234</v>
      </c>
      <c r="I143">
        <f>I141*J143</f>
        <v>3.3</v>
      </c>
      <c r="J143">
        <v>0.25</v>
      </c>
      <c r="K143">
        <v>0.25</v>
      </c>
      <c r="O143">
        <f t="shared" si="88"/>
        <v>0</v>
      </c>
      <c r="P143">
        <f t="shared" si="89"/>
        <v>0</v>
      </c>
      <c r="Q143">
        <f t="shared" si="90"/>
        <v>0</v>
      </c>
      <c r="R143">
        <f t="shared" si="91"/>
        <v>0</v>
      </c>
      <c r="S143">
        <f t="shared" si="92"/>
        <v>0</v>
      </c>
      <c r="T143">
        <f t="shared" si="93"/>
        <v>0</v>
      </c>
      <c r="U143">
        <f t="shared" si="94"/>
        <v>0</v>
      </c>
      <c r="V143">
        <f t="shared" si="95"/>
        <v>0</v>
      </c>
      <c r="W143">
        <f t="shared" si="96"/>
        <v>0</v>
      </c>
      <c r="X143">
        <f t="shared" si="97"/>
        <v>0</v>
      </c>
      <c r="Y143">
        <f t="shared" si="98"/>
        <v>0</v>
      </c>
      <c r="AA143">
        <v>78131199</v>
      </c>
      <c r="AB143">
        <f t="shared" si="99"/>
        <v>0</v>
      </c>
      <c r="AC143">
        <f t="shared" si="100"/>
        <v>0</v>
      </c>
      <c r="AD143">
        <f t="shared" si="101"/>
        <v>0</v>
      </c>
      <c r="AE143">
        <f t="shared" si="102"/>
        <v>0</v>
      </c>
      <c r="AF143">
        <f t="shared" si="103"/>
        <v>0</v>
      </c>
      <c r="AG143">
        <f t="shared" si="104"/>
        <v>0</v>
      </c>
      <c r="AH143">
        <f t="shared" si="105"/>
        <v>0</v>
      </c>
      <c r="AI143">
        <f t="shared" si="106"/>
        <v>0</v>
      </c>
      <c r="AJ143">
        <f t="shared" si="107"/>
        <v>0</v>
      </c>
      <c r="AK143">
        <v>0</v>
      </c>
      <c r="AL143">
        <v>0</v>
      </c>
      <c r="AM143">
        <v>0</v>
      </c>
      <c r="AN143">
        <v>0</v>
      </c>
      <c r="AO143">
        <v>0</v>
      </c>
      <c r="AP143">
        <v>0</v>
      </c>
      <c r="AQ143">
        <v>0</v>
      </c>
      <c r="AR143">
        <v>0</v>
      </c>
      <c r="AS143">
        <v>0</v>
      </c>
      <c r="AT143">
        <v>70</v>
      </c>
      <c r="AU143">
        <v>10</v>
      </c>
      <c r="AV143">
        <v>1</v>
      </c>
      <c r="AW143">
        <v>1</v>
      </c>
      <c r="AZ143">
        <v>1</v>
      </c>
      <c r="BA143">
        <v>1</v>
      </c>
      <c r="BB143">
        <v>1</v>
      </c>
      <c r="BC143">
        <v>1</v>
      </c>
      <c r="BD143" t="s">
        <v>3</v>
      </c>
      <c r="BE143" t="s">
        <v>3</v>
      </c>
      <c r="BF143" t="s">
        <v>3</v>
      </c>
      <c r="BG143" t="s">
        <v>3</v>
      </c>
      <c r="BH143">
        <v>3</v>
      </c>
      <c r="BI143">
        <v>4</v>
      </c>
      <c r="BJ143" t="s">
        <v>3</v>
      </c>
      <c r="BM143">
        <v>0</v>
      </c>
      <c r="BN143">
        <v>77790596</v>
      </c>
      <c r="BO143" t="s">
        <v>3</v>
      </c>
      <c r="BP143">
        <v>0</v>
      </c>
      <c r="BQ143">
        <v>1</v>
      </c>
      <c r="BR143">
        <v>0</v>
      </c>
      <c r="BS143">
        <v>1</v>
      </c>
      <c r="BT143">
        <v>1</v>
      </c>
      <c r="BU143">
        <v>1</v>
      </c>
      <c r="BV143">
        <v>1</v>
      </c>
      <c r="BW143">
        <v>1</v>
      </c>
      <c r="BX143">
        <v>1</v>
      </c>
      <c r="BY143" t="s">
        <v>3</v>
      </c>
      <c r="BZ143">
        <v>70</v>
      </c>
      <c r="CA143">
        <v>10</v>
      </c>
      <c r="CB143" t="s">
        <v>3</v>
      </c>
      <c r="CE143">
        <v>0</v>
      </c>
      <c r="CF143">
        <v>0</v>
      </c>
      <c r="CG143">
        <v>0</v>
      </c>
      <c r="CM143">
        <v>0</v>
      </c>
      <c r="CN143" t="s">
        <v>3</v>
      </c>
      <c r="CO143">
        <v>0</v>
      </c>
      <c r="CP143">
        <f t="shared" si="108"/>
        <v>0</v>
      </c>
      <c r="CQ143">
        <f t="shared" si="109"/>
        <v>0</v>
      </c>
      <c r="CR143">
        <f t="shared" si="110"/>
        <v>0</v>
      </c>
      <c r="CS143">
        <f t="shared" si="111"/>
        <v>0</v>
      </c>
      <c r="CT143">
        <f t="shared" si="112"/>
        <v>0</v>
      </c>
      <c r="CU143">
        <f t="shared" si="113"/>
        <v>0</v>
      </c>
      <c r="CV143">
        <f t="shared" si="114"/>
        <v>0</v>
      </c>
      <c r="CW143">
        <f t="shared" si="115"/>
        <v>0</v>
      </c>
      <c r="CX143">
        <f t="shared" si="116"/>
        <v>0</v>
      </c>
      <c r="CY143">
        <f t="shared" si="117"/>
        <v>0</v>
      </c>
      <c r="CZ143">
        <f t="shared" si="118"/>
        <v>0</v>
      </c>
      <c r="DC143" t="s">
        <v>3</v>
      </c>
      <c r="DD143" t="s">
        <v>3</v>
      </c>
      <c r="DE143" t="s">
        <v>3</v>
      </c>
      <c r="DF143" t="s">
        <v>3</v>
      </c>
      <c r="DG143" t="s">
        <v>3</v>
      </c>
      <c r="DH143" t="s">
        <v>3</v>
      </c>
      <c r="DI143" t="s">
        <v>3</v>
      </c>
      <c r="DJ143" t="s">
        <v>3</v>
      </c>
      <c r="DK143" t="s">
        <v>3</v>
      </c>
      <c r="DL143" t="s">
        <v>3</v>
      </c>
      <c r="DM143" t="s">
        <v>3</v>
      </c>
      <c r="DN143">
        <v>0</v>
      </c>
      <c r="DO143">
        <v>0</v>
      </c>
      <c r="DP143">
        <v>1</v>
      </c>
      <c r="DQ143">
        <v>1</v>
      </c>
      <c r="DU143">
        <v>1005</v>
      </c>
      <c r="DV143" t="s">
        <v>234</v>
      </c>
      <c r="DW143" t="s">
        <v>234</v>
      </c>
      <c r="DX143">
        <v>1</v>
      </c>
      <c r="DZ143" t="s">
        <v>3</v>
      </c>
      <c r="EA143" t="s">
        <v>3</v>
      </c>
      <c r="EB143" t="s">
        <v>3</v>
      </c>
      <c r="EC143" t="s">
        <v>3</v>
      </c>
      <c r="EE143">
        <v>77790599</v>
      </c>
      <c r="EF143">
        <v>1</v>
      </c>
      <c r="EG143" t="s">
        <v>23</v>
      </c>
      <c r="EH143">
        <v>0</v>
      </c>
      <c r="EI143" t="s">
        <v>3</v>
      </c>
      <c r="EJ143">
        <v>4</v>
      </c>
      <c r="EK143">
        <v>0</v>
      </c>
      <c r="EL143" t="s">
        <v>24</v>
      </c>
      <c r="EM143" t="s">
        <v>25</v>
      </c>
      <c r="EO143" t="s">
        <v>3</v>
      </c>
      <c r="EQ143">
        <v>0</v>
      </c>
      <c r="ER143">
        <v>0</v>
      </c>
      <c r="ES143">
        <v>0</v>
      </c>
      <c r="ET143">
        <v>0</v>
      </c>
      <c r="EU143">
        <v>0</v>
      </c>
      <c r="EV143">
        <v>0</v>
      </c>
      <c r="EW143">
        <v>0</v>
      </c>
      <c r="EX143">
        <v>0</v>
      </c>
      <c r="FQ143">
        <v>0</v>
      </c>
      <c r="FR143">
        <f t="shared" si="119"/>
        <v>0</v>
      </c>
      <c r="FS143">
        <v>0</v>
      </c>
      <c r="FX143">
        <v>70</v>
      </c>
      <c r="FY143">
        <v>10</v>
      </c>
      <c r="GA143" t="s">
        <v>3</v>
      </c>
      <c r="GD143">
        <v>0</v>
      </c>
      <c r="GF143">
        <v>2071043993</v>
      </c>
      <c r="GG143">
        <v>2</v>
      </c>
      <c r="GH143">
        <v>1</v>
      </c>
      <c r="GI143">
        <v>-2</v>
      </c>
      <c r="GJ143">
        <v>0</v>
      </c>
      <c r="GK143">
        <f>ROUND(R143*(R12)/100,2)</f>
        <v>0</v>
      </c>
      <c r="GL143">
        <f t="shared" si="120"/>
        <v>0</v>
      </c>
      <c r="GM143">
        <f t="shared" si="121"/>
        <v>0</v>
      </c>
      <c r="GN143">
        <f t="shared" si="122"/>
        <v>0</v>
      </c>
      <c r="GO143">
        <f t="shared" si="123"/>
        <v>0</v>
      </c>
      <c r="GP143">
        <f t="shared" si="124"/>
        <v>0</v>
      </c>
      <c r="GR143">
        <v>0</v>
      </c>
      <c r="GS143">
        <v>3</v>
      </c>
      <c r="GT143">
        <v>0</v>
      </c>
      <c r="GU143" t="s">
        <v>3</v>
      </c>
      <c r="GV143">
        <f t="shared" si="125"/>
        <v>0</v>
      </c>
      <c r="GW143">
        <v>1</v>
      </c>
      <c r="GX143">
        <f t="shared" si="126"/>
        <v>0</v>
      </c>
      <c r="HA143">
        <v>0</v>
      </c>
      <c r="HB143">
        <v>0</v>
      </c>
      <c r="HC143">
        <f t="shared" si="127"/>
        <v>0</v>
      </c>
      <c r="HE143" t="s">
        <v>3</v>
      </c>
      <c r="HF143" t="s">
        <v>3</v>
      </c>
      <c r="HM143" t="s">
        <v>3</v>
      </c>
      <c r="HN143" t="s">
        <v>3</v>
      </c>
      <c r="HO143" t="s">
        <v>3</v>
      </c>
      <c r="HP143" t="s">
        <v>3</v>
      </c>
      <c r="HQ143" t="s">
        <v>3</v>
      </c>
      <c r="IK143">
        <v>0</v>
      </c>
    </row>
    <row r="144" spans="1:245" x14ac:dyDescent="0.2">
      <c r="A144">
        <v>18</v>
      </c>
      <c r="B144">
        <v>1</v>
      </c>
      <c r="C144">
        <v>122</v>
      </c>
      <c r="E144" t="s">
        <v>235</v>
      </c>
      <c r="F144" t="s">
        <v>236</v>
      </c>
      <c r="G144" t="s">
        <v>237</v>
      </c>
      <c r="H144" t="s">
        <v>33</v>
      </c>
      <c r="I144">
        <f>I141*J144</f>
        <v>72.45</v>
      </c>
      <c r="J144">
        <v>5.4886363636363642</v>
      </c>
      <c r="K144">
        <v>5.4886363999999999</v>
      </c>
      <c r="O144">
        <f t="shared" si="88"/>
        <v>15998.41</v>
      </c>
      <c r="P144">
        <f t="shared" si="89"/>
        <v>15998.41</v>
      </c>
      <c r="Q144">
        <f t="shared" si="90"/>
        <v>0</v>
      </c>
      <c r="R144">
        <f t="shared" si="91"/>
        <v>0</v>
      </c>
      <c r="S144">
        <f t="shared" si="92"/>
        <v>0</v>
      </c>
      <c r="T144">
        <f t="shared" si="93"/>
        <v>0</v>
      </c>
      <c r="U144">
        <f t="shared" si="94"/>
        <v>0</v>
      </c>
      <c r="V144">
        <f t="shared" si="95"/>
        <v>0</v>
      </c>
      <c r="W144">
        <f t="shared" si="96"/>
        <v>0</v>
      </c>
      <c r="X144">
        <f t="shared" si="97"/>
        <v>0</v>
      </c>
      <c r="Y144">
        <f t="shared" si="98"/>
        <v>0</v>
      </c>
      <c r="AA144">
        <v>78131199</v>
      </c>
      <c r="AB144">
        <f t="shared" si="99"/>
        <v>220.82</v>
      </c>
      <c r="AC144">
        <f t="shared" si="100"/>
        <v>220.82</v>
      </c>
      <c r="AD144">
        <f t="shared" si="101"/>
        <v>0</v>
      </c>
      <c r="AE144">
        <f t="shared" si="102"/>
        <v>0</v>
      </c>
      <c r="AF144">
        <f t="shared" si="103"/>
        <v>0</v>
      </c>
      <c r="AG144">
        <f t="shared" si="104"/>
        <v>0</v>
      </c>
      <c r="AH144">
        <f t="shared" si="105"/>
        <v>0</v>
      </c>
      <c r="AI144">
        <f t="shared" si="106"/>
        <v>0</v>
      </c>
      <c r="AJ144">
        <f t="shared" si="107"/>
        <v>0</v>
      </c>
      <c r="AK144">
        <v>220.82</v>
      </c>
      <c r="AL144">
        <v>220.82</v>
      </c>
      <c r="AM144">
        <v>0</v>
      </c>
      <c r="AN144">
        <v>0</v>
      </c>
      <c r="AO144">
        <v>0</v>
      </c>
      <c r="AP144">
        <v>0</v>
      </c>
      <c r="AQ144">
        <v>0</v>
      </c>
      <c r="AR144">
        <v>0</v>
      </c>
      <c r="AS144">
        <v>0</v>
      </c>
      <c r="AT144">
        <v>70</v>
      </c>
      <c r="AU144">
        <v>10</v>
      </c>
      <c r="AV144">
        <v>1</v>
      </c>
      <c r="AW144">
        <v>1</v>
      </c>
      <c r="AZ144">
        <v>1</v>
      </c>
      <c r="BA144">
        <v>1</v>
      </c>
      <c r="BB144">
        <v>1</v>
      </c>
      <c r="BC144">
        <v>1</v>
      </c>
      <c r="BD144" t="s">
        <v>3</v>
      </c>
      <c r="BE144" t="s">
        <v>3</v>
      </c>
      <c r="BF144" t="s">
        <v>3</v>
      </c>
      <c r="BG144" t="s">
        <v>3</v>
      </c>
      <c r="BH144">
        <v>3</v>
      </c>
      <c r="BI144">
        <v>4</v>
      </c>
      <c r="BJ144" t="s">
        <v>238</v>
      </c>
      <c r="BM144">
        <v>0</v>
      </c>
      <c r="BN144">
        <v>77790596</v>
      </c>
      <c r="BO144" t="s">
        <v>3</v>
      </c>
      <c r="BP144">
        <v>0</v>
      </c>
      <c r="BQ144">
        <v>1</v>
      </c>
      <c r="BR144">
        <v>0</v>
      </c>
      <c r="BS144">
        <v>1</v>
      </c>
      <c r="BT144">
        <v>1</v>
      </c>
      <c r="BU144">
        <v>1</v>
      </c>
      <c r="BV144">
        <v>1</v>
      </c>
      <c r="BW144">
        <v>1</v>
      </c>
      <c r="BX144">
        <v>1</v>
      </c>
      <c r="BY144" t="s">
        <v>3</v>
      </c>
      <c r="BZ144">
        <v>70</v>
      </c>
      <c r="CA144">
        <v>10</v>
      </c>
      <c r="CB144" t="s">
        <v>3</v>
      </c>
      <c r="CE144">
        <v>0</v>
      </c>
      <c r="CF144">
        <v>0</v>
      </c>
      <c r="CG144">
        <v>0</v>
      </c>
      <c r="CM144">
        <v>0</v>
      </c>
      <c r="CN144" t="s">
        <v>3</v>
      </c>
      <c r="CO144">
        <v>0</v>
      </c>
      <c r="CP144">
        <f t="shared" si="108"/>
        <v>15998.41</v>
      </c>
      <c r="CQ144">
        <f t="shared" si="109"/>
        <v>220.82</v>
      </c>
      <c r="CR144">
        <f t="shared" si="110"/>
        <v>0</v>
      </c>
      <c r="CS144">
        <f t="shared" si="111"/>
        <v>0</v>
      </c>
      <c r="CT144">
        <f t="shared" si="112"/>
        <v>0</v>
      </c>
      <c r="CU144">
        <f t="shared" si="113"/>
        <v>0</v>
      </c>
      <c r="CV144">
        <f t="shared" si="114"/>
        <v>0</v>
      </c>
      <c r="CW144">
        <f t="shared" si="115"/>
        <v>0</v>
      </c>
      <c r="CX144">
        <f t="shared" si="116"/>
        <v>0</v>
      </c>
      <c r="CY144">
        <f t="shared" si="117"/>
        <v>0</v>
      </c>
      <c r="CZ144">
        <f t="shared" si="118"/>
        <v>0</v>
      </c>
      <c r="DC144" t="s">
        <v>3</v>
      </c>
      <c r="DD144" t="s">
        <v>3</v>
      </c>
      <c r="DE144" t="s">
        <v>3</v>
      </c>
      <c r="DF144" t="s">
        <v>3</v>
      </c>
      <c r="DG144" t="s">
        <v>3</v>
      </c>
      <c r="DH144" t="s">
        <v>3</v>
      </c>
      <c r="DI144" t="s">
        <v>3</v>
      </c>
      <c r="DJ144" t="s">
        <v>3</v>
      </c>
      <c r="DK144" t="s">
        <v>3</v>
      </c>
      <c r="DL144" t="s">
        <v>3</v>
      </c>
      <c r="DM144" t="s">
        <v>3</v>
      </c>
      <c r="DN144">
        <v>0</v>
      </c>
      <c r="DO144">
        <v>0</v>
      </c>
      <c r="DP144">
        <v>1</v>
      </c>
      <c r="DQ144">
        <v>1</v>
      </c>
      <c r="DU144">
        <v>1003</v>
      </c>
      <c r="DV144" t="s">
        <v>33</v>
      </c>
      <c r="DW144" t="s">
        <v>33</v>
      </c>
      <c r="DX144">
        <v>1</v>
      </c>
      <c r="DZ144" t="s">
        <v>3</v>
      </c>
      <c r="EA144" t="s">
        <v>3</v>
      </c>
      <c r="EB144" t="s">
        <v>3</v>
      </c>
      <c r="EC144" t="s">
        <v>3</v>
      </c>
      <c r="EE144">
        <v>77790599</v>
      </c>
      <c r="EF144">
        <v>1</v>
      </c>
      <c r="EG144" t="s">
        <v>23</v>
      </c>
      <c r="EH144">
        <v>0</v>
      </c>
      <c r="EI144" t="s">
        <v>3</v>
      </c>
      <c r="EJ144">
        <v>4</v>
      </c>
      <c r="EK144">
        <v>0</v>
      </c>
      <c r="EL144" t="s">
        <v>24</v>
      </c>
      <c r="EM144" t="s">
        <v>25</v>
      </c>
      <c r="EO144" t="s">
        <v>3</v>
      </c>
      <c r="EQ144">
        <v>0</v>
      </c>
      <c r="ER144">
        <v>220.82</v>
      </c>
      <c r="ES144">
        <v>220.82</v>
      </c>
      <c r="ET144">
        <v>0</v>
      </c>
      <c r="EU144">
        <v>0</v>
      </c>
      <c r="EV144">
        <v>0</v>
      </c>
      <c r="EW144">
        <v>0</v>
      </c>
      <c r="EX144">
        <v>0</v>
      </c>
      <c r="FQ144">
        <v>0</v>
      </c>
      <c r="FR144">
        <f t="shared" si="119"/>
        <v>0</v>
      </c>
      <c r="FS144">
        <v>0</v>
      </c>
      <c r="FX144">
        <v>70</v>
      </c>
      <c r="FY144">
        <v>10</v>
      </c>
      <c r="GA144" t="s">
        <v>3</v>
      </c>
      <c r="GD144">
        <v>0</v>
      </c>
      <c r="GF144">
        <v>-2099060053</v>
      </c>
      <c r="GG144">
        <v>2</v>
      </c>
      <c r="GH144">
        <v>1</v>
      </c>
      <c r="GI144">
        <v>-2</v>
      </c>
      <c r="GJ144">
        <v>0</v>
      </c>
      <c r="GK144">
        <f>ROUND(R144*(R12)/100,2)</f>
        <v>0</v>
      </c>
      <c r="GL144">
        <f t="shared" si="120"/>
        <v>0</v>
      </c>
      <c r="GM144">
        <f t="shared" si="121"/>
        <v>15998.41</v>
      </c>
      <c r="GN144">
        <f t="shared" si="122"/>
        <v>0</v>
      </c>
      <c r="GO144">
        <f t="shared" si="123"/>
        <v>0</v>
      </c>
      <c r="GP144">
        <f t="shared" si="124"/>
        <v>15998.41</v>
      </c>
      <c r="GR144">
        <v>0</v>
      </c>
      <c r="GS144">
        <v>3</v>
      </c>
      <c r="GT144">
        <v>0</v>
      </c>
      <c r="GU144" t="s">
        <v>3</v>
      </c>
      <c r="GV144">
        <f t="shared" si="125"/>
        <v>0</v>
      </c>
      <c r="GW144">
        <v>1</v>
      </c>
      <c r="GX144">
        <f t="shared" si="126"/>
        <v>0</v>
      </c>
      <c r="HA144">
        <v>0</v>
      </c>
      <c r="HB144">
        <v>0</v>
      </c>
      <c r="HC144">
        <f t="shared" si="127"/>
        <v>0</v>
      </c>
      <c r="HE144" t="s">
        <v>3</v>
      </c>
      <c r="HF144" t="s">
        <v>3</v>
      </c>
      <c r="HM144" t="s">
        <v>3</v>
      </c>
      <c r="HN144" t="s">
        <v>3</v>
      </c>
      <c r="HO144" t="s">
        <v>3</v>
      </c>
      <c r="HP144" t="s">
        <v>3</v>
      </c>
      <c r="HQ144" t="s">
        <v>3</v>
      </c>
      <c r="IK144">
        <v>0</v>
      </c>
    </row>
    <row r="145" spans="1:245" x14ac:dyDescent="0.2">
      <c r="A145">
        <v>18</v>
      </c>
      <c r="B145">
        <v>1</v>
      </c>
      <c r="C145">
        <v>123</v>
      </c>
      <c r="E145" t="s">
        <v>239</v>
      </c>
      <c r="F145" t="s">
        <v>240</v>
      </c>
      <c r="G145" t="s">
        <v>241</v>
      </c>
      <c r="H145" t="s">
        <v>33</v>
      </c>
      <c r="I145">
        <f>I141*J145</f>
        <v>66.150000000000006</v>
      </c>
      <c r="J145">
        <v>5.0113636363636367</v>
      </c>
      <c r="K145">
        <v>5.0113636000000001</v>
      </c>
      <c r="O145">
        <f t="shared" si="88"/>
        <v>7455.77</v>
      </c>
      <c r="P145">
        <f t="shared" si="89"/>
        <v>7455.77</v>
      </c>
      <c r="Q145">
        <f t="shared" si="90"/>
        <v>0</v>
      </c>
      <c r="R145">
        <f t="shared" si="91"/>
        <v>0</v>
      </c>
      <c r="S145">
        <f t="shared" si="92"/>
        <v>0</v>
      </c>
      <c r="T145">
        <f t="shared" si="93"/>
        <v>0</v>
      </c>
      <c r="U145">
        <f t="shared" si="94"/>
        <v>0</v>
      </c>
      <c r="V145">
        <f t="shared" si="95"/>
        <v>0</v>
      </c>
      <c r="W145">
        <f t="shared" si="96"/>
        <v>0</v>
      </c>
      <c r="X145">
        <f t="shared" si="97"/>
        <v>0</v>
      </c>
      <c r="Y145">
        <f t="shared" si="98"/>
        <v>0</v>
      </c>
      <c r="AA145">
        <v>78131199</v>
      </c>
      <c r="AB145">
        <f t="shared" si="99"/>
        <v>112.71</v>
      </c>
      <c r="AC145">
        <f t="shared" si="100"/>
        <v>112.71</v>
      </c>
      <c r="AD145">
        <f t="shared" si="101"/>
        <v>0</v>
      </c>
      <c r="AE145">
        <f t="shared" si="102"/>
        <v>0</v>
      </c>
      <c r="AF145">
        <f t="shared" si="103"/>
        <v>0</v>
      </c>
      <c r="AG145">
        <f t="shared" si="104"/>
        <v>0</v>
      </c>
      <c r="AH145">
        <f t="shared" si="105"/>
        <v>0</v>
      </c>
      <c r="AI145">
        <f t="shared" si="106"/>
        <v>0</v>
      </c>
      <c r="AJ145">
        <f t="shared" si="107"/>
        <v>0</v>
      </c>
      <c r="AK145">
        <v>112.71</v>
      </c>
      <c r="AL145">
        <v>112.71</v>
      </c>
      <c r="AM145">
        <v>0</v>
      </c>
      <c r="AN145">
        <v>0</v>
      </c>
      <c r="AO145">
        <v>0</v>
      </c>
      <c r="AP145">
        <v>0</v>
      </c>
      <c r="AQ145">
        <v>0</v>
      </c>
      <c r="AR145">
        <v>0</v>
      </c>
      <c r="AS145">
        <v>0</v>
      </c>
      <c r="AT145">
        <v>70</v>
      </c>
      <c r="AU145">
        <v>10</v>
      </c>
      <c r="AV145">
        <v>1</v>
      </c>
      <c r="AW145">
        <v>1</v>
      </c>
      <c r="AZ145">
        <v>1</v>
      </c>
      <c r="BA145">
        <v>1</v>
      </c>
      <c r="BB145">
        <v>1</v>
      </c>
      <c r="BC145">
        <v>1</v>
      </c>
      <c r="BD145" t="s">
        <v>3</v>
      </c>
      <c r="BE145" t="s">
        <v>3</v>
      </c>
      <c r="BF145" t="s">
        <v>3</v>
      </c>
      <c r="BG145" t="s">
        <v>3</v>
      </c>
      <c r="BH145">
        <v>3</v>
      </c>
      <c r="BI145">
        <v>4</v>
      </c>
      <c r="BJ145" t="s">
        <v>242</v>
      </c>
      <c r="BM145">
        <v>0</v>
      </c>
      <c r="BN145">
        <v>77790596</v>
      </c>
      <c r="BO145" t="s">
        <v>3</v>
      </c>
      <c r="BP145">
        <v>0</v>
      </c>
      <c r="BQ145">
        <v>1</v>
      </c>
      <c r="BR145">
        <v>0</v>
      </c>
      <c r="BS145">
        <v>1</v>
      </c>
      <c r="BT145">
        <v>1</v>
      </c>
      <c r="BU145">
        <v>1</v>
      </c>
      <c r="BV145">
        <v>1</v>
      </c>
      <c r="BW145">
        <v>1</v>
      </c>
      <c r="BX145">
        <v>1</v>
      </c>
      <c r="BY145" t="s">
        <v>3</v>
      </c>
      <c r="BZ145">
        <v>70</v>
      </c>
      <c r="CA145">
        <v>10</v>
      </c>
      <c r="CB145" t="s">
        <v>3</v>
      </c>
      <c r="CE145">
        <v>0</v>
      </c>
      <c r="CF145">
        <v>0</v>
      </c>
      <c r="CG145">
        <v>0</v>
      </c>
      <c r="CM145">
        <v>0</v>
      </c>
      <c r="CN145" t="s">
        <v>3</v>
      </c>
      <c r="CO145">
        <v>0</v>
      </c>
      <c r="CP145">
        <f t="shared" si="108"/>
        <v>7455.77</v>
      </c>
      <c r="CQ145">
        <f t="shared" si="109"/>
        <v>112.71</v>
      </c>
      <c r="CR145">
        <f t="shared" si="110"/>
        <v>0</v>
      </c>
      <c r="CS145">
        <f t="shared" si="111"/>
        <v>0</v>
      </c>
      <c r="CT145">
        <f t="shared" si="112"/>
        <v>0</v>
      </c>
      <c r="CU145">
        <f t="shared" si="113"/>
        <v>0</v>
      </c>
      <c r="CV145">
        <f t="shared" si="114"/>
        <v>0</v>
      </c>
      <c r="CW145">
        <f t="shared" si="115"/>
        <v>0</v>
      </c>
      <c r="CX145">
        <f t="shared" si="116"/>
        <v>0</v>
      </c>
      <c r="CY145">
        <f t="shared" si="117"/>
        <v>0</v>
      </c>
      <c r="CZ145">
        <f t="shared" si="118"/>
        <v>0</v>
      </c>
      <c r="DC145" t="s">
        <v>3</v>
      </c>
      <c r="DD145" t="s">
        <v>3</v>
      </c>
      <c r="DE145" t="s">
        <v>3</v>
      </c>
      <c r="DF145" t="s">
        <v>3</v>
      </c>
      <c r="DG145" t="s">
        <v>3</v>
      </c>
      <c r="DH145" t="s">
        <v>3</v>
      </c>
      <c r="DI145" t="s">
        <v>3</v>
      </c>
      <c r="DJ145" t="s">
        <v>3</v>
      </c>
      <c r="DK145" t="s">
        <v>3</v>
      </c>
      <c r="DL145" t="s">
        <v>3</v>
      </c>
      <c r="DM145" t="s">
        <v>3</v>
      </c>
      <c r="DN145">
        <v>0</v>
      </c>
      <c r="DO145">
        <v>0</v>
      </c>
      <c r="DP145">
        <v>1</v>
      </c>
      <c r="DQ145">
        <v>1</v>
      </c>
      <c r="DU145">
        <v>1003</v>
      </c>
      <c r="DV145" t="s">
        <v>33</v>
      </c>
      <c r="DW145" t="s">
        <v>33</v>
      </c>
      <c r="DX145">
        <v>1</v>
      </c>
      <c r="DZ145" t="s">
        <v>3</v>
      </c>
      <c r="EA145" t="s">
        <v>3</v>
      </c>
      <c r="EB145" t="s">
        <v>3</v>
      </c>
      <c r="EC145" t="s">
        <v>3</v>
      </c>
      <c r="EE145">
        <v>77790599</v>
      </c>
      <c r="EF145">
        <v>1</v>
      </c>
      <c r="EG145" t="s">
        <v>23</v>
      </c>
      <c r="EH145">
        <v>0</v>
      </c>
      <c r="EI145" t="s">
        <v>3</v>
      </c>
      <c r="EJ145">
        <v>4</v>
      </c>
      <c r="EK145">
        <v>0</v>
      </c>
      <c r="EL145" t="s">
        <v>24</v>
      </c>
      <c r="EM145" t="s">
        <v>25</v>
      </c>
      <c r="EO145" t="s">
        <v>3</v>
      </c>
      <c r="EQ145">
        <v>0</v>
      </c>
      <c r="ER145">
        <v>112.71</v>
      </c>
      <c r="ES145">
        <v>112.71</v>
      </c>
      <c r="ET145">
        <v>0</v>
      </c>
      <c r="EU145">
        <v>0</v>
      </c>
      <c r="EV145">
        <v>0</v>
      </c>
      <c r="EW145">
        <v>0</v>
      </c>
      <c r="EX145">
        <v>0</v>
      </c>
      <c r="FQ145">
        <v>0</v>
      </c>
      <c r="FR145">
        <f t="shared" si="119"/>
        <v>0</v>
      </c>
      <c r="FS145">
        <v>0</v>
      </c>
      <c r="FX145">
        <v>70</v>
      </c>
      <c r="FY145">
        <v>10</v>
      </c>
      <c r="GA145" t="s">
        <v>3</v>
      </c>
      <c r="GD145">
        <v>0</v>
      </c>
      <c r="GF145">
        <v>1666791963</v>
      </c>
      <c r="GG145">
        <v>2</v>
      </c>
      <c r="GH145">
        <v>1</v>
      </c>
      <c r="GI145">
        <v>-2</v>
      </c>
      <c r="GJ145">
        <v>0</v>
      </c>
      <c r="GK145">
        <f>ROUND(R145*(R12)/100,2)</f>
        <v>0</v>
      </c>
      <c r="GL145">
        <f t="shared" si="120"/>
        <v>0</v>
      </c>
      <c r="GM145">
        <f t="shared" si="121"/>
        <v>7455.77</v>
      </c>
      <c r="GN145">
        <f t="shared" si="122"/>
        <v>0</v>
      </c>
      <c r="GO145">
        <f t="shared" si="123"/>
        <v>0</v>
      </c>
      <c r="GP145">
        <f t="shared" si="124"/>
        <v>7455.77</v>
      </c>
      <c r="GR145">
        <v>0</v>
      </c>
      <c r="GS145">
        <v>3</v>
      </c>
      <c r="GT145">
        <v>0</v>
      </c>
      <c r="GU145" t="s">
        <v>3</v>
      </c>
      <c r="GV145">
        <f t="shared" si="125"/>
        <v>0</v>
      </c>
      <c r="GW145">
        <v>1</v>
      </c>
      <c r="GX145">
        <f t="shared" si="126"/>
        <v>0</v>
      </c>
      <c r="HA145">
        <v>0</v>
      </c>
      <c r="HB145">
        <v>0</v>
      </c>
      <c r="HC145">
        <f t="shared" si="127"/>
        <v>0</v>
      </c>
      <c r="HE145" t="s">
        <v>3</v>
      </c>
      <c r="HF145" t="s">
        <v>3</v>
      </c>
      <c r="HM145" t="s">
        <v>3</v>
      </c>
      <c r="HN145" t="s">
        <v>3</v>
      </c>
      <c r="HO145" t="s">
        <v>3</v>
      </c>
      <c r="HP145" t="s">
        <v>3</v>
      </c>
      <c r="HQ145" t="s">
        <v>3</v>
      </c>
      <c r="IK145">
        <v>0</v>
      </c>
    </row>
    <row r="146" spans="1:245" x14ac:dyDescent="0.2">
      <c r="A146">
        <v>18</v>
      </c>
      <c r="B146">
        <v>1</v>
      </c>
      <c r="C146">
        <v>126</v>
      </c>
      <c r="E146" t="s">
        <v>243</v>
      </c>
      <c r="F146" t="s">
        <v>244</v>
      </c>
      <c r="G146" t="s">
        <v>245</v>
      </c>
      <c r="H146" t="s">
        <v>246</v>
      </c>
      <c r="I146">
        <f>I141*J146</f>
        <v>0</v>
      </c>
      <c r="J146">
        <v>0</v>
      </c>
      <c r="K146">
        <v>0</v>
      </c>
      <c r="O146">
        <f t="shared" si="88"/>
        <v>0</v>
      </c>
      <c r="P146">
        <f t="shared" si="89"/>
        <v>0</v>
      </c>
      <c r="Q146">
        <f t="shared" si="90"/>
        <v>0</v>
      </c>
      <c r="R146">
        <f t="shared" si="91"/>
        <v>0</v>
      </c>
      <c r="S146">
        <f t="shared" si="92"/>
        <v>0</v>
      </c>
      <c r="T146">
        <f t="shared" si="93"/>
        <v>0</v>
      </c>
      <c r="U146">
        <f t="shared" si="94"/>
        <v>0</v>
      </c>
      <c r="V146">
        <f t="shared" si="95"/>
        <v>0</v>
      </c>
      <c r="W146">
        <f t="shared" si="96"/>
        <v>0</v>
      </c>
      <c r="X146">
        <f t="shared" si="97"/>
        <v>0</v>
      </c>
      <c r="Y146">
        <f t="shared" si="98"/>
        <v>0</v>
      </c>
      <c r="AA146">
        <v>78131199</v>
      </c>
      <c r="AB146">
        <f t="shared" si="99"/>
        <v>0</v>
      </c>
      <c r="AC146">
        <f t="shared" si="100"/>
        <v>0</v>
      </c>
      <c r="AD146">
        <f t="shared" si="101"/>
        <v>0</v>
      </c>
      <c r="AE146">
        <f t="shared" si="102"/>
        <v>0</v>
      </c>
      <c r="AF146">
        <f t="shared" si="103"/>
        <v>0</v>
      </c>
      <c r="AG146">
        <f t="shared" si="104"/>
        <v>0</v>
      </c>
      <c r="AH146">
        <f t="shared" si="105"/>
        <v>0</v>
      </c>
      <c r="AI146">
        <f t="shared" si="106"/>
        <v>0</v>
      </c>
      <c r="AJ146">
        <f t="shared" si="107"/>
        <v>0</v>
      </c>
      <c r="AK146">
        <v>0</v>
      </c>
      <c r="AL146">
        <v>0</v>
      </c>
      <c r="AM146">
        <v>0</v>
      </c>
      <c r="AN146">
        <v>0</v>
      </c>
      <c r="AO146">
        <v>0</v>
      </c>
      <c r="AP146">
        <v>0</v>
      </c>
      <c r="AQ146">
        <v>0</v>
      </c>
      <c r="AR146">
        <v>0</v>
      </c>
      <c r="AS146">
        <v>0</v>
      </c>
      <c r="AT146">
        <v>70</v>
      </c>
      <c r="AU146">
        <v>10</v>
      </c>
      <c r="AV146">
        <v>1</v>
      </c>
      <c r="AW146">
        <v>1</v>
      </c>
      <c r="AZ146">
        <v>1</v>
      </c>
      <c r="BA146">
        <v>1</v>
      </c>
      <c r="BB146">
        <v>1</v>
      </c>
      <c r="BC146">
        <v>1</v>
      </c>
      <c r="BD146" t="s">
        <v>3</v>
      </c>
      <c r="BE146" t="s">
        <v>3</v>
      </c>
      <c r="BF146" t="s">
        <v>3</v>
      </c>
      <c r="BG146" t="s">
        <v>3</v>
      </c>
      <c r="BH146">
        <v>3</v>
      </c>
      <c r="BI146">
        <v>4</v>
      </c>
      <c r="BJ146" t="s">
        <v>3</v>
      </c>
      <c r="BM146">
        <v>0</v>
      </c>
      <c r="BN146">
        <v>77790596</v>
      </c>
      <c r="BO146" t="s">
        <v>3</v>
      </c>
      <c r="BP146">
        <v>0</v>
      </c>
      <c r="BQ146">
        <v>1</v>
      </c>
      <c r="BR146">
        <v>0</v>
      </c>
      <c r="BS146">
        <v>1</v>
      </c>
      <c r="BT146">
        <v>1</v>
      </c>
      <c r="BU146">
        <v>1</v>
      </c>
      <c r="BV146">
        <v>1</v>
      </c>
      <c r="BW146">
        <v>1</v>
      </c>
      <c r="BX146">
        <v>1</v>
      </c>
      <c r="BY146" t="s">
        <v>3</v>
      </c>
      <c r="BZ146">
        <v>70</v>
      </c>
      <c r="CA146">
        <v>10</v>
      </c>
      <c r="CB146" t="s">
        <v>3</v>
      </c>
      <c r="CE146">
        <v>0</v>
      </c>
      <c r="CF146">
        <v>0</v>
      </c>
      <c r="CG146">
        <v>0</v>
      </c>
      <c r="CM146">
        <v>0</v>
      </c>
      <c r="CN146" t="s">
        <v>3</v>
      </c>
      <c r="CO146">
        <v>0</v>
      </c>
      <c r="CP146">
        <f t="shared" si="108"/>
        <v>0</v>
      </c>
      <c r="CQ146">
        <f t="shared" si="109"/>
        <v>0</v>
      </c>
      <c r="CR146">
        <f t="shared" si="110"/>
        <v>0</v>
      </c>
      <c r="CS146">
        <f t="shared" si="111"/>
        <v>0</v>
      </c>
      <c r="CT146">
        <f t="shared" si="112"/>
        <v>0</v>
      </c>
      <c r="CU146">
        <f t="shared" si="113"/>
        <v>0</v>
      </c>
      <c r="CV146">
        <f t="shared" si="114"/>
        <v>0</v>
      </c>
      <c r="CW146">
        <f t="shared" si="115"/>
        <v>0</v>
      </c>
      <c r="CX146">
        <f t="shared" si="116"/>
        <v>0</v>
      </c>
      <c r="CY146">
        <f t="shared" si="117"/>
        <v>0</v>
      </c>
      <c r="CZ146">
        <f t="shared" si="118"/>
        <v>0</v>
      </c>
      <c r="DC146" t="s">
        <v>3</v>
      </c>
      <c r="DD146" t="s">
        <v>3</v>
      </c>
      <c r="DE146" t="s">
        <v>3</v>
      </c>
      <c r="DF146" t="s">
        <v>3</v>
      </c>
      <c r="DG146" t="s">
        <v>3</v>
      </c>
      <c r="DH146" t="s">
        <v>3</v>
      </c>
      <c r="DI146" t="s">
        <v>3</v>
      </c>
      <c r="DJ146" t="s">
        <v>3</v>
      </c>
      <c r="DK146" t="s">
        <v>3</v>
      </c>
      <c r="DL146" t="s">
        <v>3</v>
      </c>
      <c r="DM146" t="s">
        <v>3</v>
      </c>
      <c r="DN146">
        <v>0</v>
      </c>
      <c r="DO146">
        <v>0</v>
      </c>
      <c r="DP146">
        <v>1</v>
      </c>
      <c r="DQ146">
        <v>1</v>
      </c>
      <c r="DU146">
        <v>1002</v>
      </c>
      <c r="DV146" t="s">
        <v>246</v>
      </c>
      <c r="DW146" t="s">
        <v>246</v>
      </c>
      <c r="DX146">
        <v>1</v>
      </c>
      <c r="DZ146" t="s">
        <v>3</v>
      </c>
      <c r="EA146" t="s">
        <v>3</v>
      </c>
      <c r="EB146" t="s">
        <v>3</v>
      </c>
      <c r="EC146" t="s">
        <v>3</v>
      </c>
      <c r="EE146">
        <v>77790599</v>
      </c>
      <c r="EF146">
        <v>1</v>
      </c>
      <c r="EG146" t="s">
        <v>23</v>
      </c>
      <c r="EH146">
        <v>0</v>
      </c>
      <c r="EI146" t="s">
        <v>3</v>
      </c>
      <c r="EJ146">
        <v>4</v>
      </c>
      <c r="EK146">
        <v>0</v>
      </c>
      <c r="EL146" t="s">
        <v>24</v>
      </c>
      <c r="EM146" t="s">
        <v>25</v>
      </c>
      <c r="EO146" t="s">
        <v>3</v>
      </c>
      <c r="EQ146">
        <v>0</v>
      </c>
      <c r="ER146">
        <v>0</v>
      </c>
      <c r="ES146">
        <v>0</v>
      </c>
      <c r="ET146">
        <v>0</v>
      </c>
      <c r="EU146">
        <v>0</v>
      </c>
      <c r="EV146">
        <v>0</v>
      </c>
      <c r="EW146">
        <v>0</v>
      </c>
      <c r="EX146">
        <v>0</v>
      </c>
      <c r="FQ146">
        <v>0</v>
      </c>
      <c r="FR146">
        <f t="shared" si="119"/>
        <v>0</v>
      </c>
      <c r="FS146">
        <v>0</v>
      </c>
      <c r="FX146">
        <v>70</v>
      </c>
      <c r="FY146">
        <v>10</v>
      </c>
      <c r="GA146" t="s">
        <v>3</v>
      </c>
      <c r="GD146">
        <v>0</v>
      </c>
      <c r="GF146">
        <v>708018180</v>
      </c>
      <c r="GG146">
        <v>2</v>
      </c>
      <c r="GH146">
        <v>1</v>
      </c>
      <c r="GI146">
        <v>-2</v>
      </c>
      <c r="GJ146">
        <v>0</v>
      </c>
      <c r="GK146">
        <f>ROUND(R146*(R12)/100,2)</f>
        <v>0</v>
      </c>
      <c r="GL146">
        <f t="shared" si="120"/>
        <v>0</v>
      </c>
      <c r="GM146">
        <f t="shared" si="121"/>
        <v>0</v>
      </c>
      <c r="GN146">
        <f t="shared" si="122"/>
        <v>0</v>
      </c>
      <c r="GO146">
        <f t="shared" si="123"/>
        <v>0</v>
      </c>
      <c r="GP146">
        <f t="shared" si="124"/>
        <v>0</v>
      </c>
      <c r="GR146">
        <v>0</v>
      </c>
      <c r="GS146">
        <v>3</v>
      </c>
      <c r="GT146">
        <v>0</v>
      </c>
      <c r="GU146" t="s">
        <v>3</v>
      </c>
      <c r="GV146">
        <f t="shared" si="125"/>
        <v>0</v>
      </c>
      <c r="GW146">
        <v>1</v>
      </c>
      <c r="GX146">
        <f t="shared" si="126"/>
        <v>0</v>
      </c>
      <c r="HA146">
        <v>0</v>
      </c>
      <c r="HB146">
        <v>0</v>
      </c>
      <c r="HC146">
        <f t="shared" si="127"/>
        <v>0</v>
      </c>
      <c r="HE146" t="s">
        <v>3</v>
      </c>
      <c r="HF146" t="s">
        <v>3</v>
      </c>
      <c r="HM146" t="s">
        <v>3</v>
      </c>
      <c r="HN146" t="s">
        <v>3</v>
      </c>
      <c r="HO146" t="s">
        <v>3</v>
      </c>
      <c r="HP146" t="s">
        <v>3</v>
      </c>
      <c r="HQ146" t="s">
        <v>3</v>
      </c>
      <c r="IK146">
        <v>0</v>
      </c>
    </row>
    <row r="148" spans="1:245" x14ac:dyDescent="0.2">
      <c r="A148" s="2">
        <v>51</v>
      </c>
      <c r="B148" s="2">
        <f>B120</f>
        <v>1</v>
      </c>
      <c r="C148" s="2">
        <f>A120</f>
        <v>5</v>
      </c>
      <c r="D148" s="2">
        <f>ROW(A120)</f>
        <v>120</v>
      </c>
      <c r="E148" s="2"/>
      <c r="F148" s="2" t="str">
        <f>IF(F120&lt;&gt;"",F120,"")</f>
        <v>Новый подраздел</v>
      </c>
      <c r="G148" s="2" t="str">
        <f>IF(G120&lt;&gt;"",G120,"")</f>
        <v>ХВС</v>
      </c>
      <c r="H148" s="2">
        <v>0</v>
      </c>
      <c r="I148" s="2"/>
      <c r="J148" s="2"/>
      <c r="K148" s="2"/>
      <c r="L148" s="2"/>
      <c r="M148" s="2"/>
      <c r="N148" s="2"/>
      <c r="O148" s="2">
        <f t="shared" ref="O148:T148" si="128">ROUND(AB148,2)</f>
        <v>340854.56</v>
      </c>
      <c r="P148" s="2">
        <f t="shared" si="128"/>
        <v>215269.12</v>
      </c>
      <c r="Q148" s="2">
        <f t="shared" si="128"/>
        <v>682.44</v>
      </c>
      <c r="R148" s="2">
        <f t="shared" si="128"/>
        <v>19.47</v>
      </c>
      <c r="S148" s="2">
        <f t="shared" si="128"/>
        <v>124903</v>
      </c>
      <c r="T148" s="2">
        <f t="shared" si="128"/>
        <v>0</v>
      </c>
      <c r="U148" s="2">
        <f>AH148</f>
        <v>296.70629999999994</v>
      </c>
      <c r="V148" s="2">
        <f>AI148</f>
        <v>0</v>
      </c>
      <c r="W148" s="2">
        <f>ROUND(AJ148,2)</f>
        <v>0</v>
      </c>
      <c r="X148" s="2">
        <f>ROUND(AK148,2)</f>
        <v>87432.1</v>
      </c>
      <c r="Y148" s="2">
        <f>ROUND(AL148,2)</f>
        <v>12490.3</v>
      </c>
      <c r="Z148" s="2"/>
      <c r="AA148" s="2"/>
      <c r="AB148" s="2">
        <f>ROUND(SUMIF(AA124:AA146,"=78131199",O124:O146),2)</f>
        <v>340854.56</v>
      </c>
      <c r="AC148" s="2">
        <f>ROUND(SUMIF(AA124:AA146,"=78131199",P124:P146),2)</f>
        <v>215269.12</v>
      </c>
      <c r="AD148" s="2">
        <f>ROUND(SUMIF(AA124:AA146,"=78131199",Q124:Q146),2)</f>
        <v>682.44</v>
      </c>
      <c r="AE148" s="2">
        <f>ROUND(SUMIF(AA124:AA146,"=78131199",R124:R146),2)</f>
        <v>19.47</v>
      </c>
      <c r="AF148" s="2">
        <f>ROUND(SUMIF(AA124:AA146,"=78131199",S124:S146),2)</f>
        <v>124903</v>
      </c>
      <c r="AG148" s="2">
        <f>ROUND(SUMIF(AA124:AA146,"=78131199",T124:T146),2)</f>
        <v>0</v>
      </c>
      <c r="AH148" s="2">
        <f>SUMIF(AA124:AA146,"=78131199",U124:U146)</f>
        <v>296.70629999999994</v>
      </c>
      <c r="AI148" s="2">
        <f>SUMIF(AA124:AA146,"=78131199",V124:V146)</f>
        <v>0</v>
      </c>
      <c r="AJ148" s="2">
        <f>ROUND(SUMIF(AA124:AA146,"=78131199",W124:W146),2)</f>
        <v>0</v>
      </c>
      <c r="AK148" s="2">
        <f>ROUND(SUMIF(AA124:AA146,"=78131199",X124:X146),2)</f>
        <v>87432.1</v>
      </c>
      <c r="AL148" s="2">
        <f>ROUND(SUMIF(AA124:AA146,"=78131199",Y124:Y146),2)</f>
        <v>12490.3</v>
      </c>
      <c r="AM148" s="2"/>
      <c r="AN148" s="2"/>
      <c r="AO148" s="2">
        <f t="shared" ref="AO148:BD148" si="129">ROUND(BX148,2)</f>
        <v>0</v>
      </c>
      <c r="AP148" s="2">
        <f t="shared" si="129"/>
        <v>0</v>
      </c>
      <c r="AQ148" s="2">
        <f t="shared" si="129"/>
        <v>0</v>
      </c>
      <c r="AR148" s="2">
        <f t="shared" si="129"/>
        <v>440808.11</v>
      </c>
      <c r="AS148" s="2">
        <f t="shared" si="129"/>
        <v>0</v>
      </c>
      <c r="AT148" s="2">
        <f t="shared" si="129"/>
        <v>0</v>
      </c>
      <c r="AU148" s="2">
        <f t="shared" si="129"/>
        <v>440808.11</v>
      </c>
      <c r="AV148" s="2">
        <f t="shared" si="129"/>
        <v>215269.12</v>
      </c>
      <c r="AW148" s="2">
        <f t="shared" si="129"/>
        <v>215269.12</v>
      </c>
      <c r="AX148" s="2">
        <f t="shared" si="129"/>
        <v>0</v>
      </c>
      <c r="AY148" s="2">
        <f t="shared" si="129"/>
        <v>215269.12</v>
      </c>
      <c r="AZ148" s="2">
        <f t="shared" si="129"/>
        <v>0</v>
      </c>
      <c r="BA148" s="2">
        <f t="shared" si="129"/>
        <v>0</v>
      </c>
      <c r="BB148" s="2">
        <f t="shared" si="129"/>
        <v>0</v>
      </c>
      <c r="BC148" s="2">
        <f t="shared" si="129"/>
        <v>0</v>
      </c>
      <c r="BD148" s="2">
        <f t="shared" si="129"/>
        <v>0</v>
      </c>
      <c r="BE148" s="2"/>
      <c r="BF148" s="2"/>
      <c r="BG148" s="2"/>
      <c r="BH148" s="2"/>
      <c r="BI148" s="2"/>
      <c r="BJ148" s="2"/>
      <c r="BK148" s="2"/>
      <c r="BL148" s="2"/>
      <c r="BM148" s="2"/>
      <c r="BN148" s="2"/>
      <c r="BO148" s="2"/>
      <c r="BP148" s="2"/>
      <c r="BQ148" s="2"/>
      <c r="BR148" s="2"/>
      <c r="BS148" s="2"/>
      <c r="BT148" s="2"/>
      <c r="BU148" s="2"/>
      <c r="BV148" s="2"/>
      <c r="BW148" s="2"/>
      <c r="BX148" s="2">
        <f>ROUND(SUMIF(AA124:AA146,"=78131199",FQ124:FQ146),2)</f>
        <v>0</v>
      </c>
      <c r="BY148" s="2">
        <f>ROUND(SUMIF(AA124:AA146,"=78131199",FR124:FR146),2)</f>
        <v>0</v>
      </c>
      <c r="BZ148" s="2">
        <f>ROUND(SUMIF(AA124:AA146,"=78131199",GL124:GL146),2)</f>
        <v>0</v>
      </c>
      <c r="CA148" s="2">
        <f>ROUND(SUMIF(AA124:AA146,"=78131199",GM124:GM146),2)</f>
        <v>440808.11</v>
      </c>
      <c r="CB148" s="2">
        <f>ROUND(SUMIF(AA124:AA146,"=78131199",GN124:GN146),2)</f>
        <v>0</v>
      </c>
      <c r="CC148" s="2">
        <f>ROUND(SUMIF(AA124:AA146,"=78131199",GO124:GO146),2)</f>
        <v>0</v>
      </c>
      <c r="CD148" s="2">
        <f>ROUND(SUMIF(AA124:AA146,"=78131199",GP124:GP146),2)</f>
        <v>440808.11</v>
      </c>
      <c r="CE148" s="2">
        <f>AC148-BX148</f>
        <v>215269.12</v>
      </c>
      <c r="CF148" s="2">
        <f>AC148-BY148</f>
        <v>215269.12</v>
      </c>
      <c r="CG148" s="2">
        <f>BX148-BZ148</f>
        <v>0</v>
      </c>
      <c r="CH148" s="2">
        <f>AC148-BX148-BY148+BZ148</f>
        <v>215269.12</v>
      </c>
      <c r="CI148" s="2">
        <f>BY148-BZ148</f>
        <v>0</v>
      </c>
      <c r="CJ148" s="2">
        <f>ROUND(SUMIF(AA124:AA146,"=78131199",GX124:GX146),2)</f>
        <v>0</v>
      </c>
      <c r="CK148" s="2">
        <f>ROUND(SUMIF(AA124:AA146,"=78131199",GY124:GY146),2)</f>
        <v>0</v>
      </c>
      <c r="CL148" s="2">
        <f>ROUND(SUMIF(AA124:AA146,"=78131199",GZ124:GZ146),2)</f>
        <v>0</v>
      </c>
      <c r="CM148" s="2">
        <f>ROUND(SUMIF(AA124:AA146,"=78131199",HD124:HD146),2)</f>
        <v>0</v>
      </c>
      <c r="CN148" s="2"/>
      <c r="CO148" s="2"/>
      <c r="CP148" s="2"/>
      <c r="CQ148" s="2"/>
      <c r="CR148" s="2"/>
      <c r="CS148" s="2"/>
      <c r="CT148" s="2"/>
      <c r="CU148" s="2"/>
      <c r="CV148" s="2"/>
      <c r="CW148" s="2"/>
      <c r="CX148" s="2"/>
      <c r="CY148" s="2"/>
      <c r="CZ148" s="2"/>
      <c r="DA148" s="2"/>
      <c r="DB148" s="2"/>
      <c r="DC148" s="2"/>
      <c r="DD148" s="2"/>
      <c r="DE148" s="2"/>
      <c r="DF148" s="2"/>
      <c r="DG148" s="3"/>
      <c r="DH148" s="3"/>
      <c r="DI148" s="3"/>
      <c r="DJ148" s="3"/>
      <c r="DK148" s="3"/>
      <c r="DL148" s="3"/>
      <c r="DM148" s="3"/>
      <c r="DN148" s="3"/>
      <c r="DO148" s="3"/>
      <c r="DP148" s="3"/>
      <c r="DQ148" s="3"/>
      <c r="DR148" s="3"/>
      <c r="DS148" s="3"/>
      <c r="DT148" s="3"/>
      <c r="DU148" s="3"/>
      <c r="DV148" s="3"/>
      <c r="DW148" s="3"/>
      <c r="DX148" s="3"/>
      <c r="DY148" s="3"/>
      <c r="DZ148" s="3"/>
      <c r="EA148" s="3"/>
      <c r="EB148" s="3"/>
      <c r="EC148" s="3"/>
      <c r="ED148" s="3"/>
      <c r="EE148" s="3"/>
      <c r="EF148" s="3"/>
      <c r="EG148" s="3"/>
      <c r="EH148" s="3"/>
      <c r="EI148" s="3"/>
      <c r="EJ148" s="3"/>
      <c r="EK148" s="3"/>
      <c r="EL148" s="3"/>
      <c r="EM148" s="3"/>
      <c r="EN148" s="3"/>
      <c r="EO148" s="3"/>
      <c r="EP148" s="3"/>
      <c r="EQ148" s="3"/>
      <c r="ER148" s="3"/>
      <c r="ES148" s="3"/>
      <c r="ET148" s="3"/>
      <c r="EU148" s="3"/>
      <c r="EV148" s="3"/>
      <c r="EW148" s="3"/>
      <c r="EX148" s="3"/>
      <c r="EY148" s="3"/>
      <c r="EZ148" s="3"/>
      <c r="FA148" s="3"/>
      <c r="FB148" s="3"/>
      <c r="FC148" s="3"/>
      <c r="FD148" s="3"/>
      <c r="FE148" s="3"/>
      <c r="FF148" s="3"/>
      <c r="FG148" s="3"/>
      <c r="FH148" s="3"/>
      <c r="FI148" s="3"/>
      <c r="FJ148" s="3"/>
      <c r="FK148" s="3"/>
      <c r="FL148" s="3"/>
      <c r="FM148" s="3"/>
      <c r="FN148" s="3"/>
      <c r="FO148" s="3"/>
      <c r="FP148" s="3"/>
      <c r="FQ148" s="3"/>
      <c r="FR148" s="3"/>
      <c r="FS148" s="3"/>
      <c r="FT148" s="3"/>
      <c r="FU148" s="3"/>
      <c r="FV148" s="3"/>
      <c r="FW148" s="3"/>
      <c r="FX148" s="3"/>
      <c r="FY148" s="3"/>
      <c r="FZ148" s="3"/>
      <c r="GA148" s="3"/>
      <c r="GB148" s="3"/>
      <c r="GC148" s="3"/>
      <c r="GD148" s="3"/>
      <c r="GE148" s="3"/>
      <c r="GF148" s="3"/>
      <c r="GG148" s="3"/>
      <c r="GH148" s="3"/>
      <c r="GI148" s="3"/>
      <c r="GJ148" s="3"/>
      <c r="GK148" s="3"/>
      <c r="GL148" s="3"/>
      <c r="GM148" s="3"/>
      <c r="GN148" s="3"/>
      <c r="GO148" s="3"/>
      <c r="GP148" s="3"/>
      <c r="GQ148" s="3"/>
      <c r="GR148" s="3"/>
      <c r="GS148" s="3"/>
      <c r="GT148" s="3"/>
      <c r="GU148" s="3"/>
      <c r="GV148" s="3"/>
      <c r="GW148" s="3"/>
      <c r="GX148" s="3">
        <v>0</v>
      </c>
    </row>
    <row r="150" spans="1:245" x14ac:dyDescent="0.2">
      <c r="A150" s="4">
        <v>50</v>
      </c>
      <c r="B150" s="4">
        <v>0</v>
      </c>
      <c r="C150" s="4">
        <v>0</v>
      </c>
      <c r="D150" s="4">
        <v>1</v>
      </c>
      <c r="E150" s="4">
        <v>201</v>
      </c>
      <c r="F150" s="4">
        <f>ROUND(Source!O148,O150)</f>
        <v>340854.56</v>
      </c>
      <c r="G150" s="4" t="s">
        <v>97</v>
      </c>
      <c r="H150" s="4" t="s">
        <v>98</v>
      </c>
      <c r="I150" s="4"/>
      <c r="J150" s="4"/>
      <c r="K150" s="4">
        <v>201</v>
      </c>
      <c r="L150" s="4">
        <v>1</v>
      </c>
      <c r="M150" s="4">
        <v>3</v>
      </c>
      <c r="N150" s="4" t="s">
        <v>3</v>
      </c>
      <c r="O150" s="4">
        <v>2</v>
      </c>
      <c r="P150" s="4"/>
      <c r="Q150" s="4"/>
      <c r="R150" s="4"/>
      <c r="S150" s="4"/>
      <c r="T150" s="4"/>
      <c r="U150" s="4"/>
      <c r="V150" s="4"/>
      <c r="W150" s="4">
        <v>340854.56</v>
      </c>
      <c r="X150" s="4">
        <v>1</v>
      </c>
      <c r="Y150" s="4">
        <v>340854.56</v>
      </c>
      <c r="Z150" s="4"/>
      <c r="AA150" s="4"/>
      <c r="AB150" s="4"/>
    </row>
    <row r="151" spans="1:245" x14ac:dyDescent="0.2">
      <c r="A151" s="4">
        <v>50</v>
      </c>
      <c r="B151" s="4">
        <v>0</v>
      </c>
      <c r="C151" s="4">
        <v>0</v>
      </c>
      <c r="D151" s="4">
        <v>1</v>
      </c>
      <c r="E151" s="4">
        <v>202</v>
      </c>
      <c r="F151" s="4">
        <f>ROUND(Source!P148,O151)</f>
        <v>215269.12</v>
      </c>
      <c r="G151" s="4" t="s">
        <v>99</v>
      </c>
      <c r="H151" s="4" t="s">
        <v>100</v>
      </c>
      <c r="I151" s="4"/>
      <c r="J151" s="4"/>
      <c r="K151" s="4">
        <v>202</v>
      </c>
      <c r="L151" s="4">
        <v>2</v>
      </c>
      <c r="M151" s="4">
        <v>3</v>
      </c>
      <c r="N151" s="4" t="s">
        <v>3</v>
      </c>
      <c r="O151" s="4">
        <v>2</v>
      </c>
      <c r="P151" s="4"/>
      <c r="Q151" s="4"/>
      <c r="R151" s="4"/>
      <c r="S151" s="4"/>
      <c r="T151" s="4"/>
      <c r="U151" s="4"/>
      <c r="V151" s="4"/>
      <c r="W151" s="4">
        <v>215269.12</v>
      </c>
      <c r="X151" s="4">
        <v>1</v>
      </c>
      <c r="Y151" s="4">
        <v>215269.12</v>
      </c>
      <c r="Z151" s="4"/>
      <c r="AA151" s="4"/>
      <c r="AB151" s="4"/>
    </row>
    <row r="152" spans="1:245" x14ac:dyDescent="0.2">
      <c r="A152" s="4">
        <v>50</v>
      </c>
      <c r="B152" s="4">
        <v>0</v>
      </c>
      <c r="C152" s="4">
        <v>0</v>
      </c>
      <c r="D152" s="4">
        <v>1</v>
      </c>
      <c r="E152" s="4">
        <v>222</v>
      </c>
      <c r="F152" s="4">
        <f>ROUND(Source!AO148,O152)</f>
        <v>0</v>
      </c>
      <c r="G152" s="4" t="s">
        <v>101</v>
      </c>
      <c r="H152" s="4" t="s">
        <v>102</v>
      </c>
      <c r="I152" s="4"/>
      <c r="J152" s="4"/>
      <c r="K152" s="4">
        <v>222</v>
      </c>
      <c r="L152" s="4">
        <v>3</v>
      </c>
      <c r="M152" s="4">
        <v>3</v>
      </c>
      <c r="N152" s="4" t="s">
        <v>3</v>
      </c>
      <c r="O152" s="4">
        <v>2</v>
      </c>
      <c r="P152" s="4"/>
      <c r="Q152" s="4"/>
      <c r="R152" s="4"/>
      <c r="S152" s="4"/>
      <c r="T152" s="4"/>
      <c r="U152" s="4"/>
      <c r="V152" s="4"/>
      <c r="W152" s="4">
        <v>0</v>
      </c>
      <c r="X152" s="4">
        <v>1</v>
      </c>
      <c r="Y152" s="4">
        <v>0</v>
      </c>
      <c r="Z152" s="4"/>
      <c r="AA152" s="4"/>
      <c r="AB152" s="4"/>
    </row>
    <row r="153" spans="1:245" x14ac:dyDescent="0.2">
      <c r="A153" s="4">
        <v>50</v>
      </c>
      <c r="B153" s="4">
        <v>0</v>
      </c>
      <c r="C153" s="4">
        <v>0</v>
      </c>
      <c r="D153" s="4">
        <v>1</v>
      </c>
      <c r="E153" s="4">
        <v>225</v>
      </c>
      <c r="F153" s="4">
        <f>ROUND(Source!AV148,O153)</f>
        <v>215269.12</v>
      </c>
      <c r="G153" s="4" t="s">
        <v>103</v>
      </c>
      <c r="H153" s="4" t="s">
        <v>104</v>
      </c>
      <c r="I153" s="4"/>
      <c r="J153" s="4"/>
      <c r="K153" s="4">
        <v>225</v>
      </c>
      <c r="L153" s="4">
        <v>4</v>
      </c>
      <c r="M153" s="4">
        <v>3</v>
      </c>
      <c r="N153" s="4" t="s">
        <v>3</v>
      </c>
      <c r="O153" s="4">
        <v>2</v>
      </c>
      <c r="P153" s="4"/>
      <c r="Q153" s="4"/>
      <c r="R153" s="4"/>
      <c r="S153" s="4"/>
      <c r="T153" s="4"/>
      <c r="U153" s="4"/>
      <c r="V153" s="4"/>
      <c r="W153" s="4">
        <v>215269.12</v>
      </c>
      <c r="X153" s="4">
        <v>1</v>
      </c>
      <c r="Y153" s="4">
        <v>215269.12</v>
      </c>
      <c r="Z153" s="4"/>
      <c r="AA153" s="4"/>
      <c r="AB153" s="4"/>
    </row>
    <row r="154" spans="1:245" x14ac:dyDescent="0.2">
      <c r="A154" s="4">
        <v>50</v>
      </c>
      <c r="B154" s="4">
        <v>0</v>
      </c>
      <c r="C154" s="4">
        <v>0</v>
      </c>
      <c r="D154" s="4">
        <v>1</v>
      </c>
      <c r="E154" s="4">
        <v>226</v>
      </c>
      <c r="F154" s="4">
        <f>ROUND(Source!AW148,O154)</f>
        <v>215269.12</v>
      </c>
      <c r="G154" s="4" t="s">
        <v>105</v>
      </c>
      <c r="H154" s="4" t="s">
        <v>106</v>
      </c>
      <c r="I154" s="4"/>
      <c r="J154" s="4"/>
      <c r="K154" s="4">
        <v>226</v>
      </c>
      <c r="L154" s="4">
        <v>5</v>
      </c>
      <c r="M154" s="4">
        <v>3</v>
      </c>
      <c r="N154" s="4" t="s">
        <v>3</v>
      </c>
      <c r="O154" s="4">
        <v>2</v>
      </c>
      <c r="P154" s="4"/>
      <c r="Q154" s="4"/>
      <c r="R154" s="4"/>
      <c r="S154" s="4"/>
      <c r="T154" s="4"/>
      <c r="U154" s="4"/>
      <c r="V154" s="4"/>
      <c r="W154" s="4">
        <v>215269.12</v>
      </c>
      <c r="X154" s="4">
        <v>1</v>
      </c>
      <c r="Y154" s="4">
        <v>215269.12</v>
      </c>
      <c r="Z154" s="4"/>
      <c r="AA154" s="4"/>
      <c r="AB154" s="4"/>
    </row>
    <row r="155" spans="1:245" x14ac:dyDescent="0.2">
      <c r="A155" s="4">
        <v>50</v>
      </c>
      <c r="B155" s="4">
        <v>0</v>
      </c>
      <c r="C155" s="4">
        <v>0</v>
      </c>
      <c r="D155" s="4">
        <v>1</v>
      </c>
      <c r="E155" s="4">
        <v>227</v>
      </c>
      <c r="F155" s="4">
        <f>ROUND(Source!AX148,O155)</f>
        <v>0</v>
      </c>
      <c r="G155" s="4" t="s">
        <v>107</v>
      </c>
      <c r="H155" s="4" t="s">
        <v>108</v>
      </c>
      <c r="I155" s="4"/>
      <c r="J155" s="4"/>
      <c r="K155" s="4">
        <v>227</v>
      </c>
      <c r="L155" s="4">
        <v>6</v>
      </c>
      <c r="M155" s="4">
        <v>3</v>
      </c>
      <c r="N155" s="4" t="s">
        <v>3</v>
      </c>
      <c r="O155" s="4">
        <v>2</v>
      </c>
      <c r="P155" s="4"/>
      <c r="Q155" s="4"/>
      <c r="R155" s="4"/>
      <c r="S155" s="4"/>
      <c r="T155" s="4"/>
      <c r="U155" s="4"/>
      <c r="V155" s="4"/>
      <c r="W155" s="4">
        <v>0</v>
      </c>
      <c r="X155" s="4">
        <v>1</v>
      </c>
      <c r="Y155" s="4">
        <v>0</v>
      </c>
      <c r="Z155" s="4"/>
      <c r="AA155" s="4"/>
      <c r="AB155" s="4"/>
    </row>
    <row r="156" spans="1:245" x14ac:dyDescent="0.2">
      <c r="A156" s="4">
        <v>50</v>
      </c>
      <c r="B156" s="4">
        <v>0</v>
      </c>
      <c r="C156" s="4">
        <v>0</v>
      </c>
      <c r="D156" s="4">
        <v>1</v>
      </c>
      <c r="E156" s="4">
        <v>228</v>
      </c>
      <c r="F156" s="4">
        <f>ROUND(Source!AY148,O156)</f>
        <v>215269.12</v>
      </c>
      <c r="G156" s="4" t="s">
        <v>109</v>
      </c>
      <c r="H156" s="4" t="s">
        <v>110</v>
      </c>
      <c r="I156" s="4"/>
      <c r="J156" s="4"/>
      <c r="K156" s="4">
        <v>228</v>
      </c>
      <c r="L156" s="4">
        <v>7</v>
      </c>
      <c r="M156" s="4">
        <v>3</v>
      </c>
      <c r="N156" s="4" t="s">
        <v>3</v>
      </c>
      <c r="O156" s="4">
        <v>2</v>
      </c>
      <c r="P156" s="4"/>
      <c r="Q156" s="4"/>
      <c r="R156" s="4"/>
      <c r="S156" s="4"/>
      <c r="T156" s="4"/>
      <c r="U156" s="4"/>
      <c r="V156" s="4"/>
      <c r="W156" s="4">
        <v>215269.12</v>
      </c>
      <c r="X156" s="4">
        <v>1</v>
      </c>
      <c r="Y156" s="4">
        <v>215269.12</v>
      </c>
      <c r="Z156" s="4"/>
      <c r="AA156" s="4"/>
      <c r="AB156" s="4"/>
    </row>
    <row r="157" spans="1:245" x14ac:dyDescent="0.2">
      <c r="A157" s="4">
        <v>50</v>
      </c>
      <c r="B157" s="4">
        <v>0</v>
      </c>
      <c r="C157" s="4">
        <v>0</v>
      </c>
      <c r="D157" s="4">
        <v>1</v>
      </c>
      <c r="E157" s="4">
        <v>216</v>
      </c>
      <c r="F157" s="4">
        <f>ROUND(Source!AP148,O157)</f>
        <v>0</v>
      </c>
      <c r="G157" s="4" t="s">
        <v>111</v>
      </c>
      <c r="H157" s="4" t="s">
        <v>112</v>
      </c>
      <c r="I157" s="4"/>
      <c r="J157" s="4"/>
      <c r="K157" s="4">
        <v>216</v>
      </c>
      <c r="L157" s="4">
        <v>8</v>
      </c>
      <c r="M157" s="4">
        <v>3</v>
      </c>
      <c r="N157" s="4" t="s">
        <v>3</v>
      </c>
      <c r="O157" s="4">
        <v>2</v>
      </c>
      <c r="P157" s="4"/>
      <c r="Q157" s="4"/>
      <c r="R157" s="4"/>
      <c r="S157" s="4"/>
      <c r="T157" s="4"/>
      <c r="U157" s="4"/>
      <c r="V157" s="4"/>
      <c r="W157" s="4">
        <v>0</v>
      </c>
      <c r="X157" s="4">
        <v>1</v>
      </c>
      <c r="Y157" s="4">
        <v>0</v>
      </c>
      <c r="Z157" s="4"/>
      <c r="AA157" s="4"/>
      <c r="AB157" s="4"/>
    </row>
    <row r="158" spans="1:245" x14ac:dyDescent="0.2">
      <c r="A158" s="4">
        <v>50</v>
      </c>
      <c r="B158" s="4">
        <v>0</v>
      </c>
      <c r="C158" s="4">
        <v>0</v>
      </c>
      <c r="D158" s="4">
        <v>1</v>
      </c>
      <c r="E158" s="4">
        <v>223</v>
      </c>
      <c r="F158" s="4">
        <f>ROUND(Source!AQ148,O158)</f>
        <v>0</v>
      </c>
      <c r="G158" s="4" t="s">
        <v>113</v>
      </c>
      <c r="H158" s="4" t="s">
        <v>114</v>
      </c>
      <c r="I158" s="4"/>
      <c r="J158" s="4"/>
      <c r="K158" s="4">
        <v>223</v>
      </c>
      <c r="L158" s="4">
        <v>9</v>
      </c>
      <c r="M158" s="4">
        <v>3</v>
      </c>
      <c r="N158" s="4" t="s">
        <v>3</v>
      </c>
      <c r="O158" s="4">
        <v>2</v>
      </c>
      <c r="P158" s="4"/>
      <c r="Q158" s="4"/>
      <c r="R158" s="4"/>
      <c r="S158" s="4"/>
      <c r="T158" s="4"/>
      <c r="U158" s="4"/>
      <c r="V158" s="4"/>
      <c r="W158" s="4">
        <v>0</v>
      </c>
      <c r="X158" s="4">
        <v>1</v>
      </c>
      <c r="Y158" s="4">
        <v>0</v>
      </c>
      <c r="Z158" s="4"/>
      <c r="AA158" s="4"/>
      <c r="AB158" s="4"/>
    </row>
    <row r="159" spans="1:245" x14ac:dyDescent="0.2">
      <c r="A159" s="4">
        <v>50</v>
      </c>
      <c r="B159" s="4">
        <v>0</v>
      </c>
      <c r="C159" s="4">
        <v>0</v>
      </c>
      <c r="D159" s="4">
        <v>1</v>
      </c>
      <c r="E159" s="4">
        <v>229</v>
      </c>
      <c r="F159" s="4">
        <f>ROUND(Source!AZ148,O159)</f>
        <v>0</v>
      </c>
      <c r="G159" s="4" t="s">
        <v>115</v>
      </c>
      <c r="H159" s="4" t="s">
        <v>116</v>
      </c>
      <c r="I159" s="4"/>
      <c r="J159" s="4"/>
      <c r="K159" s="4">
        <v>229</v>
      </c>
      <c r="L159" s="4">
        <v>10</v>
      </c>
      <c r="M159" s="4">
        <v>3</v>
      </c>
      <c r="N159" s="4" t="s">
        <v>3</v>
      </c>
      <c r="O159" s="4">
        <v>2</v>
      </c>
      <c r="P159" s="4"/>
      <c r="Q159" s="4"/>
      <c r="R159" s="4"/>
      <c r="S159" s="4"/>
      <c r="T159" s="4"/>
      <c r="U159" s="4"/>
      <c r="V159" s="4"/>
      <c r="W159" s="4">
        <v>0</v>
      </c>
      <c r="X159" s="4">
        <v>1</v>
      </c>
      <c r="Y159" s="4">
        <v>0</v>
      </c>
      <c r="Z159" s="4"/>
      <c r="AA159" s="4"/>
      <c r="AB159" s="4"/>
    </row>
    <row r="160" spans="1:245" x14ac:dyDescent="0.2">
      <c r="A160" s="4">
        <v>50</v>
      </c>
      <c r="B160" s="4">
        <v>0</v>
      </c>
      <c r="C160" s="4">
        <v>0</v>
      </c>
      <c r="D160" s="4">
        <v>1</v>
      </c>
      <c r="E160" s="4">
        <v>203</v>
      </c>
      <c r="F160" s="4">
        <f>ROUND(Source!Q148,O160)</f>
        <v>682.44</v>
      </c>
      <c r="G160" s="4" t="s">
        <v>117</v>
      </c>
      <c r="H160" s="4" t="s">
        <v>118</v>
      </c>
      <c r="I160" s="4"/>
      <c r="J160" s="4"/>
      <c r="K160" s="4">
        <v>203</v>
      </c>
      <c r="L160" s="4">
        <v>11</v>
      </c>
      <c r="M160" s="4">
        <v>3</v>
      </c>
      <c r="N160" s="4" t="s">
        <v>3</v>
      </c>
      <c r="O160" s="4">
        <v>2</v>
      </c>
      <c r="P160" s="4"/>
      <c r="Q160" s="4"/>
      <c r="R160" s="4"/>
      <c r="S160" s="4"/>
      <c r="T160" s="4"/>
      <c r="U160" s="4"/>
      <c r="V160" s="4"/>
      <c r="W160" s="4">
        <v>682.44</v>
      </c>
      <c r="X160" s="4">
        <v>1</v>
      </c>
      <c r="Y160" s="4">
        <v>682.44</v>
      </c>
      <c r="Z160" s="4"/>
      <c r="AA160" s="4"/>
      <c r="AB160" s="4"/>
    </row>
    <row r="161" spans="1:28" x14ac:dyDescent="0.2">
      <c r="A161" s="4">
        <v>50</v>
      </c>
      <c r="B161" s="4">
        <v>0</v>
      </c>
      <c r="C161" s="4">
        <v>0</v>
      </c>
      <c r="D161" s="4">
        <v>1</v>
      </c>
      <c r="E161" s="4">
        <v>231</v>
      </c>
      <c r="F161" s="4">
        <f>ROUND(Source!BB148,O161)</f>
        <v>0</v>
      </c>
      <c r="G161" s="4" t="s">
        <v>119</v>
      </c>
      <c r="H161" s="4" t="s">
        <v>120</v>
      </c>
      <c r="I161" s="4"/>
      <c r="J161" s="4"/>
      <c r="K161" s="4">
        <v>231</v>
      </c>
      <c r="L161" s="4">
        <v>12</v>
      </c>
      <c r="M161" s="4">
        <v>3</v>
      </c>
      <c r="N161" s="4" t="s">
        <v>3</v>
      </c>
      <c r="O161" s="4">
        <v>2</v>
      </c>
      <c r="P161" s="4"/>
      <c r="Q161" s="4"/>
      <c r="R161" s="4"/>
      <c r="S161" s="4"/>
      <c r="T161" s="4"/>
      <c r="U161" s="4"/>
      <c r="V161" s="4"/>
      <c r="W161" s="4">
        <v>0</v>
      </c>
      <c r="X161" s="4">
        <v>1</v>
      </c>
      <c r="Y161" s="4">
        <v>0</v>
      </c>
      <c r="Z161" s="4"/>
      <c r="AA161" s="4"/>
      <c r="AB161" s="4"/>
    </row>
    <row r="162" spans="1:28" x14ac:dyDescent="0.2">
      <c r="A162" s="4">
        <v>50</v>
      </c>
      <c r="B162" s="4">
        <v>0</v>
      </c>
      <c r="C162" s="4">
        <v>0</v>
      </c>
      <c r="D162" s="4">
        <v>1</v>
      </c>
      <c r="E162" s="4">
        <v>204</v>
      </c>
      <c r="F162" s="4">
        <f>ROUND(Source!R148,O162)</f>
        <v>19.47</v>
      </c>
      <c r="G162" s="4" t="s">
        <v>121</v>
      </c>
      <c r="H162" s="4" t="s">
        <v>122</v>
      </c>
      <c r="I162" s="4"/>
      <c r="J162" s="4"/>
      <c r="K162" s="4">
        <v>204</v>
      </c>
      <c r="L162" s="4">
        <v>13</v>
      </c>
      <c r="M162" s="4">
        <v>3</v>
      </c>
      <c r="N162" s="4" t="s">
        <v>3</v>
      </c>
      <c r="O162" s="4">
        <v>2</v>
      </c>
      <c r="P162" s="4"/>
      <c r="Q162" s="4"/>
      <c r="R162" s="4"/>
      <c r="S162" s="4"/>
      <c r="T162" s="4"/>
      <c r="U162" s="4"/>
      <c r="V162" s="4"/>
      <c r="W162" s="4">
        <v>19.47</v>
      </c>
      <c r="X162" s="4">
        <v>1</v>
      </c>
      <c r="Y162" s="4">
        <v>19.47</v>
      </c>
      <c r="Z162" s="4"/>
      <c r="AA162" s="4"/>
      <c r="AB162" s="4"/>
    </row>
    <row r="163" spans="1:28" x14ac:dyDescent="0.2">
      <c r="A163" s="4">
        <v>50</v>
      </c>
      <c r="B163" s="4">
        <v>0</v>
      </c>
      <c r="C163" s="4">
        <v>0</v>
      </c>
      <c r="D163" s="4">
        <v>1</v>
      </c>
      <c r="E163" s="4">
        <v>205</v>
      </c>
      <c r="F163" s="4">
        <f>ROUND(Source!S148,O163)</f>
        <v>124903</v>
      </c>
      <c r="G163" s="4" t="s">
        <v>123</v>
      </c>
      <c r="H163" s="4" t="s">
        <v>124</v>
      </c>
      <c r="I163" s="4"/>
      <c r="J163" s="4"/>
      <c r="K163" s="4">
        <v>205</v>
      </c>
      <c r="L163" s="4">
        <v>14</v>
      </c>
      <c r="M163" s="4">
        <v>3</v>
      </c>
      <c r="N163" s="4" t="s">
        <v>3</v>
      </c>
      <c r="O163" s="4">
        <v>2</v>
      </c>
      <c r="P163" s="4"/>
      <c r="Q163" s="4"/>
      <c r="R163" s="4"/>
      <c r="S163" s="4"/>
      <c r="T163" s="4"/>
      <c r="U163" s="4"/>
      <c r="V163" s="4"/>
      <c r="W163" s="4">
        <v>124903</v>
      </c>
      <c r="X163" s="4">
        <v>1</v>
      </c>
      <c r="Y163" s="4">
        <v>124903</v>
      </c>
      <c r="Z163" s="4"/>
      <c r="AA163" s="4"/>
      <c r="AB163" s="4"/>
    </row>
    <row r="164" spans="1:28" x14ac:dyDescent="0.2">
      <c r="A164" s="4">
        <v>50</v>
      </c>
      <c r="B164" s="4">
        <v>0</v>
      </c>
      <c r="C164" s="4">
        <v>0</v>
      </c>
      <c r="D164" s="4">
        <v>1</v>
      </c>
      <c r="E164" s="4">
        <v>232</v>
      </c>
      <c r="F164" s="4">
        <f>ROUND(Source!BC148,O164)</f>
        <v>0</v>
      </c>
      <c r="G164" s="4" t="s">
        <v>125</v>
      </c>
      <c r="H164" s="4" t="s">
        <v>126</v>
      </c>
      <c r="I164" s="4"/>
      <c r="J164" s="4"/>
      <c r="K164" s="4">
        <v>232</v>
      </c>
      <c r="L164" s="4">
        <v>15</v>
      </c>
      <c r="M164" s="4">
        <v>3</v>
      </c>
      <c r="N164" s="4" t="s">
        <v>3</v>
      </c>
      <c r="O164" s="4">
        <v>2</v>
      </c>
      <c r="P164" s="4"/>
      <c r="Q164" s="4"/>
      <c r="R164" s="4"/>
      <c r="S164" s="4"/>
      <c r="T164" s="4"/>
      <c r="U164" s="4"/>
      <c r="V164" s="4"/>
      <c r="W164" s="4">
        <v>0</v>
      </c>
      <c r="X164" s="4">
        <v>1</v>
      </c>
      <c r="Y164" s="4">
        <v>0</v>
      </c>
      <c r="Z164" s="4"/>
      <c r="AA164" s="4"/>
      <c r="AB164" s="4"/>
    </row>
    <row r="165" spans="1:28" x14ac:dyDescent="0.2">
      <c r="A165" s="4">
        <v>50</v>
      </c>
      <c r="B165" s="4">
        <v>0</v>
      </c>
      <c r="C165" s="4">
        <v>0</v>
      </c>
      <c r="D165" s="4">
        <v>1</v>
      </c>
      <c r="E165" s="4">
        <v>214</v>
      </c>
      <c r="F165" s="4">
        <f>ROUND(Source!AS148,O165)</f>
        <v>0</v>
      </c>
      <c r="G165" s="4" t="s">
        <v>127</v>
      </c>
      <c r="H165" s="4" t="s">
        <v>128</v>
      </c>
      <c r="I165" s="4"/>
      <c r="J165" s="4"/>
      <c r="K165" s="4">
        <v>214</v>
      </c>
      <c r="L165" s="4">
        <v>16</v>
      </c>
      <c r="M165" s="4">
        <v>3</v>
      </c>
      <c r="N165" s="4" t="s">
        <v>3</v>
      </c>
      <c r="O165" s="4">
        <v>2</v>
      </c>
      <c r="P165" s="4"/>
      <c r="Q165" s="4"/>
      <c r="R165" s="4"/>
      <c r="S165" s="4"/>
      <c r="T165" s="4"/>
      <c r="U165" s="4"/>
      <c r="V165" s="4"/>
      <c r="W165" s="4">
        <v>0</v>
      </c>
      <c r="X165" s="4">
        <v>1</v>
      </c>
      <c r="Y165" s="4">
        <v>0</v>
      </c>
      <c r="Z165" s="4"/>
      <c r="AA165" s="4"/>
      <c r="AB165" s="4"/>
    </row>
    <row r="166" spans="1:28" x14ac:dyDescent="0.2">
      <c r="A166" s="4">
        <v>50</v>
      </c>
      <c r="B166" s="4">
        <v>0</v>
      </c>
      <c r="C166" s="4">
        <v>0</v>
      </c>
      <c r="D166" s="4">
        <v>1</v>
      </c>
      <c r="E166" s="4">
        <v>215</v>
      </c>
      <c r="F166" s="4">
        <f>ROUND(Source!AT148,O166)</f>
        <v>0</v>
      </c>
      <c r="G166" s="4" t="s">
        <v>129</v>
      </c>
      <c r="H166" s="4" t="s">
        <v>130</v>
      </c>
      <c r="I166" s="4"/>
      <c r="J166" s="4"/>
      <c r="K166" s="4">
        <v>215</v>
      </c>
      <c r="L166" s="4">
        <v>17</v>
      </c>
      <c r="M166" s="4">
        <v>3</v>
      </c>
      <c r="N166" s="4" t="s">
        <v>3</v>
      </c>
      <c r="O166" s="4">
        <v>2</v>
      </c>
      <c r="P166" s="4"/>
      <c r="Q166" s="4"/>
      <c r="R166" s="4"/>
      <c r="S166" s="4"/>
      <c r="T166" s="4"/>
      <c r="U166" s="4"/>
      <c r="V166" s="4"/>
      <c r="W166" s="4">
        <v>0</v>
      </c>
      <c r="X166" s="4">
        <v>1</v>
      </c>
      <c r="Y166" s="4">
        <v>0</v>
      </c>
      <c r="Z166" s="4"/>
      <c r="AA166" s="4"/>
      <c r="AB166" s="4"/>
    </row>
    <row r="167" spans="1:28" x14ac:dyDescent="0.2">
      <c r="A167" s="4">
        <v>50</v>
      </c>
      <c r="B167" s="4">
        <v>0</v>
      </c>
      <c r="C167" s="4">
        <v>0</v>
      </c>
      <c r="D167" s="4">
        <v>1</v>
      </c>
      <c r="E167" s="4">
        <v>217</v>
      </c>
      <c r="F167" s="4">
        <f>ROUND(Source!AU148,O167)</f>
        <v>440808.11</v>
      </c>
      <c r="G167" s="4" t="s">
        <v>131</v>
      </c>
      <c r="H167" s="4" t="s">
        <v>132</v>
      </c>
      <c r="I167" s="4"/>
      <c r="J167" s="4"/>
      <c r="K167" s="4">
        <v>217</v>
      </c>
      <c r="L167" s="4">
        <v>18</v>
      </c>
      <c r="M167" s="4">
        <v>3</v>
      </c>
      <c r="N167" s="4" t="s">
        <v>3</v>
      </c>
      <c r="O167" s="4">
        <v>2</v>
      </c>
      <c r="P167" s="4"/>
      <c r="Q167" s="4"/>
      <c r="R167" s="4"/>
      <c r="S167" s="4"/>
      <c r="T167" s="4"/>
      <c r="U167" s="4"/>
      <c r="V167" s="4"/>
      <c r="W167" s="4">
        <v>440808.11</v>
      </c>
      <c r="X167" s="4">
        <v>1</v>
      </c>
      <c r="Y167" s="4">
        <v>440808.11</v>
      </c>
      <c r="Z167" s="4"/>
      <c r="AA167" s="4"/>
      <c r="AB167" s="4"/>
    </row>
    <row r="168" spans="1:28" x14ac:dyDescent="0.2">
      <c r="A168" s="4">
        <v>50</v>
      </c>
      <c r="B168" s="4">
        <v>0</v>
      </c>
      <c r="C168" s="4">
        <v>0</v>
      </c>
      <c r="D168" s="4">
        <v>1</v>
      </c>
      <c r="E168" s="4">
        <v>230</v>
      </c>
      <c r="F168" s="4">
        <f>ROUND(Source!BA148,O168)</f>
        <v>0</v>
      </c>
      <c r="G168" s="4" t="s">
        <v>133</v>
      </c>
      <c r="H168" s="4" t="s">
        <v>134</v>
      </c>
      <c r="I168" s="4"/>
      <c r="J168" s="4"/>
      <c r="K168" s="4">
        <v>230</v>
      </c>
      <c r="L168" s="4">
        <v>19</v>
      </c>
      <c r="M168" s="4">
        <v>3</v>
      </c>
      <c r="N168" s="4" t="s">
        <v>3</v>
      </c>
      <c r="O168" s="4">
        <v>2</v>
      </c>
      <c r="P168" s="4"/>
      <c r="Q168" s="4"/>
      <c r="R168" s="4"/>
      <c r="S168" s="4"/>
      <c r="T168" s="4"/>
      <c r="U168" s="4"/>
      <c r="V168" s="4"/>
      <c r="W168" s="4">
        <v>0</v>
      </c>
      <c r="X168" s="4">
        <v>1</v>
      </c>
      <c r="Y168" s="4">
        <v>0</v>
      </c>
      <c r="Z168" s="4"/>
      <c r="AA168" s="4"/>
      <c r="AB168" s="4"/>
    </row>
    <row r="169" spans="1:28" x14ac:dyDescent="0.2">
      <c r="A169" s="4">
        <v>50</v>
      </c>
      <c r="B169" s="4">
        <v>0</v>
      </c>
      <c r="C169" s="4">
        <v>0</v>
      </c>
      <c r="D169" s="4">
        <v>1</v>
      </c>
      <c r="E169" s="4">
        <v>206</v>
      </c>
      <c r="F169" s="4">
        <f>ROUND(Source!T148,O169)</f>
        <v>0</v>
      </c>
      <c r="G169" s="4" t="s">
        <v>135</v>
      </c>
      <c r="H169" s="4" t="s">
        <v>136</v>
      </c>
      <c r="I169" s="4"/>
      <c r="J169" s="4"/>
      <c r="K169" s="4">
        <v>206</v>
      </c>
      <c r="L169" s="4">
        <v>20</v>
      </c>
      <c r="M169" s="4">
        <v>3</v>
      </c>
      <c r="N169" s="4" t="s">
        <v>3</v>
      </c>
      <c r="O169" s="4">
        <v>2</v>
      </c>
      <c r="P169" s="4"/>
      <c r="Q169" s="4"/>
      <c r="R169" s="4"/>
      <c r="S169" s="4"/>
      <c r="T169" s="4"/>
      <c r="U169" s="4"/>
      <c r="V169" s="4"/>
      <c r="W169" s="4">
        <v>0</v>
      </c>
      <c r="X169" s="4">
        <v>1</v>
      </c>
      <c r="Y169" s="4">
        <v>0</v>
      </c>
      <c r="Z169" s="4"/>
      <c r="AA169" s="4"/>
      <c r="AB169" s="4"/>
    </row>
    <row r="170" spans="1:28" x14ac:dyDescent="0.2">
      <c r="A170" s="4">
        <v>50</v>
      </c>
      <c r="B170" s="4">
        <v>0</v>
      </c>
      <c r="C170" s="4">
        <v>0</v>
      </c>
      <c r="D170" s="4">
        <v>1</v>
      </c>
      <c r="E170" s="4">
        <v>207</v>
      </c>
      <c r="F170" s="4">
        <f>Source!U148</f>
        <v>296.70629999999994</v>
      </c>
      <c r="G170" s="4" t="s">
        <v>137</v>
      </c>
      <c r="H170" s="4" t="s">
        <v>138</v>
      </c>
      <c r="I170" s="4"/>
      <c r="J170" s="4"/>
      <c r="K170" s="4">
        <v>207</v>
      </c>
      <c r="L170" s="4">
        <v>21</v>
      </c>
      <c r="M170" s="4">
        <v>3</v>
      </c>
      <c r="N170" s="4" t="s">
        <v>3</v>
      </c>
      <c r="O170" s="4">
        <v>-1</v>
      </c>
      <c r="P170" s="4"/>
      <c r="Q170" s="4"/>
      <c r="R170" s="4"/>
      <c r="S170" s="4"/>
      <c r="T170" s="4"/>
      <c r="U170" s="4"/>
      <c r="V170" s="4"/>
      <c r="W170" s="4">
        <v>296.70629999999994</v>
      </c>
      <c r="X170" s="4">
        <v>1</v>
      </c>
      <c r="Y170" s="4">
        <v>296.70629999999994</v>
      </c>
      <c r="Z170" s="4"/>
      <c r="AA170" s="4"/>
      <c r="AB170" s="4"/>
    </row>
    <row r="171" spans="1:28" x14ac:dyDescent="0.2">
      <c r="A171" s="4">
        <v>50</v>
      </c>
      <c r="B171" s="4">
        <v>0</v>
      </c>
      <c r="C171" s="4">
        <v>0</v>
      </c>
      <c r="D171" s="4">
        <v>1</v>
      </c>
      <c r="E171" s="4">
        <v>208</v>
      </c>
      <c r="F171" s="4">
        <f>Source!V148</f>
        <v>0</v>
      </c>
      <c r="G171" s="4" t="s">
        <v>139</v>
      </c>
      <c r="H171" s="4" t="s">
        <v>140</v>
      </c>
      <c r="I171" s="4"/>
      <c r="J171" s="4"/>
      <c r="K171" s="4">
        <v>208</v>
      </c>
      <c r="L171" s="4">
        <v>22</v>
      </c>
      <c r="M171" s="4">
        <v>3</v>
      </c>
      <c r="N171" s="4" t="s">
        <v>3</v>
      </c>
      <c r="O171" s="4">
        <v>-1</v>
      </c>
      <c r="P171" s="4"/>
      <c r="Q171" s="4"/>
      <c r="R171" s="4"/>
      <c r="S171" s="4"/>
      <c r="T171" s="4"/>
      <c r="U171" s="4"/>
      <c r="V171" s="4"/>
      <c r="W171" s="4">
        <v>0</v>
      </c>
      <c r="X171" s="4">
        <v>1</v>
      </c>
      <c r="Y171" s="4">
        <v>0</v>
      </c>
      <c r="Z171" s="4"/>
      <c r="AA171" s="4"/>
      <c r="AB171" s="4"/>
    </row>
    <row r="172" spans="1:28" x14ac:dyDescent="0.2">
      <c r="A172" s="4">
        <v>50</v>
      </c>
      <c r="B172" s="4">
        <v>0</v>
      </c>
      <c r="C172" s="4">
        <v>0</v>
      </c>
      <c r="D172" s="4">
        <v>1</v>
      </c>
      <c r="E172" s="4">
        <v>209</v>
      </c>
      <c r="F172" s="4">
        <f>ROUND(Source!W148,O172)</f>
        <v>0</v>
      </c>
      <c r="G172" s="4" t="s">
        <v>141</v>
      </c>
      <c r="H172" s="4" t="s">
        <v>142</v>
      </c>
      <c r="I172" s="4"/>
      <c r="J172" s="4"/>
      <c r="K172" s="4">
        <v>209</v>
      </c>
      <c r="L172" s="4">
        <v>23</v>
      </c>
      <c r="M172" s="4">
        <v>3</v>
      </c>
      <c r="N172" s="4" t="s">
        <v>3</v>
      </c>
      <c r="O172" s="4">
        <v>2</v>
      </c>
      <c r="P172" s="4"/>
      <c r="Q172" s="4"/>
      <c r="R172" s="4"/>
      <c r="S172" s="4"/>
      <c r="T172" s="4"/>
      <c r="U172" s="4"/>
      <c r="V172" s="4"/>
      <c r="W172" s="4">
        <v>0</v>
      </c>
      <c r="X172" s="4">
        <v>1</v>
      </c>
      <c r="Y172" s="4">
        <v>0</v>
      </c>
      <c r="Z172" s="4"/>
      <c r="AA172" s="4"/>
      <c r="AB172" s="4"/>
    </row>
    <row r="173" spans="1:28" x14ac:dyDescent="0.2">
      <c r="A173" s="4">
        <v>50</v>
      </c>
      <c r="B173" s="4">
        <v>0</v>
      </c>
      <c r="C173" s="4">
        <v>0</v>
      </c>
      <c r="D173" s="4">
        <v>1</v>
      </c>
      <c r="E173" s="4">
        <v>233</v>
      </c>
      <c r="F173" s="4">
        <f>ROUND(Source!BD148,O173)</f>
        <v>0</v>
      </c>
      <c r="G173" s="4" t="s">
        <v>143</v>
      </c>
      <c r="H173" s="4" t="s">
        <v>144</v>
      </c>
      <c r="I173" s="4"/>
      <c r="J173" s="4"/>
      <c r="K173" s="4">
        <v>233</v>
      </c>
      <c r="L173" s="4">
        <v>24</v>
      </c>
      <c r="M173" s="4">
        <v>3</v>
      </c>
      <c r="N173" s="4" t="s">
        <v>3</v>
      </c>
      <c r="O173" s="4">
        <v>2</v>
      </c>
      <c r="P173" s="4"/>
      <c r="Q173" s="4"/>
      <c r="R173" s="4"/>
      <c r="S173" s="4"/>
      <c r="T173" s="4"/>
      <c r="U173" s="4"/>
      <c r="V173" s="4"/>
      <c r="W173" s="4">
        <v>0</v>
      </c>
      <c r="X173" s="4">
        <v>1</v>
      </c>
      <c r="Y173" s="4">
        <v>0</v>
      </c>
      <c r="Z173" s="4"/>
      <c r="AA173" s="4"/>
      <c r="AB173" s="4"/>
    </row>
    <row r="174" spans="1:28" x14ac:dyDescent="0.2">
      <c r="A174" s="4">
        <v>50</v>
      </c>
      <c r="B174" s="4">
        <v>0</v>
      </c>
      <c r="C174" s="4">
        <v>0</v>
      </c>
      <c r="D174" s="4">
        <v>1</v>
      </c>
      <c r="E174" s="4">
        <v>210</v>
      </c>
      <c r="F174" s="4">
        <f>ROUND(Source!X148,O174)</f>
        <v>87432.1</v>
      </c>
      <c r="G174" s="4" t="s">
        <v>145</v>
      </c>
      <c r="H174" s="4" t="s">
        <v>146</v>
      </c>
      <c r="I174" s="4"/>
      <c r="J174" s="4"/>
      <c r="K174" s="4">
        <v>210</v>
      </c>
      <c r="L174" s="4">
        <v>25</v>
      </c>
      <c r="M174" s="4">
        <v>3</v>
      </c>
      <c r="N174" s="4" t="s">
        <v>3</v>
      </c>
      <c r="O174" s="4">
        <v>2</v>
      </c>
      <c r="P174" s="4"/>
      <c r="Q174" s="4"/>
      <c r="R174" s="4"/>
      <c r="S174" s="4"/>
      <c r="T174" s="4"/>
      <c r="U174" s="4"/>
      <c r="V174" s="4"/>
      <c r="W174" s="4">
        <v>87432.1</v>
      </c>
      <c r="X174" s="4">
        <v>1</v>
      </c>
      <c r="Y174" s="4">
        <v>87432.1</v>
      </c>
      <c r="Z174" s="4"/>
      <c r="AA174" s="4"/>
      <c r="AB174" s="4"/>
    </row>
    <row r="175" spans="1:28" x14ac:dyDescent="0.2">
      <c r="A175" s="4">
        <v>50</v>
      </c>
      <c r="B175" s="4">
        <v>0</v>
      </c>
      <c r="C175" s="4">
        <v>0</v>
      </c>
      <c r="D175" s="4">
        <v>1</v>
      </c>
      <c r="E175" s="4">
        <v>211</v>
      </c>
      <c r="F175" s="4">
        <f>ROUND(Source!Y148,O175)</f>
        <v>12490.3</v>
      </c>
      <c r="G175" s="4" t="s">
        <v>147</v>
      </c>
      <c r="H175" s="4" t="s">
        <v>148</v>
      </c>
      <c r="I175" s="4"/>
      <c r="J175" s="4"/>
      <c r="K175" s="4">
        <v>211</v>
      </c>
      <c r="L175" s="4">
        <v>26</v>
      </c>
      <c r="M175" s="4">
        <v>3</v>
      </c>
      <c r="N175" s="4" t="s">
        <v>3</v>
      </c>
      <c r="O175" s="4">
        <v>2</v>
      </c>
      <c r="P175" s="4"/>
      <c r="Q175" s="4"/>
      <c r="R175" s="4"/>
      <c r="S175" s="4"/>
      <c r="T175" s="4"/>
      <c r="U175" s="4"/>
      <c r="V175" s="4"/>
      <c r="W175" s="4">
        <v>12490.3</v>
      </c>
      <c r="X175" s="4">
        <v>1</v>
      </c>
      <c r="Y175" s="4">
        <v>12490.3</v>
      </c>
      <c r="Z175" s="4"/>
      <c r="AA175" s="4"/>
      <c r="AB175" s="4"/>
    </row>
    <row r="176" spans="1:28" x14ac:dyDescent="0.2">
      <c r="A176" s="4">
        <v>50</v>
      </c>
      <c r="B176" s="4">
        <v>0</v>
      </c>
      <c r="C176" s="4">
        <v>0</v>
      </c>
      <c r="D176" s="4">
        <v>1</v>
      </c>
      <c r="E176" s="4">
        <v>224</v>
      </c>
      <c r="F176" s="4">
        <f>ROUND(Source!AR148,O176)</f>
        <v>440808.11</v>
      </c>
      <c r="G176" s="4" t="s">
        <v>149</v>
      </c>
      <c r="H176" s="4" t="s">
        <v>150</v>
      </c>
      <c r="I176" s="4"/>
      <c r="J176" s="4"/>
      <c r="K176" s="4">
        <v>224</v>
      </c>
      <c r="L176" s="4">
        <v>27</v>
      </c>
      <c r="M176" s="4">
        <v>3</v>
      </c>
      <c r="N176" s="4" t="s">
        <v>3</v>
      </c>
      <c r="O176" s="4">
        <v>2</v>
      </c>
      <c r="P176" s="4"/>
      <c r="Q176" s="4"/>
      <c r="R176" s="4"/>
      <c r="S176" s="4"/>
      <c r="T176" s="4"/>
      <c r="U176" s="4"/>
      <c r="V176" s="4"/>
      <c r="W176" s="4">
        <v>440808.11</v>
      </c>
      <c r="X176" s="4">
        <v>1</v>
      </c>
      <c r="Y176" s="4">
        <v>440808.11</v>
      </c>
      <c r="Z176" s="4"/>
      <c r="AA176" s="4"/>
      <c r="AB176" s="4"/>
    </row>
    <row r="178" spans="1:206" x14ac:dyDescent="0.2">
      <c r="A178" s="2">
        <v>51</v>
      </c>
      <c r="B178" s="2">
        <f>B116</f>
        <v>1</v>
      </c>
      <c r="C178" s="2">
        <f>A116</f>
        <v>4</v>
      </c>
      <c r="D178" s="2">
        <f>ROW(A116)</f>
        <v>116</v>
      </c>
      <c r="E178" s="2"/>
      <c r="F178" s="2" t="str">
        <f>IF(F116&lt;&gt;"",F116,"")</f>
        <v>Новый раздел</v>
      </c>
      <c r="G178" s="2" t="str">
        <f>IF(G116&lt;&gt;"",G116,"")</f>
        <v>Подвал</v>
      </c>
      <c r="H178" s="2">
        <v>0</v>
      </c>
      <c r="I178" s="2"/>
      <c r="J178" s="2"/>
      <c r="K178" s="2"/>
      <c r="L178" s="2"/>
      <c r="M178" s="2"/>
      <c r="N178" s="2"/>
      <c r="O178" s="2">
        <f t="shared" ref="O178:T178" si="130">ROUND(O148+AB178,2)</f>
        <v>340854.56</v>
      </c>
      <c r="P178" s="2">
        <f t="shared" si="130"/>
        <v>215269.12</v>
      </c>
      <c r="Q178" s="2">
        <f t="shared" si="130"/>
        <v>682.44</v>
      </c>
      <c r="R178" s="2">
        <f t="shared" si="130"/>
        <v>19.47</v>
      </c>
      <c r="S178" s="2">
        <f t="shared" si="130"/>
        <v>124903</v>
      </c>
      <c r="T178" s="2">
        <f t="shared" si="130"/>
        <v>0</v>
      </c>
      <c r="U178" s="2">
        <f>U148+AH178</f>
        <v>296.70629999999994</v>
      </c>
      <c r="V178" s="2">
        <f>V148+AI178</f>
        <v>0</v>
      </c>
      <c r="W178" s="2">
        <f>ROUND(W148+AJ178,2)</f>
        <v>0</v>
      </c>
      <c r="X178" s="2">
        <f>ROUND(X148+AK178,2)</f>
        <v>87432.1</v>
      </c>
      <c r="Y178" s="2">
        <f>ROUND(Y148+AL178,2)</f>
        <v>12490.3</v>
      </c>
      <c r="Z178" s="2"/>
      <c r="AA178" s="2"/>
      <c r="AB178" s="2"/>
      <c r="AC178" s="2"/>
      <c r="AD178" s="2"/>
      <c r="AE178" s="2"/>
      <c r="AF178" s="2"/>
      <c r="AG178" s="2"/>
      <c r="AH178" s="2"/>
      <c r="AI178" s="2"/>
      <c r="AJ178" s="2"/>
      <c r="AK178" s="2"/>
      <c r="AL178" s="2"/>
      <c r="AM178" s="2"/>
      <c r="AN178" s="2"/>
      <c r="AO178" s="2">
        <f t="shared" ref="AO178:BD178" si="131">ROUND(AO148+BX178,2)</f>
        <v>0</v>
      </c>
      <c r="AP178" s="2">
        <f t="shared" si="131"/>
        <v>0</v>
      </c>
      <c r="AQ178" s="2">
        <f t="shared" si="131"/>
        <v>0</v>
      </c>
      <c r="AR178" s="2">
        <f t="shared" si="131"/>
        <v>440808.11</v>
      </c>
      <c r="AS178" s="2">
        <f t="shared" si="131"/>
        <v>0</v>
      </c>
      <c r="AT178" s="2">
        <f t="shared" si="131"/>
        <v>0</v>
      </c>
      <c r="AU178" s="2">
        <f t="shared" si="131"/>
        <v>440808.11</v>
      </c>
      <c r="AV178" s="2">
        <f t="shared" si="131"/>
        <v>215269.12</v>
      </c>
      <c r="AW178" s="2">
        <f t="shared" si="131"/>
        <v>215269.12</v>
      </c>
      <c r="AX178" s="2">
        <f t="shared" si="131"/>
        <v>0</v>
      </c>
      <c r="AY178" s="2">
        <f t="shared" si="131"/>
        <v>215269.12</v>
      </c>
      <c r="AZ178" s="2">
        <f t="shared" si="131"/>
        <v>0</v>
      </c>
      <c r="BA178" s="2">
        <f t="shared" si="131"/>
        <v>0</v>
      </c>
      <c r="BB178" s="2">
        <f t="shared" si="131"/>
        <v>0</v>
      </c>
      <c r="BC178" s="2">
        <f t="shared" si="131"/>
        <v>0</v>
      </c>
      <c r="BD178" s="2">
        <f t="shared" si="131"/>
        <v>0</v>
      </c>
      <c r="BE178" s="2"/>
      <c r="BF178" s="2"/>
      <c r="BG178" s="2"/>
      <c r="BH178" s="2"/>
      <c r="BI178" s="2"/>
      <c r="BJ178" s="2"/>
      <c r="BK178" s="2"/>
      <c r="BL178" s="2"/>
      <c r="BM178" s="2"/>
      <c r="BN178" s="2"/>
      <c r="BO178" s="2"/>
      <c r="BP178" s="2"/>
      <c r="BQ178" s="2"/>
      <c r="BR178" s="2"/>
      <c r="BS178" s="2"/>
      <c r="BT178" s="2"/>
      <c r="BU178" s="2"/>
      <c r="BV178" s="2"/>
      <c r="BW178" s="2"/>
      <c r="BX178" s="2"/>
      <c r="BY178" s="2"/>
      <c r="BZ178" s="2"/>
      <c r="CA178" s="2"/>
      <c r="CB178" s="2"/>
      <c r="CC178" s="2"/>
      <c r="CD178" s="2"/>
      <c r="CE178" s="2"/>
      <c r="CF178" s="2"/>
      <c r="CG178" s="2"/>
      <c r="CH178" s="2"/>
      <c r="CI178" s="2"/>
      <c r="CJ178" s="2"/>
      <c r="CK178" s="2"/>
      <c r="CL178" s="2"/>
      <c r="CM178" s="2"/>
      <c r="CN178" s="2"/>
      <c r="CO178" s="2"/>
      <c r="CP178" s="2"/>
      <c r="CQ178" s="2"/>
      <c r="CR178" s="2"/>
      <c r="CS178" s="2"/>
      <c r="CT178" s="2"/>
      <c r="CU178" s="2"/>
      <c r="CV178" s="2"/>
      <c r="CW178" s="2"/>
      <c r="CX178" s="2"/>
      <c r="CY178" s="2"/>
      <c r="CZ178" s="2"/>
      <c r="DA178" s="2"/>
      <c r="DB178" s="2"/>
      <c r="DC178" s="2"/>
      <c r="DD178" s="2"/>
      <c r="DE178" s="2"/>
      <c r="DF178" s="2"/>
      <c r="DG178" s="3"/>
      <c r="DH178" s="3"/>
      <c r="DI178" s="3"/>
      <c r="DJ178" s="3"/>
      <c r="DK178" s="3"/>
      <c r="DL178" s="3"/>
      <c r="DM178" s="3"/>
      <c r="DN178" s="3"/>
      <c r="DO178" s="3"/>
      <c r="DP178" s="3"/>
      <c r="DQ178" s="3"/>
      <c r="DR178" s="3"/>
      <c r="DS178" s="3"/>
      <c r="DT178" s="3"/>
      <c r="DU178" s="3"/>
      <c r="DV178" s="3"/>
      <c r="DW178" s="3"/>
      <c r="DX178" s="3"/>
      <c r="DY178" s="3"/>
      <c r="DZ178" s="3"/>
      <c r="EA178" s="3"/>
      <c r="EB178" s="3"/>
      <c r="EC178" s="3"/>
      <c r="ED178" s="3"/>
      <c r="EE178" s="3"/>
      <c r="EF178" s="3"/>
      <c r="EG178" s="3"/>
      <c r="EH178" s="3"/>
      <c r="EI178" s="3"/>
      <c r="EJ178" s="3"/>
      <c r="EK178" s="3"/>
      <c r="EL178" s="3"/>
      <c r="EM178" s="3"/>
      <c r="EN178" s="3"/>
      <c r="EO178" s="3"/>
      <c r="EP178" s="3"/>
      <c r="EQ178" s="3"/>
      <c r="ER178" s="3"/>
      <c r="ES178" s="3"/>
      <c r="ET178" s="3"/>
      <c r="EU178" s="3"/>
      <c r="EV178" s="3"/>
      <c r="EW178" s="3"/>
      <c r="EX178" s="3"/>
      <c r="EY178" s="3"/>
      <c r="EZ178" s="3"/>
      <c r="FA178" s="3"/>
      <c r="FB178" s="3"/>
      <c r="FC178" s="3"/>
      <c r="FD178" s="3"/>
      <c r="FE178" s="3"/>
      <c r="FF178" s="3"/>
      <c r="FG178" s="3"/>
      <c r="FH178" s="3"/>
      <c r="FI178" s="3"/>
      <c r="FJ178" s="3"/>
      <c r="FK178" s="3"/>
      <c r="FL178" s="3"/>
      <c r="FM178" s="3"/>
      <c r="FN178" s="3"/>
      <c r="FO178" s="3"/>
      <c r="FP178" s="3"/>
      <c r="FQ178" s="3"/>
      <c r="FR178" s="3"/>
      <c r="FS178" s="3"/>
      <c r="FT178" s="3"/>
      <c r="FU178" s="3"/>
      <c r="FV178" s="3"/>
      <c r="FW178" s="3"/>
      <c r="FX178" s="3"/>
      <c r="FY178" s="3"/>
      <c r="FZ178" s="3"/>
      <c r="GA178" s="3"/>
      <c r="GB178" s="3"/>
      <c r="GC178" s="3"/>
      <c r="GD178" s="3"/>
      <c r="GE178" s="3"/>
      <c r="GF178" s="3"/>
      <c r="GG178" s="3"/>
      <c r="GH178" s="3"/>
      <c r="GI178" s="3"/>
      <c r="GJ178" s="3"/>
      <c r="GK178" s="3"/>
      <c r="GL178" s="3"/>
      <c r="GM178" s="3"/>
      <c r="GN178" s="3"/>
      <c r="GO178" s="3"/>
      <c r="GP178" s="3"/>
      <c r="GQ178" s="3"/>
      <c r="GR178" s="3"/>
      <c r="GS178" s="3"/>
      <c r="GT178" s="3"/>
      <c r="GU178" s="3"/>
      <c r="GV178" s="3"/>
      <c r="GW178" s="3"/>
      <c r="GX178" s="3">
        <v>0</v>
      </c>
    </row>
    <row r="180" spans="1:206" x14ac:dyDescent="0.2">
      <c r="A180" s="4">
        <v>50</v>
      </c>
      <c r="B180" s="4">
        <v>0</v>
      </c>
      <c r="C180" s="4">
        <v>0</v>
      </c>
      <c r="D180" s="4">
        <v>1</v>
      </c>
      <c r="E180" s="4">
        <v>201</v>
      </c>
      <c r="F180" s="4">
        <f>ROUND(Source!O178,O180)</f>
        <v>340854.56</v>
      </c>
      <c r="G180" s="4" t="s">
        <v>97</v>
      </c>
      <c r="H180" s="4" t="s">
        <v>98</v>
      </c>
      <c r="I180" s="4"/>
      <c r="J180" s="4"/>
      <c r="K180" s="4">
        <v>201</v>
      </c>
      <c r="L180" s="4">
        <v>1</v>
      </c>
      <c r="M180" s="4">
        <v>3</v>
      </c>
      <c r="N180" s="4" t="s">
        <v>3</v>
      </c>
      <c r="O180" s="4">
        <v>2</v>
      </c>
      <c r="P180" s="4"/>
      <c r="Q180" s="4"/>
      <c r="R180" s="4"/>
      <c r="S180" s="4"/>
      <c r="T180" s="4"/>
      <c r="U180" s="4"/>
      <c r="V180" s="4"/>
      <c r="W180" s="4">
        <v>340854.56</v>
      </c>
      <c r="X180" s="4">
        <v>1</v>
      </c>
      <c r="Y180" s="4">
        <v>340854.56</v>
      </c>
      <c r="Z180" s="4"/>
      <c r="AA180" s="4"/>
      <c r="AB180" s="4"/>
    </row>
    <row r="181" spans="1:206" x14ac:dyDescent="0.2">
      <c r="A181" s="4">
        <v>50</v>
      </c>
      <c r="B181" s="4">
        <v>0</v>
      </c>
      <c r="C181" s="4">
        <v>0</v>
      </c>
      <c r="D181" s="4">
        <v>1</v>
      </c>
      <c r="E181" s="4">
        <v>202</v>
      </c>
      <c r="F181" s="4">
        <f>ROUND(Source!P178,O181)</f>
        <v>215269.12</v>
      </c>
      <c r="G181" s="4" t="s">
        <v>99</v>
      </c>
      <c r="H181" s="4" t="s">
        <v>100</v>
      </c>
      <c r="I181" s="4"/>
      <c r="J181" s="4"/>
      <c r="K181" s="4">
        <v>202</v>
      </c>
      <c r="L181" s="4">
        <v>2</v>
      </c>
      <c r="M181" s="4">
        <v>3</v>
      </c>
      <c r="N181" s="4" t="s">
        <v>3</v>
      </c>
      <c r="O181" s="4">
        <v>2</v>
      </c>
      <c r="P181" s="4"/>
      <c r="Q181" s="4"/>
      <c r="R181" s="4"/>
      <c r="S181" s="4"/>
      <c r="T181" s="4"/>
      <c r="U181" s="4"/>
      <c r="V181" s="4"/>
      <c r="W181" s="4">
        <v>215269.12</v>
      </c>
      <c r="X181" s="4">
        <v>1</v>
      </c>
      <c r="Y181" s="4">
        <v>215269.12</v>
      </c>
      <c r="Z181" s="4"/>
      <c r="AA181" s="4"/>
      <c r="AB181" s="4"/>
    </row>
    <row r="182" spans="1:206" x14ac:dyDescent="0.2">
      <c r="A182" s="4">
        <v>50</v>
      </c>
      <c r="B182" s="4">
        <v>0</v>
      </c>
      <c r="C182" s="4">
        <v>0</v>
      </c>
      <c r="D182" s="4">
        <v>1</v>
      </c>
      <c r="E182" s="4">
        <v>222</v>
      </c>
      <c r="F182" s="4">
        <f>ROUND(Source!AO178,O182)</f>
        <v>0</v>
      </c>
      <c r="G182" s="4" t="s">
        <v>101</v>
      </c>
      <c r="H182" s="4" t="s">
        <v>102</v>
      </c>
      <c r="I182" s="4"/>
      <c r="J182" s="4"/>
      <c r="K182" s="4">
        <v>222</v>
      </c>
      <c r="L182" s="4">
        <v>3</v>
      </c>
      <c r="M182" s="4">
        <v>3</v>
      </c>
      <c r="N182" s="4" t="s">
        <v>3</v>
      </c>
      <c r="O182" s="4">
        <v>2</v>
      </c>
      <c r="P182" s="4"/>
      <c r="Q182" s="4"/>
      <c r="R182" s="4"/>
      <c r="S182" s="4"/>
      <c r="T182" s="4"/>
      <c r="U182" s="4"/>
      <c r="V182" s="4"/>
      <c r="W182" s="4">
        <v>0</v>
      </c>
      <c r="X182" s="4">
        <v>1</v>
      </c>
      <c r="Y182" s="4">
        <v>0</v>
      </c>
      <c r="Z182" s="4"/>
      <c r="AA182" s="4"/>
      <c r="AB182" s="4"/>
    </row>
    <row r="183" spans="1:206" x14ac:dyDescent="0.2">
      <c r="A183" s="4">
        <v>50</v>
      </c>
      <c r="B183" s="4">
        <v>0</v>
      </c>
      <c r="C183" s="4">
        <v>0</v>
      </c>
      <c r="D183" s="4">
        <v>1</v>
      </c>
      <c r="E183" s="4">
        <v>225</v>
      </c>
      <c r="F183" s="4">
        <f>ROUND(Source!AV178,O183)</f>
        <v>215269.12</v>
      </c>
      <c r="G183" s="4" t="s">
        <v>103</v>
      </c>
      <c r="H183" s="4" t="s">
        <v>104</v>
      </c>
      <c r="I183" s="4"/>
      <c r="J183" s="4"/>
      <c r="K183" s="4">
        <v>225</v>
      </c>
      <c r="L183" s="4">
        <v>4</v>
      </c>
      <c r="M183" s="4">
        <v>3</v>
      </c>
      <c r="N183" s="4" t="s">
        <v>3</v>
      </c>
      <c r="O183" s="4">
        <v>2</v>
      </c>
      <c r="P183" s="4"/>
      <c r="Q183" s="4"/>
      <c r="R183" s="4"/>
      <c r="S183" s="4"/>
      <c r="T183" s="4"/>
      <c r="U183" s="4"/>
      <c r="V183" s="4"/>
      <c r="W183" s="4">
        <v>215269.12</v>
      </c>
      <c r="X183" s="4">
        <v>1</v>
      </c>
      <c r="Y183" s="4">
        <v>215269.12</v>
      </c>
      <c r="Z183" s="4"/>
      <c r="AA183" s="4"/>
      <c r="AB183" s="4"/>
    </row>
    <row r="184" spans="1:206" x14ac:dyDescent="0.2">
      <c r="A184" s="4">
        <v>50</v>
      </c>
      <c r="B184" s="4">
        <v>0</v>
      </c>
      <c r="C184" s="4">
        <v>0</v>
      </c>
      <c r="D184" s="4">
        <v>1</v>
      </c>
      <c r="E184" s="4">
        <v>226</v>
      </c>
      <c r="F184" s="4">
        <f>ROUND(Source!AW178,O184)</f>
        <v>215269.12</v>
      </c>
      <c r="G184" s="4" t="s">
        <v>105</v>
      </c>
      <c r="H184" s="4" t="s">
        <v>106</v>
      </c>
      <c r="I184" s="4"/>
      <c r="J184" s="4"/>
      <c r="K184" s="4">
        <v>226</v>
      </c>
      <c r="L184" s="4">
        <v>5</v>
      </c>
      <c r="M184" s="4">
        <v>3</v>
      </c>
      <c r="N184" s="4" t="s">
        <v>3</v>
      </c>
      <c r="O184" s="4">
        <v>2</v>
      </c>
      <c r="P184" s="4"/>
      <c r="Q184" s="4"/>
      <c r="R184" s="4"/>
      <c r="S184" s="4"/>
      <c r="T184" s="4"/>
      <c r="U184" s="4"/>
      <c r="V184" s="4"/>
      <c r="W184" s="4">
        <v>215269.12</v>
      </c>
      <c r="X184" s="4">
        <v>1</v>
      </c>
      <c r="Y184" s="4">
        <v>215269.12</v>
      </c>
      <c r="Z184" s="4"/>
      <c r="AA184" s="4"/>
      <c r="AB184" s="4"/>
    </row>
    <row r="185" spans="1:206" x14ac:dyDescent="0.2">
      <c r="A185" s="4">
        <v>50</v>
      </c>
      <c r="B185" s="4">
        <v>0</v>
      </c>
      <c r="C185" s="4">
        <v>0</v>
      </c>
      <c r="D185" s="4">
        <v>1</v>
      </c>
      <c r="E185" s="4">
        <v>227</v>
      </c>
      <c r="F185" s="4">
        <f>ROUND(Source!AX178,O185)</f>
        <v>0</v>
      </c>
      <c r="G185" s="4" t="s">
        <v>107</v>
      </c>
      <c r="H185" s="4" t="s">
        <v>108</v>
      </c>
      <c r="I185" s="4"/>
      <c r="J185" s="4"/>
      <c r="K185" s="4">
        <v>227</v>
      </c>
      <c r="L185" s="4">
        <v>6</v>
      </c>
      <c r="M185" s="4">
        <v>3</v>
      </c>
      <c r="N185" s="4" t="s">
        <v>3</v>
      </c>
      <c r="O185" s="4">
        <v>2</v>
      </c>
      <c r="P185" s="4"/>
      <c r="Q185" s="4"/>
      <c r="R185" s="4"/>
      <c r="S185" s="4"/>
      <c r="T185" s="4"/>
      <c r="U185" s="4"/>
      <c r="V185" s="4"/>
      <c r="W185" s="4">
        <v>0</v>
      </c>
      <c r="X185" s="4">
        <v>1</v>
      </c>
      <c r="Y185" s="4">
        <v>0</v>
      </c>
      <c r="Z185" s="4"/>
      <c r="AA185" s="4"/>
      <c r="AB185" s="4"/>
    </row>
    <row r="186" spans="1:206" x14ac:dyDescent="0.2">
      <c r="A186" s="4">
        <v>50</v>
      </c>
      <c r="B186" s="4">
        <v>0</v>
      </c>
      <c r="C186" s="4">
        <v>0</v>
      </c>
      <c r="D186" s="4">
        <v>1</v>
      </c>
      <c r="E186" s="4">
        <v>228</v>
      </c>
      <c r="F186" s="4">
        <f>ROUND(Source!AY178,O186)</f>
        <v>215269.12</v>
      </c>
      <c r="G186" s="4" t="s">
        <v>109</v>
      </c>
      <c r="H186" s="4" t="s">
        <v>110</v>
      </c>
      <c r="I186" s="4"/>
      <c r="J186" s="4"/>
      <c r="K186" s="4">
        <v>228</v>
      </c>
      <c r="L186" s="4">
        <v>7</v>
      </c>
      <c r="M186" s="4">
        <v>3</v>
      </c>
      <c r="N186" s="4" t="s">
        <v>3</v>
      </c>
      <c r="O186" s="4">
        <v>2</v>
      </c>
      <c r="P186" s="4"/>
      <c r="Q186" s="4"/>
      <c r="R186" s="4"/>
      <c r="S186" s="4"/>
      <c r="T186" s="4"/>
      <c r="U186" s="4"/>
      <c r="V186" s="4"/>
      <c r="W186" s="4">
        <v>215269.12</v>
      </c>
      <c r="X186" s="4">
        <v>1</v>
      </c>
      <c r="Y186" s="4">
        <v>215269.12</v>
      </c>
      <c r="Z186" s="4"/>
      <c r="AA186" s="4"/>
      <c r="AB186" s="4"/>
    </row>
    <row r="187" spans="1:206" x14ac:dyDescent="0.2">
      <c r="A187" s="4">
        <v>50</v>
      </c>
      <c r="B187" s="4">
        <v>0</v>
      </c>
      <c r="C187" s="4">
        <v>0</v>
      </c>
      <c r="D187" s="4">
        <v>1</v>
      </c>
      <c r="E187" s="4">
        <v>216</v>
      </c>
      <c r="F187" s="4">
        <f>ROUND(Source!AP178,O187)</f>
        <v>0</v>
      </c>
      <c r="G187" s="4" t="s">
        <v>111</v>
      </c>
      <c r="H187" s="4" t="s">
        <v>112</v>
      </c>
      <c r="I187" s="4"/>
      <c r="J187" s="4"/>
      <c r="K187" s="4">
        <v>216</v>
      </c>
      <c r="L187" s="4">
        <v>8</v>
      </c>
      <c r="M187" s="4">
        <v>3</v>
      </c>
      <c r="N187" s="4" t="s">
        <v>3</v>
      </c>
      <c r="O187" s="4">
        <v>2</v>
      </c>
      <c r="P187" s="4"/>
      <c r="Q187" s="4"/>
      <c r="R187" s="4"/>
      <c r="S187" s="4"/>
      <c r="T187" s="4"/>
      <c r="U187" s="4"/>
      <c r="V187" s="4"/>
      <c r="W187" s="4">
        <v>0</v>
      </c>
      <c r="X187" s="4">
        <v>1</v>
      </c>
      <c r="Y187" s="4">
        <v>0</v>
      </c>
      <c r="Z187" s="4"/>
      <c r="AA187" s="4"/>
      <c r="AB187" s="4"/>
    </row>
    <row r="188" spans="1:206" x14ac:dyDescent="0.2">
      <c r="A188" s="4">
        <v>50</v>
      </c>
      <c r="B188" s="4">
        <v>0</v>
      </c>
      <c r="C188" s="4">
        <v>0</v>
      </c>
      <c r="D188" s="4">
        <v>1</v>
      </c>
      <c r="E188" s="4">
        <v>223</v>
      </c>
      <c r="F188" s="4">
        <f>ROUND(Source!AQ178,O188)</f>
        <v>0</v>
      </c>
      <c r="G188" s="4" t="s">
        <v>113</v>
      </c>
      <c r="H188" s="4" t="s">
        <v>114</v>
      </c>
      <c r="I188" s="4"/>
      <c r="J188" s="4"/>
      <c r="K188" s="4">
        <v>223</v>
      </c>
      <c r="L188" s="4">
        <v>9</v>
      </c>
      <c r="M188" s="4">
        <v>3</v>
      </c>
      <c r="N188" s="4" t="s">
        <v>3</v>
      </c>
      <c r="O188" s="4">
        <v>2</v>
      </c>
      <c r="P188" s="4"/>
      <c r="Q188" s="4"/>
      <c r="R188" s="4"/>
      <c r="S188" s="4"/>
      <c r="T188" s="4"/>
      <c r="U188" s="4"/>
      <c r="V188" s="4"/>
      <c r="W188" s="4">
        <v>0</v>
      </c>
      <c r="X188" s="4">
        <v>1</v>
      </c>
      <c r="Y188" s="4">
        <v>0</v>
      </c>
      <c r="Z188" s="4"/>
      <c r="AA188" s="4"/>
      <c r="AB188" s="4"/>
    </row>
    <row r="189" spans="1:206" x14ac:dyDescent="0.2">
      <c r="A189" s="4">
        <v>50</v>
      </c>
      <c r="B189" s="4">
        <v>0</v>
      </c>
      <c r="C189" s="4">
        <v>0</v>
      </c>
      <c r="D189" s="4">
        <v>1</v>
      </c>
      <c r="E189" s="4">
        <v>229</v>
      </c>
      <c r="F189" s="4">
        <f>ROUND(Source!AZ178,O189)</f>
        <v>0</v>
      </c>
      <c r="G189" s="4" t="s">
        <v>115</v>
      </c>
      <c r="H189" s="4" t="s">
        <v>116</v>
      </c>
      <c r="I189" s="4"/>
      <c r="J189" s="4"/>
      <c r="K189" s="4">
        <v>229</v>
      </c>
      <c r="L189" s="4">
        <v>10</v>
      </c>
      <c r="M189" s="4">
        <v>3</v>
      </c>
      <c r="N189" s="4" t="s">
        <v>3</v>
      </c>
      <c r="O189" s="4">
        <v>2</v>
      </c>
      <c r="P189" s="4"/>
      <c r="Q189" s="4"/>
      <c r="R189" s="4"/>
      <c r="S189" s="4"/>
      <c r="T189" s="4"/>
      <c r="U189" s="4"/>
      <c r="V189" s="4"/>
      <c r="W189" s="4">
        <v>0</v>
      </c>
      <c r="X189" s="4">
        <v>1</v>
      </c>
      <c r="Y189" s="4">
        <v>0</v>
      </c>
      <c r="Z189" s="4"/>
      <c r="AA189" s="4"/>
      <c r="AB189" s="4"/>
    </row>
    <row r="190" spans="1:206" x14ac:dyDescent="0.2">
      <c r="A190" s="4">
        <v>50</v>
      </c>
      <c r="B190" s="4">
        <v>0</v>
      </c>
      <c r="C190" s="4">
        <v>0</v>
      </c>
      <c r="D190" s="4">
        <v>1</v>
      </c>
      <c r="E190" s="4">
        <v>203</v>
      </c>
      <c r="F190" s="4">
        <f>ROUND(Source!Q178,O190)</f>
        <v>682.44</v>
      </c>
      <c r="G190" s="4" t="s">
        <v>117</v>
      </c>
      <c r="H190" s="4" t="s">
        <v>118</v>
      </c>
      <c r="I190" s="4"/>
      <c r="J190" s="4"/>
      <c r="K190" s="4">
        <v>203</v>
      </c>
      <c r="L190" s="4">
        <v>11</v>
      </c>
      <c r="M190" s="4">
        <v>3</v>
      </c>
      <c r="N190" s="4" t="s">
        <v>3</v>
      </c>
      <c r="O190" s="4">
        <v>2</v>
      </c>
      <c r="P190" s="4"/>
      <c r="Q190" s="4"/>
      <c r="R190" s="4"/>
      <c r="S190" s="4"/>
      <c r="T190" s="4"/>
      <c r="U190" s="4"/>
      <c r="V190" s="4"/>
      <c r="W190" s="4">
        <v>682.44</v>
      </c>
      <c r="X190" s="4">
        <v>1</v>
      </c>
      <c r="Y190" s="4">
        <v>682.44</v>
      </c>
      <c r="Z190" s="4"/>
      <c r="AA190" s="4"/>
      <c r="AB190" s="4"/>
    </row>
    <row r="191" spans="1:206" x14ac:dyDescent="0.2">
      <c r="A191" s="4">
        <v>50</v>
      </c>
      <c r="B191" s="4">
        <v>0</v>
      </c>
      <c r="C191" s="4">
        <v>0</v>
      </c>
      <c r="D191" s="4">
        <v>1</v>
      </c>
      <c r="E191" s="4">
        <v>231</v>
      </c>
      <c r="F191" s="4">
        <f>ROUND(Source!BB178,O191)</f>
        <v>0</v>
      </c>
      <c r="G191" s="4" t="s">
        <v>119</v>
      </c>
      <c r="H191" s="4" t="s">
        <v>120</v>
      </c>
      <c r="I191" s="4"/>
      <c r="J191" s="4"/>
      <c r="K191" s="4">
        <v>231</v>
      </c>
      <c r="L191" s="4">
        <v>12</v>
      </c>
      <c r="M191" s="4">
        <v>3</v>
      </c>
      <c r="N191" s="4" t="s">
        <v>3</v>
      </c>
      <c r="O191" s="4">
        <v>2</v>
      </c>
      <c r="P191" s="4"/>
      <c r="Q191" s="4"/>
      <c r="R191" s="4"/>
      <c r="S191" s="4"/>
      <c r="T191" s="4"/>
      <c r="U191" s="4"/>
      <c r="V191" s="4"/>
      <c r="W191" s="4">
        <v>0</v>
      </c>
      <c r="X191" s="4">
        <v>1</v>
      </c>
      <c r="Y191" s="4">
        <v>0</v>
      </c>
      <c r="Z191" s="4"/>
      <c r="AA191" s="4"/>
      <c r="AB191" s="4"/>
    </row>
    <row r="192" spans="1:206" x14ac:dyDescent="0.2">
      <c r="A192" s="4">
        <v>50</v>
      </c>
      <c r="B192" s="4">
        <v>0</v>
      </c>
      <c r="C192" s="4">
        <v>0</v>
      </c>
      <c r="D192" s="4">
        <v>1</v>
      </c>
      <c r="E192" s="4">
        <v>204</v>
      </c>
      <c r="F192" s="4">
        <f>ROUND(Source!R178,O192)</f>
        <v>19.47</v>
      </c>
      <c r="G192" s="4" t="s">
        <v>121</v>
      </c>
      <c r="H192" s="4" t="s">
        <v>122</v>
      </c>
      <c r="I192" s="4"/>
      <c r="J192" s="4"/>
      <c r="K192" s="4">
        <v>204</v>
      </c>
      <c r="L192" s="4">
        <v>13</v>
      </c>
      <c r="M192" s="4">
        <v>3</v>
      </c>
      <c r="N192" s="4" t="s">
        <v>3</v>
      </c>
      <c r="O192" s="4">
        <v>2</v>
      </c>
      <c r="P192" s="4"/>
      <c r="Q192" s="4"/>
      <c r="R192" s="4"/>
      <c r="S192" s="4"/>
      <c r="T192" s="4"/>
      <c r="U192" s="4"/>
      <c r="V192" s="4"/>
      <c r="W192" s="4">
        <v>19.47</v>
      </c>
      <c r="X192" s="4">
        <v>1</v>
      </c>
      <c r="Y192" s="4">
        <v>19.47</v>
      </c>
      <c r="Z192" s="4"/>
      <c r="AA192" s="4"/>
      <c r="AB192" s="4"/>
    </row>
    <row r="193" spans="1:206" x14ac:dyDescent="0.2">
      <c r="A193" s="4">
        <v>50</v>
      </c>
      <c r="B193" s="4">
        <v>0</v>
      </c>
      <c r="C193" s="4">
        <v>0</v>
      </c>
      <c r="D193" s="4">
        <v>1</v>
      </c>
      <c r="E193" s="4">
        <v>205</v>
      </c>
      <c r="F193" s="4">
        <f>ROUND(Source!S178,O193)</f>
        <v>124903</v>
      </c>
      <c r="G193" s="4" t="s">
        <v>123</v>
      </c>
      <c r="H193" s="4" t="s">
        <v>124</v>
      </c>
      <c r="I193" s="4"/>
      <c r="J193" s="4"/>
      <c r="K193" s="4">
        <v>205</v>
      </c>
      <c r="L193" s="4">
        <v>14</v>
      </c>
      <c r="M193" s="4">
        <v>3</v>
      </c>
      <c r="N193" s="4" t="s">
        <v>3</v>
      </c>
      <c r="O193" s="4">
        <v>2</v>
      </c>
      <c r="P193" s="4"/>
      <c r="Q193" s="4"/>
      <c r="R193" s="4"/>
      <c r="S193" s="4"/>
      <c r="T193" s="4"/>
      <c r="U193" s="4"/>
      <c r="V193" s="4"/>
      <c r="W193" s="4">
        <v>124903</v>
      </c>
      <c r="X193" s="4">
        <v>1</v>
      </c>
      <c r="Y193" s="4">
        <v>124903</v>
      </c>
      <c r="Z193" s="4"/>
      <c r="AA193" s="4"/>
      <c r="AB193" s="4"/>
    </row>
    <row r="194" spans="1:206" x14ac:dyDescent="0.2">
      <c r="A194" s="4">
        <v>50</v>
      </c>
      <c r="B194" s="4">
        <v>0</v>
      </c>
      <c r="C194" s="4">
        <v>0</v>
      </c>
      <c r="D194" s="4">
        <v>1</v>
      </c>
      <c r="E194" s="4">
        <v>232</v>
      </c>
      <c r="F194" s="4">
        <f>ROUND(Source!BC178,O194)</f>
        <v>0</v>
      </c>
      <c r="G194" s="4" t="s">
        <v>125</v>
      </c>
      <c r="H194" s="4" t="s">
        <v>126</v>
      </c>
      <c r="I194" s="4"/>
      <c r="J194" s="4"/>
      <c r="K194" s="4">
        <v>232</v>
      </c>
      <c r="L194" s="4">
        <v>15</v>
      </c>
      <c r="M194" s="4">
        <v>3</v>
      </c>
      <c r="N194" s="4" t="s">
        <v>3</v>
      </c>
      <c r="O194" s="4">
        <v>2</v>
      </c>
      <c r="P194" s="4"/>
      <c r="Q194" s="4"/>
      <c r="R194" s="4"/>
      <c r="S194" s="4"/>
      <c r="T194" s="4"/>
      <c r="U194" s="4"/>
      <c r="V194" s="4"/>
      <c r="W194" s="4">
        <v>0</v>
      </c>
      <c r="X194" s="4">
        <v>1</v>
      </c>
      <c r="Y194" s="4">
        <v>0</v>
      </c>
      <c r="Z194" s="4"/>
      <c r="AA194" s="4"/>
      <c r="AB194" s="4"/>
    </row>
    <row r="195" spans="1:206" x14ac:dyDescent="0.2">
      <c r="A195" s="4">
        <v>50</v>
      </c>
      <c r="B195" s="4">
        <v>0</v>
      </c>
      <c r="C195" s="4">
        <v>0</v>
      </c>
      <c r="D195" s="4">
        <v>1</v>
      </c>
      <c r="E195" s="4">
        <v>214</v>
      </c>
      <c r="F195" s="4">
        <f>ROUND(Source!AS178,O195)</f>
        <v>0</v>
      </c>
      <c r="G195" s="4" t="s">
        <v>127</v>
      </c>
      <c r="H195" s="4" t="s">
        <v>128</v>
      </c>
      <c r="I195" s="4"/>
      <c r="J195" s="4"/>
      <c r="K195" s="4">
        <v>214</v>
      </c>
      <c r="L195" s="4">
        <v>16</v>
      </c>
      <c r="M195" s="4">
        <v>3</v>
      </c>
      <c r="N195" s="4" t="s">
        <v>3</v>
      </c>
      <c r="O195" s="4">
        <v>2</v>
      </c>
      <c r="P195" s="4"/>
      <c r="Q195" s="4"/>
      <c r="R195" s="4"/>
      <c r="S195" s="4"/>
      <c r="T195" s="4"/>
      <c r="U195" s="4"/>
      <c r="V195" s="4"/>
      <c r="W195" s="4">
        <v>0</v>
      </c>
      <c r="X195" s="4">
        <v>1</v>
      </c>
      <c r="Y195" s="4">
        <v>0</v>
      </c>
      <c r="Z195" s="4"/>
      <c r="AA195" s="4"/>
      <c r="AB195" s="4"/>
    </row>
    <row r="196" spans="1:206" x14ac:dyDescent="0.2">
      <c r="A196" s="4">
        <v>50</v>
      </c>
      <c r="B196" s="4">
        <v>0</v>
      </c>
      <c r="C196" s="4">
        <v>0</v>
      </c>
      <c r="D196" s="4">
        <v>1</v>
      </c>
      <c r="E196" s="4">
        <v>215</v>
      </c>
      <c r="F196" s="4">
        <f>ROUND(Source!AT178,O196)</f>
        <v>0</v>
      </c>
      <c r="G196" s="4" t="s">
        <v>129</v>
      </c>
      <c r="H196" s="4" t="s">
        <v>130</v>
      </c>
      <c r="I196" s="4"/>
      <c r="J196" s="4"/>
      <c r="K196" s="4">
        <v>215</v>
      </c>
      <c r="L196" s="4">
        <v>17</v>
      </c>
      <c r="M196" s="4">
        <v>3</v>
      </c>
      <c r="N196" s="4" t="s">
        <v>3</v>
      </c>
      <c r="O196" s="4">
        <v>2</v>
      </c>
      <c r="P196" s="4"/>
      <c r="Q196" s="4"/>
      <c r="R196" s="4"/>
      <c r="S196" s="4"/>
      <c r="T196" s="4"/>
      <c r="U196" s="4"/>
      <c r="V196" s="4"/>
      <c r="W196" s="4">
        <v>0</v>
      </c>
      <c r="X196" s="4">
        <v>1</v>
      </c>
      <c r="Y196" s="4">
        <v>0</v>
      </c>
      <c r="Z196" s="4"/>
      <c r="AA196" s="4"/>
      <c r="AB196" s="4"/>
    </row>
    <row r="197" spans="1:206" x14ac:dyDescent="0.2">
      <c r="A197" s="4">
        <v>50</v>
      </c>
      <c r="B197" s="4">
        <v>0</v>
      </c>
      <c r="C197" s="4">
        <v>0</v>
      </c>
      <c r="D197" s="4">
        <v>1</v>
      </c>
      <c r="E197" s="4">
        <v>217</v>
      </c>
      <c r="F197" s="4">
        <f>ROUND(Source!AU178,O197)</f>
        <v>440808.11</v>
      </c>
      <c r="G197" s="4" t="s">
        <v>131</v>
      </c>
      <c r="H197" s="4" t="s">
        <v>132</v>
      </c>
      <c r="I197" s="4"/>
      <c r="J197" s="4"/>
      <c r="K197" s="4">
        <v>217</v>
      </c>
      <c r="L197" s="4">
        <v>18</v>
      </c>
      <c r="M197" s="4">
        <v>3</v>
      </c>
      <c r="N197" s="4" t="s">
        <v>3</v>
      </c>
      <c r="O197" s="4">
        <v>2</v>
      </c>
      <c r="P197" s="4"/>
      <c r="Q197" s="4"/>
      <c r="R197" s="4"/>
      <c r="S197" s="4"/>
      <c r="T197" s="4"/>
      <c r="U197" s="4"/>
      <c r="V197" s="4"/>
      <c r="W197" s="4">
        <v>440808.11</v>
      </c>
      <c r="X197" s="4">
        <v>1</v>
      </c>
      <c r="Y197" s="4">
        <v>440808.11</v>
      </c>
      <c r="Z197" s="4"/>
      <c r="AA197" s="4"/>
      <c r="AB197" s="4"/>
    </row>
    <row r="198" spans="1:206" x14ac:dyDescent="0.2">
      <c r="A198" s="4">
        <v>50</v>
      </c>
      <c r="B198" s="4">
        <v>0</v>
      </c>
      <c r="C198" s="4">
        <v>0</v>
      </c>
      <c r="D198" s="4">
        <v>1</v>
      </c>
      <c r="E198" s="4">
        <v>230</v>
      </c>
      <c r="F198" s="4">
        <f>ROUND(Source!BA178,O198)</f>
        <v>0</v>
      </c>
      <c r="G198" s="4" t="s">
        <v>133</v>
      </c>
      <c r="H198" s="4" t="s">
        <v>134</v>
      </c>
      <c r="I198" s="4"/>
      <c r="J198" s="4"/>
      <c r="K198" s="4">
        <v>230</v>
      </c>
      <c r="L198" s="4">
        <v>19</v>
      </c>
      <c r="M198" s="4">
        <v>3</v>
      </c>
      <c r="N198" s="4" t="s">
        <v>3</v>
      </c>
      <c r="O198" s="4">
        <v>2</v>
      </c>
      <c r="P198" s="4"/>
      <c r="Q198" s="4"/>
      <c r="R198" s="4"/>
      <c r="S198" s="4"/>
      <c r="T198" s="4"/>
      <c r="U198" s="4"/>
      <c r="V198" s="4"/>
      <c r="W198" s="4">
        <v>0</v>
      </c>
      <c r="X198" s="4">
        <v>1</v>
      </c>
      <c r="Y198" s="4">
        <v>0</v>
      </c>
      <c r="Z198" s="4"/>
      <c r="AA198" s="4"/>
      <c r="AB198" s="4"/>
    </row>
    <row r="199" spans="1:206" x14ac:dyDescent="0.2">
      <c r="A199" s="4">
        <v>50</v>
      </c>
      <c r="B199" s="4">
        <v>0</v>
      </c>
      <c r="C199" s="4">
        <v>0</v>
      </c>
      <c r="D199" s="4">
        <v>1</v>
      </c>
      <c r="E199" s="4">
        <v>206</v>
      </c>
      <c r="F199" s="4">
        <f>ROUND(Source!T178,O199)</f>
        <v>0</v>
      </c>
      <c r="G199" s="4" t="s">
        <v>135</v>
      </c>
      <c r="H199" s="4" t="s">
        <v>136</v>
      </c>
      <c r="I199" s="4"/>
      <c r="J199" s="4"/>
      <c r="K199" s="4">
        <v>206</v>
      </c>
      <c r="L199" s="4">
        <v>20</v>
      </c>
      <c r="M199" s="4">
        <v>3</v>
      </c>
      <c r="N199" s="4" t="s">
        <v>3</v>
      </c>
      <c r="O199" s="4">
        <v>2</v>
      </c>
      <c r="P199" s="4"/>
      <c r="Q199" s="4"/>
      <c r="R199" s="4"/>
      <c r="S199" s="4"/>
      <c r="T199" s="4"/>
      <c r="U199" s="4"/>
      <c r="V199" s="4"/>
      <c r="W199" s="4">
        <v>0</v>
      </c>
      <c r="X199" s="4">
        <v>1</v>
      </c>
      <c r="Y199" s="4">
        <v>0</v>
      </c>
      <c r="Z199" s="4"/>
      <c r="AA199" s="4"/>
      <c r="AB199" s="4"/>
    </row>
    <row r="200" spans="1:206" x14ac:dyDescent="0.2">
      <c r="A200" s="4">
        <v>50</v>
      </c>
      <c r="B200" s="4">
        <v>0</v>
      </c>
      <c r="C200" s="4">
        <v>0</v>
      </c>
      <c r="D200" s="4">
        <v>1</v>
      </c>
      <c r="E200" s="4">
        <v>207</v>
      </c>
      <c r="F200" s="4">
        <f>Source!U178</f>
        <v>296.70629999999994</v>
      </c>
      <c r="G200" s="4" t="s">
        <v>137</v>
      </c>
      <c r="H200" s="4" t="s">
        <v>138</v>
      </c>
      <c r="I200" s="4"/>
      <c r="J200" s="4"/>
      <c r="K200" s="4">
        <v>207</v>
      </c>
      <c r="L200" s="4">
        <v>21</v>
      </c>
      <c r="M200" s="4">
        <v>3</v>
      </c>
      <c r="N200" s="4" t="s">
        <v>3</v>
      </c>
      <c r="O200" s="4">
        <v>-1</v>
      </c>
      <c r="P200" s="4"/>
      <c r="Q200" s="4"/>
      <c r="R200" s="4"/>
      <c r="S200" s="4"/>
      <c r="T200" s="4"/>
      <c r="U200" s="4"/>
      <c r="V200" s="4"/>
      <c r="W200" s="4">
        <v>296.70629999999994</v>
      </c>
      <c r="X200" s="4">
        <v>1</v>
      </c>
      <c r="Y200" s="4">
        <v>296.70629999999994</v>
      </c>
      <c r="Z200" s="4"/>
      <c r="AA200" s="4"/>
      <c r="AB200" s="4"/>
    </row>
    <row r="201" spans="1:206" x14ac:dyDescent="0.2">
      <c r="A201" s="4">
        <v>50</v>
      </c>
      <c r="B201" s="4">
        <v>0</v>
      </c>
      <c r="C201" s="4">
        <v>0</v>
      </c>
      <c r="D201" s="4">
        <v>1</v>
      </c>
      <c r="E201" s="4">
        <v>208</v>
      </c>
      <c r="F201" s="4">
        <f>Source!V178</f>
        <v>0</v>
      </c>
      <c r="G201" s="4" t="s">
        <v>139</v>
      </c>
      <c r="H201" s="4" t="s">
        <v>140</v>
      </c>
      <c r="I201" s="4"/>
      <c r="J201" s="4"/>
      <c r="K201" s="4">
        <v>208</v>
      </c>
      <c r="L201" s="4">
        <v>22</v>
      </c>
      <c r="M201" s="4">
        <v>3</v>
      </c>
      <c r="N201" s="4" t="s">
        <v>3</v>
      </c>
      <c r="O201" s="4">
        <v>-1</v>
      </c>
      <c r="P201" s="4"/>
      <c r="Q201" s="4"/>
      <c r="R201" s="4"/>
      <c r="S201" s="4"/>
      <c r="T201" s="4"/>
      <c r="U201" s="4"/>
      <c r="V201" s="4"/>
      <c r="W201" s="4">
        <v>0</v>
      </c>
      <c r="X201" s="4">
        <v>1</v>
      </c>
      <c r="Y201" s="4">
        <v>0</v>
      </c>
      <c r="Z201" s="4"/>
      <c r="AA201" s="4"/>
      <c r="AB201" s="4"/>
    </row>
    <row r="202" spans="1:206" x14ac:dyDescent="0.2">
      <c r="A202" s="4">
        <v>50</v>
      </c>
      <c r="B202" s="4">
        <v>0</v>
      </c>
      <c r="C202" s="4">
        <v>0</v>
      </c>
      <c r="D202" s="4">
        <v>1</v>
      </c>
      <c r="E202" s="4">
        <v>209</v>
      </c>
      <c r="F202" s="4">
        <f>ROUND(Source!W178,O202)</f>
        <v>0</v>
      </c>
      <c r="G202" s="4" t="s">
        <v>141</v>
      </c>
      <c r="H202" s="4" t="s">
        <v>142</v>
      </c>
      <c r="I202" s="4"/>
      <c r="J202" s="4"/>
      <c r="K202" s="4">
        <v>209</v>
      </c>
      <c r="L202" s="4">
        <v>23</v>
      </c>
      <c r="M202" s="4">
        <v>3</v>
      </c>
      <c r="N202" s="4" t="s">
        <v>3</v>
      </c>
      <c r="O202" s="4">
        <v>2</v>
      </c>
      <c r="P202" s="4"/>
      <c r="Q202" s="4"/>
      <c r="R202" s="4"/>
      <c r="S202" s="4"/>
      <c r="T202" s="4"/>
      <c r="U202" s="4"/>
      <c r="V202" s="4"/>
      <c r="W202" s="4">
        <v>0</v>
      </c>
      <c r="X202" s="4">
        <v>1</v>
      </c>
      <c r="Y202" s="4">
        <v>0</v>
      </c>
      <c r="Z202" s="4"/>
      <c r="AA202" s="4"/>
      <c r="AB202" s="4"/>
    </row>
    <row r="203" spans="1:206" x14ac:dyDescent="0.2">
      <c r="A203" s="4">
        <v>50</v>
      </c>
      <c r="B203" s="4">
        <v>0</v>
      </c>
      <c r="C203" s="4">
        <v>0</v>
      </c>
      <c r="D203" s="4">
        <v>1</v>
      </c>
      <c r="E203" s="4">
        <v>233</v>
      </c>
      <c r="F203" s="4">
        <f>ROUND(Source!BD178,O203)</f>
        <v>0</v>
      </c>
      <c r="G203" s="4" t="s">
        <v>143</v>
      </c>
      <c r="H203" s="4" t="s">
        <v>144</v>
      </c>
      <c r="I203" s="4"/>
      <c r="J203" s="4"/>
      <c r="K203" s="4">
        <v>233</v>
      </c>
      <c r="L203" s="4">
        <v>24</v>
      </c>
      <c r="M203" s="4">
        <v>3</v>
      </c>
      <c r="N203" s="4" t="s">
        <v>3</v>
      </c>
      <c r="O203" s="4">
        <v>2</v>
      </c>
      <c r="P203" s="4"/>
      <c r="Q203" s="4"/>
      <c r="R203" s="4"/>
      <c r="S203" s="4"/>
      <c r="T203" s="4"/>
      <c r="U203" s="4"/>
      <c r="V203" s="4"/>
      <c r="W203" s="4">
        <v>0</v>
      </c>
      <c r="X203" s="4">
        <v>1</v>
      </c>
      <c r="Y203" s="4">
        <v>0</v>
      </c>
      <c r="Z203" s="4"/>
      <c r="AA203" s="4"/>
      <c r="AB203" s="4"/>
    </row>
    <row r="204" spans="1:206" x14ac:dyDescent="0.2">
      <c r="A204" s="4">
        <v>50</v>
      </c>
      <c r="B204" s="4">
        <v>0</v>
      </c>
      <c r="C204" s="4">
        <v>0</v>
      </c>
      <c r="D204" s="4">
        <v>1</v>
      </c>
      <c r="E204" s="4">
        <v>210</v>
      </c>
      <c r="F204" s="4">
        <f>ROUND(Source!X178,O204)</f>
        <v>87432.1</v>
      </c>
      <c r="G204" s="4" t="s">
        <v>145</v>
      </c>
      <c r="H204" s="4" t="s">
        <v>146</v>
      </c>
      <c r="I204" s="4"/>
      <c r="J204" s="4"/>
      <c r="K204" s="4">
        <v>210</v>
      </c>
      <c r="L204" s="4">
        <v>25</v>
      </c>
      <c r="M204" s="4">
        <v>3</v>
      </c>
      <c r="N204" s="4" t="s">
        <v>3</v>
      </c>
      <c r="O204" s="4">
        <v>2</v>
      </c>
      <c r="P204" s="4"/>
      <c r="Q204" s="4"/>
      <c r="R204" s="4"/>
      <c r="S204" s="4"/>
      <c r="T204" s="4"/>
      <c r="U204" s="4"/>
      <c r="V204" s="4"/>
      <c r="W204" s="4">
        <v>87432.1</v>
      </c>
      <c r="X204" s="4">
        <v>1</v>
      </c>
      <c r="Y204" s="4">
        <v>87432.1</v>
      </c>
      <c r="Z204" s="4"/>
      <c r="AA204" s="4"/>
      <c r="AB204" s="4"/>
    </row>
    <row r="205" spans="1:206" x14ac:dyDescent="0.2">
      <c r="A205" s="4">
        <v>50</v>
      </c>
      <c r="B205" s="4">
        <v>0</v>
      </c>
      <c r="C205" s="4">
        <v>0</v>
      </c>
      <c r="D205" s="4">
        <v>1</v>
      </c>
      <c r="E205" s="4">
        <v>211</v>
      </c>
      <c r="F205" s="4">
        <f>ROUND(Source!Y178,O205)</f>
        <v>12490.3</v>
      </c>
      <c r="G205" s="4" t="s">
        <v>147</v>
      </c>
      <c r="H205" s="4" t="s">
        <v>148</v>
      </c>
      <c r="I205" s="4"/>
      <c r="J205" s="4"/>
      <c r="K205" s="4">
        <v>211</v>
      </c>
      <c r="L205" s="4">
        <v>26</v>
      </c>
      <c r="M205" s="4">
        <v>3</v>
      </c>
      <c r="N205" s="4" t="s">
        <v>3</v>
      </c>
      <c r="O205" s="4">
        <v>2</v>
      </c>
      <c r="P205" s="4"/>
      <c r="Q205" s="4"/>
      <c r="R205" s="4"/>
      <c r="S205" s="4"/>
      <c r="T205" s="4"/>
      <c r="U205" s="4"/>
      <c r="V205" s="4"/>
      <c r="W205" s="4">
        <v>12490.3</v>
      </c>
      <c r="X205" s="4">
        <v>1</v>
      </c>
      <c r="Y205" s="4">
        <v>12490.3</v>
      </c>
      <c r="Z205" s="4"/>
      <c r="AA205" s="4"/>
      <c r="AB205" s="4"/>
    </row>
    <row r="206" spans="1:206" x14ac:dyDescent="0.2">
      <c r="A206" s="4">
        <v>50</v>
      </c>
      <c r="B206" s="4">
        <v>0</v>
      </c>
      <c r="C206" s="4">
        <v>0</v>
      </c>
      <c r="D206" s="4">
        <v>1</v>
      </c>
      <c r="E206" s="4">
        <v>224</v>
      </c>
      <c r="F206" s="4">
        <f>ROUND(Source!AR178,O206)</f>
        <v>440808.11</v>
      </c>
      <c r="G206" s="4" t="s">
        <v>149</v>
      </c>
      <c r="H206" s="4" t="s">
        <v>150</v>
      </c>
      <c r="I206" s="4"/>
      <c r="J206" s="4"/>
      <c r="K206" s="4">
        <v>224</v>
      </c>
      <c r="L206" s="4">
        <v>27</v>
      </c>
      <c r="M206" s="4">
        <v>3</v>
      </c>
      <c r="N206" s="4" t="s">
        <v>3</v>
      </c>
      <c r="O206" s="4">
        <v>2</v>
      </c>
      <c r="P206" s="4"/>
      <c r="Q206" s="4"/>
      <c r="R206" s="4"/>
      <c r="S206" s="4"/>
      <c r="T206" s="4"/>
      <c r="U206" s="4"/>
      <c r="V206" s="4"/>
      <c r="W206" s="4">
        <v>440808.11</v>
      </c>
      <c r="X206" s="4">
        <v>1</v>
      </c>
      <c r="Y206" s="4">
        <v>440808.11</v>
      </c>
      <c r="Z206" s="4"/>
      <c r="AA206" s="4"/>
      <c r="AB206" s="4"/>
    </row>
    <row r="208" spans="1:206" x14ac:dyDescent="0.2">
      <c r="A208" s="2">
        <v>51</v>
      </c>
      <c r="B208" s="2">
        <f>B20</f>
        <v>1</v>
      </c>
      <c r="C208" s="2">
        <f>A20</f>
        <v>3</v>
      </c>
      <c r="D208" s="2">
        <f>ROW(A20)</f>
        <v>20</v>
      </c>
      <c r="E208" s="2"/>
      <c r="F208" s="2" t="str">
        <f>IF(F20&lt;&gt;"",F20,"")</f>
        <v/>
      </c>
      <c r="G208" s="2" t="str">
        <f>IF(G20&lt;&gt;"",G20,"")</f>
        <v>Новая локальная смета</v>
      </c>
      <c r="H208" s="2">
        <v>0</v>
      </c>
      <c r="I208" s="2"/>
      <c r="J208" s="2"/>
      <c r="K208" s="2"/>
      <c r="L208" s="2"/>
      <c r="M208" s="2"/>
      <c r="N208" s="2"/>
      <c r="O208" s="2">
        <f t="shared" ref="O208:T208" si="132">ROUND(O86+O178+AB208,2)</f>
        <v>362707.98</v>
      </c>
      <c r="P208" s="2">
        <f t="shared" si="132"/>
        <v>236050.61</v>
      </c>
      <c r="Q208" s="2">
        <f t="shared" si="132"/>
        <v>707.11</v>
      </c>
      <c r="R208" s="2">
        <f t="shared" si="132"/>
        <v>19.64</v>
      </c>
      <c r="S208" s="2">
        <f t="shared" si="132"/>
        <v>125950.26</v>
      </c>
      <c r="T208" s="2">
        <f t="shared" si="132"/>
        <v>0</v>
      </c>
      <c r="U208" s="2">
        <f>U86+U178+AH208</f>
        <v>299.18309999999997</v>
      </c>
      <c r="V208" s="2">
        <f>V86+V178+AI208</f>
        <v>0</v>
      </c>
      <c r="W208" s="2">
        <f>ROUND(W86+W178+AJ208,2)</f>
        <v>0</v>
      </c>
      <c r="X208" s="2">
        <f>ROUND(X86+X178+AK208,2)</f>
        <v>88165.18</v>
      </c>
      <c r="Y208" s="2">
        <f>ROUND(Y86+Y178+AL208,2)</f>
        <v>12595.03</v>
      </c>
      <c r="Z208" s="2"/>
      <c r="AA208" s="2"/>
      <c r="AB208" s="2"/>
      <c r="AC208" s="2"/>
      <c r="AD208" s="2"/>
      <c r="AE208" s="2"/>
      <c r="AF208" s="2"/>
      <c r="AG208" s="2"/>
      <c r="AH208" s="2"/>
      <c r="AI208" s="2"/>
      <c r="AJ208" s="2"/>
      <c r="AK208" s="2"/>
      <c r="AL208" s="2"/>
      <c r="AM208" s="2"/>
      <c r="AN208" s="2"/>
      <c r="AO208" s="2">
        <f t="shared" ref="AO208:BD208" si="133">ROUND(AO86+AO178+BX208,2)</f>
        <v>0</v>
      </c>
      <c r="AP208" s="2">
        <f t="shared" si="133"/>
        <v>0</v>
      </c>
      <c r="AQ208" s="2">
        <f t="shared" si="133"/>
        <v>0</v>
      </c>
      <c r="AR208" s="2">
        <f t="shared" si="133"/>
        <v>463499.61</v>
      </c>
      <c r="AS208" s="2">
        <f t="shared" si="133"/>
        <v>0</v>
      </c>
      <c r="AT208" s="2">
        <f t="shared" si="133"/>
        <v>0</v>
      </c>
      <c r="AU208" s="2">
        <f t="shared" si="133"/>
        <v>463499.61</v>
      </c>
      <c r="AV208" s="2">
        <f t="shared" si="133"/>
        <v>236050.61</v>
      </c>
      <c r="AW208" s="2">
        <f t="shared" si="133"/>
        <v>236050.61</v>
      </c>
      <c r="AX208" s="2">
        <f t="shared" si="133"/>
        <v>0</v>
      </c>
      <c r="AY208" s="2">
        <f t="shared" si="133"/>
        <v>236050.61</v>
      </c>
      <c r="AZ208" s="2">
        <f t="shared" si="133"/>
        <v>0</v>
      </c>
      <c r="BA208" s="2">
        <f t="shared" si="133"/>
        <v>0</v>
      </c>
      <c r="BB208" s="2">
        <f t="shared" si="133"/>
        <v>0</v>
      </c>
      <c r="BC208" s="2">
        <f t="shared" si="133"/>
        <v>0</v>
      </c>
      <c r="BD208" s="2">
        <f t="shared" si="133"/>
        <v>0</v>
      </c>
      <c r="BE208" s="2"/>
      <c r="BF208" s="2"/>
      <c r="BG208" s="2"/>
      <c r="BH208" s="2"/>
      <c r="BI208" s="2"/>
      <c r="BJ208" s="2"/>
      <c r="BK208" s="2"/>
      <c r="BL208" s="2"/>
      <c r="BM208" s="2"/>
      <c r="BN208" s="2"/>
      <c r="BO208" s="2"/>
      <c r="BP208" s="2"/>
      <c r="BQ208" s="2"/>
      <c r="BR208" s="2"/>
      <c r="BS208" s="2"/>
      <c r="BT208" s="2"/>
      <c r="BU208" s="2"/>
      <c r="BV208" s="2"/>
      <c r="BW208" s="2"/>
      <c r="BX208" s="2"/>
      <c r="BY208" s="2"/>
      <c r="BZ208" s="2"/>
      <c r="CA208" s="2"/>
      <c r="CB208" s="2"/>
      <c r="CC208" s="2"/>
      <c r="CD208" s="2"/>
      <c r="CE208" s="2"/>
      <c r="CF208" s="2"/>
      <c r="CG208" s="2"/>
      <c r="CH208" s="2"/>
      <c r="CI208" s="2"/>
      <c r="CJ208" s="2"/>
      <c r="CK208" s="2"/>
      <c r="CL208" s="2"/>
      <c r="CM208" s="2"/>
      <c r="CN208" s="2"/>
      <c r="CO208" s="2"/>
      <c r="CP208" s="2"/>
      <c r="CQ208" s="2"/>
      <c r="CR208" s="2"/>
      <c r="CS208" s="2"/>
      <c r="CT208" s="2"/>
      <c r="CU208" s="2"/>
      <c r="CV208" s="2"/>
      <c r="CW208" s="2"/>
      <c r="CX208" s="2"/>
      <c r="CY208" s="2"/>
      <c r="CZ208" s="2"/>
      <c r="DA208" s="2"/>
      <c r="DB208" s="2"/>
      <c r="DC208" s="2"/>
      <c r="DD208" s="2"/>
      <c r="DE208" s="2"/>
      <c r="DF208" s="2"/>
      <c r="DG208" s="3"/>
      <c r="DH208" s="3"/>
      <c r="DI208" s="3"/>
      <c r="DJ208" s="3"/>
      <c r="DK208" s="3"/>
      <c r="DL208" s="3"/>
      <c r="DM208" s="3"/>
      <c r="DN208" s="3"/>
      <c r="DO208" s="3"/>
      <c r="DP208" s="3"/>
      <c r="DQ208" s="3"/>
      <c r="DR208" s="3"/>
      <c r="DS208" s="3"/>
      <c r="DT208" s="3"/>
      <c r="DU208" s="3"/>
      <c r="DV208" s="3"/>
      <c r="DW208" s="3"/>
      <c r="DX208" s="3"/>
      <c r="DY208" s="3"/>
      <c r="DZ208" s="3"/>
      <c r="EA208" s="3"/>
      <c r="EB208" s="3"/>
      <c r="EC208" s="3"/>
      <c r="ED208" s="3"/>
      <c r="EE208" s="3"/>
      <c r="EF208" s="3"/>
      <c r="EG208" s="3"/>
      <c r="EH208" s="3"/>
      <c r="EI208" s="3"/>
      <c r="EJ208" s="3"/>
      <c r="EK208" s="3"/>
      <c r="EL208" s="3"/>
      <c r="EM208" s="3"/>
      <c r="EN208" s="3"/>
      <c r="EO208" s="3"/>
      <c r="EP208" s="3"/>
      <c r="EQ208" s="3"/>
      <c r="ER208" s="3"/>
      <c r="ES208" s="3"/>
      <c r="ET208" s="3"/>
      <c r="EU208" s="3"/>
      <c r="EV208" s="3"/>
      <c r="EW208" s="3"/>
      <c r="EX208" s="3"/>
      <c r="EY208" s="3"/>
      <c r="EZ208" s="3"/>
      <c r="FA208" s="3"/>
      <c r="FB208" s="3"/>
      <c r="FC208" s="3"/>
      <c r="FD208" s="3"/>
      <c r="FE208" s="3"/>
      <c r="FF208" s="3"/>
      <c r="FG208" s="3"/>
      <c r="FH208" s="3"/>
      <c r="FI208" s="3"/>
      <c r="FJ208" s="3"/>
      <c r="FK208" s="3"/>
      <c r="FL208" s="3"/>
      <c r="FM208" s="3"/>
      <c r="FN208" s="3"/>
      <c r="FO208" s="3"/>
      <c r="FP208" s="3"/>
      <c r="FQ208" s="3"/>
      <c r="FR208" s="3"/>
      <c r="FS208" s="3"/>
      <c r="FT208" s="3"/>
      <c r="FU208" s="3"/>
      <c r="FV208" s="3"/>
      <c r="FW208" s="3"/>
      <c r="FX208" s="3"/>
      <c r="FY208" s="3"/>
      <c r="FZ208" s="3"/>
      <c r="GA208" s="3"/>
      <c r="GB208" s="3"/>
      <c r="GC208" s="3"/>
      <c r="GD208" s="3"/>
      <c r="GE208" s="3"/>
      <c r="GF208" s="3"/>
      <c r="GG208" s="3"/>
      <c r="GH208" s="3"/>
      <c r="GI208" s="3"/>
      <c r="GJ208" s="3"/>
      <c r="GK208" s="3"/>
      <c r="GL208" s="3"/>
      <c r="GM208" s="3"/>
      <c r="GN208" s="3"/>
      <c r="GO208" s="3"/>
      <c r="GP208" s="3"/>
      <c r="GQ208" s="3"/>
      <c r="GR208" s="3"/>
      <c r="GS208" s="3"/>
      <c r="GT208" s="3"/>
      <c r="GU208" s="3"/>
      <c r="GV208" s="3"/>
      <c r="GW208" s="3"/>
      <c r="GX208" s="3">
        <v>0</v>
      </c>
    </row>
    <row r="210" spans="1:28" x14ac:dyDescent="0.2">
      <c r="A210" s="4">
        <v>50</v>
      </c>
      <c r="B210" s="4">
        <v>0</v>
      </c>
      <c r="C210" s="4">
        <v>0</v>
      </c>
      <c r="D210" s="4">
        <v>1</v>
      </c>
      <c r="E210" s="4">
        <v>201</v>
      </c>
      <c r="F210" s="4">
        <f>ROUND(Source!O208,O210)</f>
        <v>362707.98</v>
      </c>
      <c r="G210" s="4" t="s">
        <v>97</v>
      </c>
      <c r="H210" s="4" t="s">
        <v>98</v>
      </c>
      <c r="I210" s="4"/>
      <c r="J210" s="4"/>
      <c r="K210" s="4">
        <v>201</v>
      </c>
      <c r="L210" s="4">
        <v>1</v>
      </c>
      <c r="M210" s="4">
        <v>3</v>
      </c>
      <c r="N210" s="4" t="s">
        <v>3</v>
      </c>
      <c r="O210" s="4">
        <v>2</v>
      </c>
      <c r="P210" s="4"/>
      <c r="Q210" s="4"/>
      <c r="R210" s="4"/>
      <c r="S210" s="4"/>
      <c r="T210" s="4"/>
      <c r="U210" s="4"/>
      <c r="V210" s="4"/>
      <c r="W210" s="4">
        <v>362707.98</v>
      </c>
      <c r="X210" s="4">
        <v>1</v>
      </c>
      <c r="Y210" s="4">
        <v>362707.98</v>
      </c>
      <c r="Z210" s="4"/>
      <c r="AA210" s="4"/>
      <c r="AB210" s="4"/>
    </row>
    <row r="211" spans="1:28" x14ac:dyDescent="0.2">
      <c r="A211" s="4">
        <v>50</v>
      </c>
      <c r="B211" s="4">
        <v>0</v>
      </c>
      <c r="C211" s="4">
        <v>0</v>
      </c>
      <c r="D211" s="4">
        <v>1</v>
      </c>
      <c r="E211" s="4">
        <v>202</v>
      </c>
      <c r="F211" s="4">
        <f>ROUND(Source!P208,O211)</f>
        <v>236050.61</v>
      </c>
      <c r="G211" s="4" t="s">
        <v>99</v>
      </c>
      <c r="H211" s="4" t="s">
        <v>100</v>
      </c>
      <c r="I211" s="4"/>
      <c r="J211" s="4"/>
      <c r="K211" s="4">
        <v>202</v>
      </c>
      <c r="L211" s="4">
        <v>2</v>
      </c>
      <c r="M211" s="4">
        <v>3</v>
      </c>
      <c r="N211" s="4" t="s">
        <v>3</v>
      </c>
      <c r="O211" s="4">
        <v>2</v>
      </c>
      <c r="P211" s="4"/>
      <c r="Q211" s="4"/>
      <c r="R211" s="4"/>
      <c r="S211" s="4"/>
      <c r="T211" s="4"/>
      <c r="U211" s="4"/>
      <c r="V211" s="4"/>
      <c r="W211" s="4">
        <v>236050.61</v>
      </c>
      <c r="X211" s="4">
        <v>1</v>
      </c>
      <c r="Y211" s="4">
        <v>236050.61</v>
      </c>
      <c r="Z211" s="4"/>
      <c r="AA211" s="4"/>
      <c r="AB211" s="4"/>
    </row>
    <row r="212" spans="1:28" x14ac:dyDescent="0.2">
      <c r="A212" s="4">
        <v>50</v>
      </c>
      <c r="B212" s="4">
        <v>0</v>
      </c>
      <c r="C212" s="4">
        <v>0</v>
      </c>
      <c r="D212" s="4">
        <v>1</v>
      </c>
      <c r="E212" s="4">
        <v>222</v>
      </c>
      <c r="F212" s="4">
        <f>ROUND(Source!AO208,O212)</f>
        <v>0</v>
      </c>
      <c r="G212" s="4" t="s">
        <v>101</v>
      </c>
      <c r="H212" s="4" t="s">
        <v>102</v>
      </c>
      <c r="I212" s="4"/>
      <c r="J212" s="4"/>
      <c r="K212" s="4">
        <v>222</v>
      </c>
      <c r="L212" s="4">
        <v>3</v>
      </c>
      <c r="M212" s="4">
        <v>3</v>
      </c>
      <c r="N212" s="4" t="s">
        <v>3</v>
      </c>
      <c r="O212" s="4">
        <v>2</v>
      </c>
      <c r="P212" s="4"/>
      <c r="Q212" s="4"/>
      <c r="R212" s="4"/>
      <c r="S212" s="4"/>
      <c r="T212" s="4"/>
      <c r="U212" s="4"/>
      <c r="V212" s="4"/>
      <c r="W212" s="4">
        <v>0</v>
      </c>
      <c r="X212" s="4">
        <v>1</v>
      </c>
      <c r="Y212" s="4">
        <v>0</v>
      </c>
      <c r="Z212" s="4"/>
      <c r="AA212" s="4"/>
      <c r="AB212" s="4"/>
    </row>
    <row r="213" spans="1:28" x14ac:dyDescent="0.2">
      <c r="A213" s="4">
        <v>50</v>
      </c>
      <c r="B213" s="4">
        <v>0</v>
      </c>
      <c r="C213" s="4">
        <v>0</v>
      </c>
      <c r="D213" s="4">
        <v>1</v>
      </c>
      <c r="E213" s="4">
        <v>225</v>
      </c>
      <c r="F213" s="4">
        <f>ROUND(Source!AV208,O213)</f>
        <v>236050.61</v>
      </c>
      <c r="G213" s="4" t="s">
        <v>103</v>
      </c>
      <c r="H213" s="4" t="s">
        <v>104</v>
      </c>
      <c r="I213" s="4"/>
      <c r="J213" s="4"/>
      <c r="K213" s="4">
        <v>225</v>
      </c>
      <c r="L213" s="4">
        <v>4</v>
      </c>
      <c r="M213" s="4">
        <v>3</v>
      </c>
      <c r="N213" s="4" t="s">
        <v>3</v>
      </c>
      <c r="O213" s="4">
        <v>2</v>
      </c>
      <c r="P213" s="4"/>
      <c r="Q213" s="4"/>
      <c r="R213" s="4"/>
      <c r="S213" s="4"/>
      <c r="T213" s="4"/>
      <c r="U213" s="4"/>
      <c r="V213" s="4"/>
      <c r="W213" s="4">
        <v>236050.61</v>
      </c>
      <c r="X213" s="4">
        <v>1</v>
      </c>
      <c r="Y213" s="4">
        <v>236050.61</v>
      </c>
      <c r="Z213" s="4"/>
      <c r="AA213" s="4"/>
      <c r="AB213" s="4"/>
    </row>
    <row r="214" spans="1:28" x14ac:dyDescent="0.2">
      <c r="A214" s="4">
        <v>50</v>
      </c>
      <c r="B214" s="4">
        <v>0</v>
      </c>
      <c r="C214" s="4">
        <v>0</v>
      </c>
      <c r="D214" s="4">
        <v>1</v>
      </c>
      <c r="E214" s="4">
        <v>226</v>
      </c>
      <c r="F214" s="4">
        <f>ROUND(Source!AW208,O214)</f>
        <v>236050.61</v>
      </c>
      <c r="G214" s="4" t="s">
        <v>105</v>
      </c>
      <c r="H214" s="4" t="s">
        <v>106</v>
      </c>
      <c r="I214" s="4"/>
      <c r="J214" s="4"/>
      <c r="K214" s="4">
        <v>226</v>
      </c>
      <c r="L214" s="4">
        <v>5</v>
      </c>
      <c r="M214" s="4">
        <v>3</v>
      </c>
      <c r="N214" s="4" t="s">
        <v>3</v>
      </c>
      <c r="O214" s="4">
        <v>2</v>
      </c>
      <c r="P214" s="4"/>
      <c r="Q214" s="4"/>
      <c r="R214" s="4"/>
      <c r="S214" s="4"/>
      <c r="T214" s="4"/>
      <c r="U214" s="4"/>
      <c r="V214" s="4"/>
      <c r="W214" s="4">
        <v>236050.61</v>
      </c>
      <c r="X214" s="4">
        <v>1</v>
      </c>
      <c r="Y214" s="4">
        <v>236050.61</v>
      </c>
      <c r="Z214" s="4"/>
      <c r="AA214" s="4"/>
      <c r="AB214" s="4"/>
    </row>
    <row r="215" spans="1:28" x14ac:dyDescent="0.2">
      <c r="A215" s="4">
        <v>50</v>
      </c>
      <c r="B215" s="4">
        <v>0</v>
      </c>
      <c r="C215" s="4">
        <v>0</v>
      </c>
      <c r="D215" s="4">
        <v>1</v>
      </c>
      <c r="E215" s="4">
        <v>227</v>
      </c>
      <c r="F215" s="4">
        <f>ROUND(Source!AX208,O215)</f>
        <v>0</v>
      </c>
      <c r="G215" s="4" t="s">
        <v>107</v>
      </c>
      <c r="H215" s="4" t="s">
        <v>108</v>
      </c>
      <c r="I215" s="4"/>
      <c r="J215" s="4"/>
      <c r="K215" s="4">
        <v>227</v>
      </c>
      <c r="L215" s="4">
        <v>6</v>
      </c>
      <c r="M215" s="4">
        <v>3</v>
      </c>
      <c r="N215" s="4" t="s">
        <v>3</v>
      </c>
      <c r="O215" s="4">
        <v>2</v>
      </c>
      <c r="P215" s="4"/>
      <c r="Q215" s="4"/>
      <c r="R215" s="4"/>
      <c r="S215" s="4"/>
      <c r="T215" s="4"/>
      <c r="U215" s="4"/>
      <c r="V215" s="4"/>
      <c r="W215" s="4">
        <v>0</v>
      </c>
      <c r="X215" s="4">
        <v>1</v>
      </c>
      <c r="Y215" s="4">
        <v>0</v>
      </c>
      <c r="Z215" s="4"/>
      <c r="AA215" s="4"/>
      <c r="AB215" s="4"/>
    </row>
    <row r="216" spans="1:28" x14ac:dyDescent="0.2">
      <c r="A216" s="4">
        <v>50</v>
      </c>
      <c r="B216" s="4">
        <v>0</v>
      </c>
      <c r="C216" s="4">
        <v>0</v>
      </c>
      <c r="D216" s="4">
        <v>1</v>
      </c>
      <c r="E216" s="4">
        <v>228</v>
      </c>
      <c r="F216" s="4">
        <f>ROUND(Source!AY208,O216)</f>
        <v>236050.61</v>
      </c>
      <c r="G216" s="4" t="s">
        <v>109</v>
      </c>
      <c r="H216" s="4" t="s">
        <v>110</v>
      </c>
      <c r="I216" s="4"/>
      <c r="J216" s="4"/>
      <c r="K216" s="4">
        <v>228</v>
      </c>
      <c r="L216" s="4">
        <v>7</v>
      </c>
      <c r="M216" s="4">
        <v>3</v>
      </c>
      <c r="N216" s="4" t="s">
        <v>3</v>
      </c>
      <c r="O216" s="4">
        <v>2</v>
      </c>
      <c r="P216" s="4"/>
      <c r="Q216" s="4"/>
      <c r="R216" s="4"/>
      <c r="S216" s="4"/>
      <c r="T216" s="4"/>
      <c r="U216" s="4"/>
      <c r="V216" s="4"/>
      <c r="W216" s="4">
        <v>236050.61</v>
      </c>
      <c r="X216" s="4">
        <v>1</v>
      </c>
      <c r="Y216" s="4">
        <v>236050.61</v>
      </c>
      <c r="Z216" s="4"/>
      <c r="AA216" s="4"/>
      <c r="AB216" s="4"/>
    </row>
    <row r="217" spans="1:28" x14ac:dyDescent="0.2">
      <c r="A217" s="4">
        <v>50</v>
      </c>
      <c r="B217" s="4">
        <v>0</v>
      </c>
      <c r="C217" s="4">
        <v>0</v>
      </c>
      <c r="D217" s="4">
        <v>1</v>
      </c>
      <c r="E217" s="4">
        <v>216</v>
      </c>
      <c r="F217" s="4">
        <f>ROUND(Source!AP208,O217)</f>
        <v>0</v>
      </c>
      <c r="G217" s="4" t="s">
        <v>111</v>
      </c>
      <c r="H217" s="4" t="s">
        <v>112</v>
      </c>
      <c r="I217" s="4"/>
      <c r="J217" s="4"/>
      <c r="K217" s="4">
        <v>216</v>
      </c>
      <c r="L217" s="4">
        <v>8</v>
      </c>
      <c r="M217" s="4">
        <v>3</v>
      </c>
      <c r="N217" s="4" t="s">
        <v>3</v>
      </c>
      <c r="O217" s="4">
        <v>2</v>
      </c>
      <c r="P217" s="4"/>
      <c r="Q217" s="4"/>
      <c r="R217" s="4"/>
      <c r="S217" s="4"/>
      <c r="T217" s="4"/>
      <c r="U217" s="4"/>
      <c r="V217" s="4"/>
      <c r="W217" s="4">
        <v>0</v>
      </c>
      <c r="X217" s="4">
        <v>1</v>
      </c>
      <c r="Y217" s="4">
        <v>0</v>
      </c>
      <c r="Z217" s="4"/>
      <c r="AA217" s="4"/>
      <c r="AB217" s="4"/>
    </row>
    <row r="218" spans="1:28" x14ac:dyDescent="0.2">
      <c r="A218" s="4">
        <v>50</v>
      </c>
      <c r="B218" s="4">
        <v>0</v>
      </c>
      <c r="C218" s="4">
        <v>0</v>
      </c>
      <c r="D218" s="4">
        <v>1</v>
      </c>
      <c r="E218" s="4">
        <v>223</v>
      </c>
      <c r="F218" s="4">
        <f>ROUND(Source!AQ208,O218)</f>
        <v>0</v>
      </c>
      <c r="G218" s="4" t="s">
        <v>113</v>
      </c>
      <c r="H218" s="4" t="s">
        <v>114</v>
      </c>
      <c r="I218" s="4"/>
      <c r="J218" s="4"/>
      <c r="K218" s="4">
        <v>223</v>
      </c>
      <c r="L218" s="4">
        <v>9</v>
      </c>
      <c r="M218" s="4">
        <v>3</v>
      </c>
      <c r="N218" s="4" t="s">
        <v>3</v>
      </c>
      <c r="O218" s="4">
        <v>2</v>
      </c>
      <c r="P218" s="4"/>
      <c r="Q218" s="4"/>
      <c r="R218" s="4"/>
      <c r="S218" s="4"/>
      <c r="T218" s="4"/>
      <c r="U218" s="4"/>
      <c r="V218" s="4"/>
      <c r="W218" s="4">
        <v>0</v>
      </c>
      <c r="X218" s="4">
        <v>1</v>
      </c>
      <c r="Y218" s="4">
        <v>0</v>
      </c>
      <c r="Z218" s="4"/>
      <c r="AA218" s="4"/>
      <c r="AB218" s="4"/>
    </row>
    <row r="219" spans="1:28" x14ac:dyDescent="0.2">
      <c r="A219" s="4">
        <v>50</v>
      </c>
      <c r="B219" s="4">
        <v>0</v>
      </c>
      <c r="C219" s="4">
        <v>0</v>
      </c>
      <c r="D219" s="4">
        <v>1</v>
      </c>
      <c r="E219" s="4">
        <v>229</v>
      </c>
      <c r="F219" s="4">
        <f>ROUND(Source!AZ208,O219)</f>
        <v>0</v>
      </c>
      <c r="G219" s="4" t="s">
        <v>115</v>
      </c>
      <c r="H219" s="4" t="s">
        <v>116</v>
      </c>
      <c r="I219" s="4"/>
      <c r="J219" s="4"/>
      <c r="K219" s="4">
        <v>229</v>
      </c>
      <c r="L219" s="4">
        <v>10</v>
      </c>
      <c r="M219" s="4">
        <v>3</v>
      </c>
      <c r="N219" s="4" t="s">
        <v>3</v>
      </c>
      <c r="O219" s="4">
        <v>2</v>
      </c>
      <c r="P219" s="4"/>
      <c r="Q219" s="4"/>
      <c r="R219" s="4"/>
      <c r="S219" s="4"/>
      <c r="T219" s="4"/>
      <c r="U219" s="4"/>
      <c r="V219" s="4"/>
      <c r="W219" s="4">
        <v>0</v>
      </c>
      <c r="X219" s="4">
        <v>1</v>
      </c>
      <c r="Y219" s="4">
        <v>0</v>
      </c>
      <c r="Z219" s="4"/>
      <c r="AA219" s="4"/>
      <c r="AB219" s="4"/>
    </row>
    <row r="220" spans="1:28" x14ac:dyDescent="0.2">
      <c r="A220" s="4">
        <v>50</v>
      </c>
      <c r="B220" s="4">
        <v>0</v>
      </c>
      <c r="C220" s="4">
        <v>0</v>
      </c>
      <c r="D220" s="4">
        <v>1</v>
      </c>
      <c r="E220" s="4">
        <v>203</v>
      </c>
      <c r="F220" s="4">
        <f>ROUND(Source!Q208,O220)</f>
        <v>707.11</v>
      </c>
      <c r="G220" s="4" t="s">
        <v>117</v>
      </c>
      <c r="H220" s="4" t="s">
        <v>118</v>
      </c>
      <c r="I220" s="4"/>
      <c r="J220" s="4"/>
      <c r="K220" s="4">
        <v>203</v>
      </c>
      <c r="L220" s="4">
        <v>11</v>
      </c>
      <c r="M220" s="4">
        <v>3</v>
      </c>
      <c r="N220" s="4" t="s">
        <v>3</v>
      </c>
      <c r="O220" s="4">
        <v>2</v>
      </c>
      <c r="P220" s="4"/>
      <c r="Q220" s="4"/>
      <c r="R220" s="4"/>
      <c r="S220" s="4"/>
      <c r="T220" s="4"/>
      <c r="U220" s="4"/>
      <c r="V220" s="4"/>
      <c r="W220" s="4">
        <v>707.11</v>
      </c>
      <c r="X220" s="4">
        <v>1</v>
      </c>
      <c r="Y220" s="4">
        <v>707.11</v>
      </c>
      <c r="Z220" s="4"/>
      <c r="AA220" s="4"/>
      <c r="AB220" s="4"/>
    </row>
    <row r="221" spans="1:28" x14ac:dyDescent="0.2">
      <c r="A221" s="4">
        <v>50</v>
      </c>
      <c r="B221" s="4">
        <v>0</v>
      </c>
      <c r="C221" s="4">
        <v>0</v>
      </c>
      <c r="D221" s="4">
        <v>1</v>
      </c>
      <c r="E221" s="4">
        <v>231</v>
      </c>
      <c r="F221" s="4">
        <f>ROUND(Source!BB208,O221)</f>
        <v>0</v>
      </c>
      <c r="G221" s="4" t="s">
        <v>119</v>
      </c>
      <c r="H221" s="4" t="s">
        <v>120</v>
      </c>
      <c r="I221" s="4"/>
      <c r="J221" s="4"/>
      <c r="K221" s="4">
        <v>231</v>
      </c>
      <c r="L221" s="4">
        <v>12</v>
      </c>
      <c r="M221" s="4">
        <v>3</v>
      </c>
      <c r="N221" s="4" t="s">
        <v>3</v>
      </c>
      <c r="O221" s="4">
        <v>2</v>
      </c>
      <c r="P221" s="4"/>
      <c r="Q221" s="4"/>
      <c r="R221" s="4"/>
      <c r="S221" s="4"/>
      <c r="T221" s="4"/>
      <c r="U221" s="4"/>
      <c r="V221" s="4"/>
      <c r="W221" s="4">
        <v>0</v>
      </c>
      <c r="X221" s="4">
        <v>1</v>
      </c>
      <c r="Y221" s="4">
        <v>0</v>
      </c>
      <c r="Z221" s="4"/>
      <c r="AA221" s="4"/>
      <c r="AB221" s="4"/>
    </row>
    <row r="222" spans="1:28" x14ac:dyDescent="0.2">
      <c r="A222" s="4">
        <v>50</v>
      </c>
      <c r="B222" s="4">
        <v>0</v>
      </c>
      <c r="C222" s="4">
        <v>0</v>
      </c>
      <c r="D222" s="4">
        <v>1</v>
      </c>
      <c r="E222" s="4">
        <v>204</v>
      </c>
      <c r="F222" s="4">
        <f>ROUND(Source!R208,O222)</f>
        <v>19.64</v>
      </c>
      <c r="G222" s="4" t="s">
        <v>121</v>
      </c>
      <c r="H222" s="4" t="s">
        <v>122</v>
      </c>
      <c r="I222" s="4"/>
      <c r="J222" s="4"/>
      <c r="K222" s="4">
        <v>204</v>
      </c>
      <c r="L222" s="4">
        <v>13</v>
      </c>
      <c r="M222" s="4">
        <v>3</v>
      </c>
      <c r="N222" s="4" t="s">
        <v>3</v>
      </c>
      <c r="O222" s="4">
        <v>2</v>
      </c>
      <c r="P222" s="4"/>
      <c r="Q222" s="4"/>
      <c r="R222" s="4"/>
      <c r="S222" s="4"/>
      <c r="T222" s="4"/>
      <c r="U222" s="4"/>
      <c r="V222" s="4"/>
      <c r="W222" s="4">
        <v>19.64</v>
      </c>
      <c r="X222" s="4">
        <v>1</v>
      </c>
      <c r="Y222" s="4">
        <v>19.64</v>
      </c>
      <c r="Z222" s="4"/>
      <c r="AA222" s="4"/>
      <c r="AB222" s="4"/>
    </row>
    <row r="223" spans="1:28" x14ac:dyDescent="0.2">
      <c r="A223" s="4">
        <v>50</v>
      </c>
      <c r="B223" s="4">
        <v>0</v>
      </c>
      <c r="C223" s="4">
        <v>0</v>
      </c>
      <c r="D223" s="4">
        <v>1</v>
      </c>
      <c r="E223" s="4">
        <v>205</v>
      </c>
      <c r="F223" s="4">
        <f>ROUND(Source!S208,O223)</f>
        <v>125950.26</v>
      </c>
      <c r="G223" s="4" t="s">
        <v>123</v>
      </c>
      <c r="H223" s="4" t="s">
        <v>124</v>
      </c>
      <c r="I223" s="4"/>
      <c r="J223" s="4"/>
      <c r="K223" s="4">
        <v>205</v>
      </c>
      <c r="L223" s="4">
        <v>14</v>
      </c>
      <c r="M223" s="4">
        <v>3</v>
      </c>
      <c r="N223" s="4" t="s">
        <v>3</v>
      </c>
      <c r="O223" s="4">
        <v>2</v>
      </c>
      <c r="P223" s="4"/>
      <c r="Q223" s="4"/>
      <c r="R223" s="4"/>
      <c r="S223" s="4"/>
      <c r="T223" s="4"/>
      <c r="U223" s="4"/>
      <c r="V223" s="4"/>
      <c r="W223" s="4">
        <v>125950.26</v>
      </c>
      <c r="X223" s="4">
        <v>1</v>
      </c>
      <c r="Y223" s="4">
        <v>125950.26</v>
      </c>
      <c r="Z223" s="4"/>
      <c r="AA223" s="4"/>
      <c r="AB223" s="4"/>
    </row>
    <row r="224" spans="1:28" x14ac:dyDescent="0.2">
      <c r="A224" s="4">
        <v>50</v>
      </c>
      <c r="B224" s="4">
        <v>0</v>
      </c>
      <c r="C224" s="4">
        <v>0</v>
      </c>
      <c r="D224" s="4">
        <v>1</v>
      </c>
      <c r="E224" s="4">
        <v>232</v>
      </c>
      <c r="F224" s="4">
        <f>ROUND(Source!BC208,O224)</f>
        <v>0</v>
      </c>
      <c r="G224" s="4" t="s">
        <v>125</v>
      </c>
      <c r="H224" s="4" t="s">
        <v>126</v>
      </c>
      <c r="I224" s="4"/>
      <c r="J224" s="4"/>
      <c r="K224" s="4">
        <v>232</v>
      </c>
      <c r="L224" s="4">
        <v>15</v>
      </c>
      <c r="M224" s="4">
        <v>3</v>
      </c>
      <c r="N224" s="4" t="s">
        <v>3</v>
      </c>
      <c r="O224" s="4">
        <v>2</v>
      </c>
      <c r="P224" s="4"/>
      <c r="Q224" s="4"/>
      <c r="R224" s="4"/>
      <c r="S224" s="4"/>
      <c r="T224" s="4"/>
      <c r="U224" s="4"/>
      <c r="V224" s="4"/>
      <c r="W224" s="4">
        <v>0</v>
      </c>
      <c r="X224" s="4">
        <v>1</v>
      </c>
      <c r="Y224" s="4">
        <v>0</v>
      </c>
      <c r="Z224" s="4"/>
      <c r="AA224" s="4"/>
      <c r="AB224" s="4"/>
    </row>
    <row r="225" spans="1:206" x14ac:dyDescent="0.2">
      <c r="A225" s="4">
        <v>50</v>
      </c>
      <c r="B225" s="4">
        <v>0</v>
      </c>
      <c r="C225" s="4">
        <v>0</v>
      </c>
      <c r="D225" s="4">
        <v>1</v>
      </c>
      <c r="E225" s="4">
        <v>214</v>
      </c>
      <c r="F225" s="4">
        <f>ROUND(Source!AS208,O225)</f>
        <v>0</v>
      </c>
      <c r="G225" s="4" t="s">
        <v>127</v>
      </c>
      <c r="H225" s="4" t="s">
        <v>128</v>
      </c>
      <c r="I225" s="4"/>
      <c r="J225" s="4"/>
      <c r="K225" s="4">
        <v>214</v>
      </c>
      <c r="L225" s="4">
        <v>16</v>
      </c>
      <c r="M225" s="4">
        <v>3</v>
      </c>
      <c r="N225" s="4" t="s">
        <v>3</v>
      </c>
      <c r="O225" s="4">
        <v>2</v>
      </c>
      <c r="P225" s="4"/>
      <c r="Q225" s="4"/>
      <c r="R225" s="4"/>
      <c r="S225" s="4"/>
      <c r="T225" s="4"/>
      <c r="U225" s="4"/>
      <c r="V225" s="4"/>
      <c r="W225" s="4">
        <v>0</v>
      </c>
      <c r="X225" s="4">
        <v>1</v>
      </c>
      <c r="Y225" s="4">
        <v>0</v>
      </c>
      <c r="Z225" s="4"/>
      <c r="AA225" s="4"/>
      <c r="AB225" s="4"/>
    </row>
    <row r="226" spans="1:206" x14ac:dyDescent="0.2">
      <c r="A226" s="4">
        <v>50</v>
      </c>
      <c r="B226" s="4">
        <v>0</v>
      </c>
      <c r="C226" s="4">
        <v>0</v>
      </c>
      <c r="D226" s="4">
        <v>1</v>
      </c>
      <c r="E226" s="4">
        <v>215</v>
      </c>
      <c r="F226" s="4">
        <f>ROUND(Source!AT208,O226)</f>
        <v>0</v>
      </c>
      <c r="G226" s="4" t="s">
        <v>129</v>
      </c>
      <c r="H226" s="4" t="s">
        <v>130</v>
      </c>
      <c r="I226" s="4"/>
      <c r="J226" s="4"/>
      <c r="K226" s="4">
        <v>215</v>
      </c>
      <c r="L226" s="4">
        <v>17</v>
      </c>
      <c r="M226" s="4">
        <v>3</v>
      </c>
      <c r="N226" s="4" t="s">
        <v>3</v>
      </c>
      <c r="O226" s="4">
        <v>2</v>
      </c>
      <c r="P226" s="4"/>
      <c r="Q226" s="4"/>
      <c r="R226" s="4"/>
      <c r="S226" s="4"/>
      <c r="T226" s="4"/>
      <c r="U226" s="4"/>
      <c r="V226" s="4"/>
      <c r="W226" s="4">
        <v>0</v>
      </c>
      <c r="X226" s="4">
        <v>1</v>
      </c>
      <c r="Y226" s="4">
        <v>0</v>
      </c>
      <c r="Z226" s="4"/>
      <c r="AA226" s="4"/>
      <c r="AB226" s="4"/>
    </row>
    <row r="227" spans="1:206" x14ac:dyDescent="0.2">
      <c r="A227" s="4">
        <v>50</v>
      </c>
      <c r="B227" s="4">
        <v>0</v>
      </c>
      <c r="C227" s="4">
        <v>0</v>
      </c>
      <c r="D227" s="4">
        <v>1</v>
      </c>
      <c r="E227" s="4">
        <v>217</v>
      </c>
      <c r="F227" s="4">
        <f>ROUND(Source!AU208,O227)</f>
        <v>463499.61</v>
      </c>
      <c r="G227" s="4" t="s">
        <v>131</v>
      </c>
      <c r="H227" s="4" t="s">
        <v>132</v>
      </c>
      <c r="I227" s="4"/>
      <c r="J227" s="4"/>
      <c r="K227" s="4">
        <v>217</v>
      </c>
      <c r="L227" s="4">
        <v>18</v>
      </c>
      <c r="M227" s="4">
        <v>3</v>
      </c>
      <c r="N227" s="4" t="s">
        <v>3</v>
      </c>
      <c r="O227" s="4">
        <v>2</v>
      </c>
      <c r="P227" s="4"/>
      <c r="Q227" s="4"/>
      <c r="R227" s="4"/>
      <c r="S227" s="4"/>
      <c r="T227" s="4"/>
      <c r="U227" s="4"/>
      <c r="V227" s="4"/>
      <c r="W227" s="4">
        <v>463499.61</v>
      </c>
      <c r="X227" s="4">
        <v>1</v>
      </c>
      <c r="Y227" s="4">
        <v>463499.61</v>
      </c>
      <c r="Z227" s="4"/>
      <c r="AA227" s="4"/>
      <c r="AB227" s="4"/>
    </row>
    <row r="228" spans="1:206" x14ac:dyDescent="0.2">
      <c r="A228" s="4">
        <v>50</v>
      </c>
      <c r="B228" s="4">
        <v>0</v>
      </c>
      <c r="C228" s="4">
        <v>0</v>
      </c>
      <c r="D228" s="4">
        <v>1</v>
      </c>
      <c r="E228" s="4">
        <v>230</v>
      </c>
      <c r="F228" s="4">
        <f>ROUND(Source!BA208,O228)</f>
        <v>0</v>
      </c>
      <c r="G228" s="4" t="s">
        <v>133</v>
      </c>
      <c r="H228" s="4" t="s">
        <v>134</v>
      </c>
      <c r="I228" s="4"/>
      <c r="J228" s="4"/>
      <c r="K228" s="4">
        <v>230</v>
      </c>
      <c r="L228" s="4">
        <v>19</v>
      </c>
      <c r="M228" s="4">
        <v>3</v>
      </c>
      <c r="N228" s="4" t="s">
        <v>3</v>
      </c>
      <c r="O228" s="4">
        <v>2</v>
      </c>
      <c r="P228" s="4"/>
      <c r="Q228" s="4"/>
      <c r="R228" s="4"/>
      <c r="S228" s="4"/>
      <c r="T228" s="4"/>
      <c r="U228" s="4"/>
      <c r="V228" s="4"/>
      <c r="W228" s="4">
        <v>0</v>
      </c>
      <c r="X228" s="4">
        <v>1</v>
      </c>
      <c r="Y228" s="4">
        <v>0</v>
      </c>
      <c r="Z228" s="4"/>
      <c r="AA228" s="4"/>
      <c r="AB228" s="4"/>
    </row>
    <row r="229" spans="1:206" x14ac:dyDescent="0.2">
      <c r="A229" s="4">
        <v>50</v>
      </c>
      <c r="B229" s="4">
        <v>0</v>
      </c>
      <c r="C229" s="4">
        <v>0</v>
      </c>
      <c r="D229" s="4">
        <v>1</v>
      </c>
      <c r="E229" s="4">
        <v>206</v>
      </c>
      <c r="F229" s="4">
        <f>ROUND(Source!T208,O229)</f>
        <v>0</v>
      </c>
      <c r="G229" s="4" t="s">
        <v>135</v>
      </c>
      <c r="H229" s="4" t="s">
        <v>136</v>
      </c>
      <c r="I229" s="4"/>
      <c r="J229" s="4"/>
      <c r="K229" s="4">
        <v>206</v>
      </c>
      <c r="L229" s="4">
        <v>20</v>
      </c>
      <c r="M229" s="4">
        <v>3</v>
      </c>
      <c r="N229" s="4" t="s">
        <v>3</v>
      </c>
      <c r="O229" s="4">
        <v>2</v>
      </c>
      <c r="P229" s="4"/>
      <c r="Q229" s="4"/>
      <c r="R229" s="4"/>
      <c r="S229" s="4"/>
      <c r="T229" s="4"/>
      <c r="U229" s="4"/>
      <c r="V229" s="4"/>
      <c r="W229" s="4">
        <v>0</v>
      </c>
      <c r="X229" s="4">
        <v>1</v>
      </c>
      <c r="Y229" s="4">
        <v>0</v>
      </c>
      <c r="Z229" s="4"/>
      <c r="AA229" s="4"/>
      <c r="AB229" s="4"/>
    </row>
    <row r="230" spans="1:206" x14ac:dyDescent="0.2">
      <c r="A230" s="4">
        <v>50</v>
      </c>
      <c r="B230" s="4">
        <v>0</v>
      </c>
      <c r="C230" s="4">
        <v>0</v>
      </c>
      <c r="D230" s="4">
        <v>1</v>
      </c>
      <c r="E230" s="4">
        <v>207</v>
      </c>
      <c r="F230" s="4">
        <f>Source!U208</f>
        <v>299.18309999999997</v>
      </c>
      <c r="G230" s="4" t="s">
        <v>137</v>
      </c>
      <c r="H230" s="4" t="s">
        <v>138</v>
      </c>
      <c r="I230" s="4"/>
      <c r="J230" s="4"/>
      <c r="K230" s="4">
        <v>207</v>
      </c>
      <c r="L230" s="4">
        <v>21</v>
      </c>
      <c r="M230" s="4">
        <v>3</v>
      </c>
      <c r="N230" s="4" t="s">
        <v>3</v>
      </c>
      <c r="O230" s="4">
        <v>-1</v>
      </c>
      <c r="P230" s="4"/>
      <c r="Q230" s="4"/>
      <c r="R230" s="4"/>
      <c r="S230" s="4"/>
      <c r="T230" s="4"/>
      <c r="U230" s="4"/>
      <c r="V230" s="4"/>
      <c r="W230" s="4">
        <v>299.18309999999997</v>
      </c>
      <c r="X230" s="4">
        <v>1</v>
      </c>
      <c r="Y230" s="4">
        <v>299.18309999999997</v>
      </c>
      <c r="Z230" s="4"/>
      <c r="AA230" s="4"/>
      <c r="AB230" s="4"/>
    </row>
    <row r="231" spans="1:206" x14ac:dyDescent="0.2">
      <c r="A231" s="4">
        <v>50</v>
      </c>
      <c r="B231" s="4">
        <v>0</v>
      </c>
      <c r="C231" s="4">
        <v>0</v>
      </c>
      <c r="D231" s="4">
        <v>1</v>
      </c>
      <c r="E231" s="4">
        <v>208</v>
      </c>
      <c r="F231" s="4">
        <f>Source!V208</f>
        <v>0</v>
      </c>
      <c r="G231" s="4" t="s">
        <v>139</v>
      </c>
      <c r="H231" s="4" t="s">
        <v>140</v>
      </c>
      <c r="I231" s="4"/>
      <c r="J231" s="4"/>
      <c r="K231" s="4">
        <v>208</v>
      </c>
      <c r="L231" s="4">
        <v>22</v>
      </c>
      <c r="M231" s="4">
        <v>3</v>
      </c>
      <c r="N231" s="4" t="s">
        <v>3</v>
      </c>
      <c r="O231" s="4">
        <v>-1</v>
      </c>
      <c r="P231" s="4"/>
      <c r="Q231" s="4"/>
      <c r="R231" s="4"/>
      <c r="S231" s="4"/>
      <c r="T231" s="4"/>
      <c r="U231" s="4"/>
      <c r="V231" s="4"/>
      <c r="W231" s="4">
        <v>0</v>
      </c>
      <c r="X231" s="4">
        <v>1</v>
      </c>
      <c r="Y231" s="4">
        <v>0</v>
      </c>
      <c r="Z231" s="4"/>
      <c r="AA231" s="4"/>
      <c r="AB231" s="4"/>
    </row>
    <row r="232" spans="1:206" x14ac:dyDescent="0.2">
      <c r="A232" s="4">
        <v>50</v>
      </c>
      <c r="B232" s="4">
        <v>0</v>
      </c>
      <c r="C232" s="4">
        <v>0</v>
      </c>
      <c r="D232" s="4">
        <v>1</v>
      </c>
      <c r="E232" s="4">
        <v>209</v>
      </c>
      <c r="F232" s="4">
        <f>ROUND(Source!W208,O232)</f>
        <v>0</v>
      </c>
      <c r="G232" s="4" t="s">
        <v>141</v>
      </c>
      <c r="H232" s="4" t="s">
        <v>142</v>
      </c>
      <c r="I232" s="4"/>
      <c r="J232" s="4"/>
      <c r="K232" s="4">
        <v>209</v>
      </c>
      <c r="L232" s="4">
        <v>23</v>
      </c>
      <c r="M232" s="4">
        <v>3</v>
      </c>
      <c r="N232" s="4" t="s">
        <v>3</v>
      </c>
      <c r="O232" s="4">
        <v>2</v>
      </c>
      <c r="P232" s="4"/>
      <c r="Q232" s="4"/>
      <c r="R232" s="4"/>
      <c r="S232" s="4"/>
      <c r="T232" s="4"/>
      <c r="U232" s="4"/>
      <c r="V232" s="4"/>
      <c r="W232" s="4">
        <v>0</v>
      </c>
      <c r="X232" s="4">
        <v>1</v>
      </c>
      <c r="Y232" s="4">
        <v>0</v>
      </c>
      <c r="Z232" s="4"/>
      <c r="AA232" s="4"/>
      <c r="AB232" s="4"/>
    </row>
    <row r="233" spans="1:206" x14ac:dyDescent="0.2">
      <c r="A233" s="4">
        <v>50</v>
      </c>
      <c r="B233" s="4">
        <v>0</v>
      </c>
      <c r="C233" s="4">
        <v>0</v>
      </c>
      <c r="D233" s="4">
        <v>1</v>
      </c>
      <c r="E233" s="4">
        <v>233</v>
      </c>
      <c r="F233" s="4">
        <f>ROUND(Source!BD208,O233)</f>
        <v>0</v>
      </c>
      <c r="G233" s="4" t="s">
        <v>143</v>
      </c>
      <c r="H233" s="4" t="s">
        <v>144</v>
      </c>
      <c r="I233" s="4"/>
      <c r="J233" s="4"/>
      <c r="K233" s="4">
        <v>233</v>
      </c>
      <c r="L233" s="4">
        <v>24</v>
      </c>
      <c r="M233" s="4">
        <v>3</v>
      </c>
      <c r="N233" s="4" t="s">
        <v>3</v>
      </c>
      <c r="O233" s="4">
        <v>2</v>
      </c>
      <c r="P233" s="4"/>
      <c r="Q233" s="4"/>
      <c r="R233" s="4"/>
      <c r="S233" s="4"/>
      <c r="T233" s="4"/>
      <c r="U233" s="4"/>
      <c r="V233" s="4"/>
      <c r="W233" s="4">
        <v>0</v>
      </c>
      <c r="X233" s="4">
        <v>1</v>
      </c>
      <c r="Y233" s="4">
        <v>0</v>
      </c>
      <c r="Z233" s="4"/>
      <c r="AA233" s="4"/>
      <c r="AB233" s="4"/>
    </row>
    <row r="234" spans="1:206" x14ac:dyDescent="0.2">
      <c r="A234" s="4">
        <v>50</v>
      </c>
      <c r="B234" s="4">
        <v>0</v>
      </c>
      <c r="C234" s="4">
        <v>0</v>
      </c>
      <c r="D234" s="4">
        <v>1</v>
      </c>
      <c r="E234" s="4">
        <v>210</v>
      </c>
      <c r="F234" s="4">
        <f>ROUND(Source!X208,O234)</f>
        <v>88165.18</v>
      </c>
      <c r="G234" s="4" t="s">
        <v>145</v>
      </c>
      <c r="H234" s="4" t="s">
        <v>146</v>
      </c>
      <c r="I234" s="4"/>
      <c r="J234" s="4"/>
      <c r="K234" s="4">
        <v>210</v>
      </c>
      <c r="L234" s="4">
        <v>25</v>
      </c>
      <c r="M234" s="4">
        <v>3</v>
      </c>
      <c r="N234" s="4" t="s">
        <v>3</v>
      </c>
      <c r="O234" s="4">
        <v>2</v>
      </c>
      <c r="P234" s="4"/>
      <c r="Q234" s="4"/>
      <c r="R234" s="4"/>
      <c r="S234" s="4"/>
      <c r="T234" s="4"/>
      <c r="U234" s="4"/>
      <c r="V234" s="4"/>
      <c r="W234" s="4">
        <v>88165.18</v>
      </c>
      <c r="X234" s="4">
        <v>1</v>
      </c>
      <c r="Y234" s="4">
        <v>88165.18</v>
      </c>
      <c r="Z234" s="4"/>
      <c r="AA234" s="4"/>
      <c r="AB234" s="4"/>
    </row>
    <row r="235" spans="1:206" x14ac:dyDescent="0.2">
      <c r="A235" s="4">
        <v>50</v>
      </c>
      <c r="B235" s="4">
        <v>0</v>
      </c>
      <c r="C235" s="4">
        <v>0</v>
      </c>
      <c r="D235" s="4">
        <v>1</v>
      </c>
      <c r="E235" s="4">
        <v>211</v>
      </c>
      <c r="F235" s="4">
        <f>ROUND(Source!Y208,O235)</f>
        <v>12595.03</v>
      </c>
      <c r="G235" s="4" t="s">
        <v>147</v>
      </c>
      <c r="H235" s="4" t="s">
        <v>148</v>
      </c>
      <c r="I235" s="4"/>
      <c r="J235" s="4"/>
      <c r="K235" s="4">
        <v>211</v>
      </c>
      <c r="L235" s="4">
        <v>26</v>
      </c>
      <c r="M235" s="4">
        <v>3</v>
      </c>
      <c r="N235" s="4" t="s">
        <v>3</v>
      </c>
      <c r="O235" s="4">
        <v>2</v>
      </c>
      <c r="P235" s="4"/>
      <c r="Q235" s="4"/>
      <c r="R235" s="4"/>
      <c r="S235" s="4"/>
      <c r="T235" s="4"/>
      <c r="U235" s="4"/>
      <c r="V235" s="4"/>
      <c r="W235" s="4">
        <v>12595.03</v>
      </c>
      <c r="X235" s="4">
        <v>1</v>
      </c>
      <c r="Y235" s="4">
        <v>12595.03</v>
      </c>
      <c r="Z235" s="4"/>
      <c r="AA235" s="4"/>
      <c r="AB235" s="4"/>
    </row>
    <row r="236" spans="1:206" x14ac:dyDescent="0.2">
      <c r="A236" s="4">
        <v>50</v>
      </c>
      <c r="B236" s="4">
        <v>0</v>
      </c>
      <c r="C236" s="4">
        <v>0</v>
      </c>
      <c r="D236" s="4">
        <v>1</v>
      </c>
      <c r="E236" s="4">
        <v>224</v>
      </c>
      <c r="F236" s="4">
        <f>ROUND(Source!AR208,O236)</f>
        <v>463499.61</v>
      </c>
      <c r="G236" s="4" t="s">
        <v>149</v>
      </c>
      <c r="H236" s="4" t="s">
        <v>150</v>
      </c>
      <c r="I236" s="4"/>
      <c r="J236" s="4"/>
      <c r="K236" s="4">
        <v>224</v>
      </c>
      <c r="L236" s="4">
        <v>27</v>
      </c>
      <c r="M236" s="4">
        <v>3</v>
      </c>
      <c r="N236" s="4" t="s">
        <v>3</v>
      </c>
      <c r="O236" s="4">
        <v>2</v>
      </c>
      <c r="P236" s="4"/>
      <c r="Q236" s="4"/>
      <c r="R236" s="4"/>
      <c r="S236" s="4"/>
      <c r="T236" s="4"/>
      <c r="U236" s="4"/>
      <c r="V236" s="4"/>
      <c r="W236" s="4">
        <v>463499.61</v>
      </c>
      <c r="X236" s="4">
        <v>1</v>
      </c>
      <c r="Y236" s="4">
        <v>463499.61</v>
      </c>
      <c r="Z236" s="4"/>
      <c r="AA236" s="4"/>
      <c r="AB236" s="4"/>
    </row>
    <row r="238" spans="1:206" x14ac:dyDescent="0.2">
      <c r="A238" s="2">
        <v>51</v>
      </c>
      <c r="B238" s="2">
        <f>B12</f>
        <v>276</v>
      </c>
      <c r="C238" s="2">
        <f>A12</f>
        <v>1</v>
      </c>
      <c r="D238" s="2">
        <f>ROW(A12)</f>
        <v>12</v>
      </c>
      <c r="E238" s="2"/>
      <c r="F238" s="2" t="str">
        <f>IF(F12&lt;&gt;"",F12,"")</f>
        <v/>
      </c>
      <c r="G238" s="2" t="str">
        <f>IF(G12&lt;&gt;"",G12,"")</f>
        <v>920_Перовская 24. ТР-2024_(ГВС/ХВС) (СН-2012 Выпуск №2 (в ценах на 01.01.2025 г))</v>
      </c>
      <c r="H238" s="2">
        <v>0</v>
      </c>
      <c r="I238" s="2"/>
      <c r="J238" s="2"/>
      <c r="K238" s="2"/>
      <c r="L238" s="2"/>
      <c r="M238" s="2"/>
      <c r="N238" s="2"/>
      <c r="O238" s="2">
        <f t="shared" ref="O238:T238" si="134">ROUND(O208,2)</f>
        <v>362707.98</v>
      </c>
      <c r="P238" s="2">
        <f t="shared" si="134"/>
        <v>236050.61</v>
      </c>
      <c r="Q238" s="2">
        <f t="shared" si="134"/>
        <v>707.11</v>
      </c>
      <c r="R238" s="2">
        <f t="shared" si="134"/>
        <v>19.64</v>
      </c>
      <c r="S238" s="2">
        <f t="shared" si="134"/>
        <v>125950.26</v>
      </c>
      <c r="T238" s="2">
        <f t="shared" si="134"/>
        <v>0</v>
      </c>
      <c r="U238" s="2">
        <f>U208</f>
        <v>299.18309999999997</v>
      </c>
      <c r="V238" s="2">
        <f>V208</f>
        <v>0</v>
      </c>
      <c r="W238" s="2">
        <f>ROUND(W208,2)</f>
        <v>0</v>
      </c>
      <c r="X238" s="2">
        <f>ROUND(X208,2)</f>
        <v>88165.18</v>
      </c>
      <c r="Y238" s="2">
        <f>ROUND(Y208,2)</f>
        <v>12595.03</v>
      </c>
      <c r="Z238" s="2"/>
      <c r="AA238" s="2"/>
      <c r="AB238" s="2"/>
      <c r="AC238" s="2"/>
      <c r="AD238" s="2"/>
      <c r="AE238" s="2"/>
      <c r="AF238" s="2"/>
      <c r="AG238" s="2"/>
      <c r="AH238" s="2"/>
      <c r="AI238" s="2"/>
      <c r="AJ238" s="2"/>
      <c r="AK238" s="2"/>
      <c r="AL238" s="2"/>
      <c r="AM238" s="2"/>
      <c r="AN238" s="2"/>
      <c r="AO238" s="2">
        <f t="shared" ref="AO238:BD238" si="135">ROUND(AO208,2)</f>
        <v>0</v>
      </c>
      <c r="AP238" s="2">
        <f t="shared" si="135"/>
        <v>0</v>
      </c>
      <c r="AQ238" s="2">
        <f t="shared" si="135"/>
        <v>0</v>
      </c>
      <c r="AR238" s="2">
        <f t="shared" si="135"/>
        <v>463499.61</v>
      </c>
      <c r="AS238" s="2">
        <f t="shared" si="135"/>
        <v>0</v>
      </c>
      <c r="AT238" s="2">
        <f t="shared" si="135"/>
        <v>0</v>
      </c>
      <c r="AU238" s="2">
        <f t="shared" si="135"/>
        <v>463499.61</v>
      </c>
      <c r="AV238" s="2">
        <f t="shared" si="135"/>
        <v>236050.61</v>
      </c>
      <c r="AW238" s="2">
        <f t="shared" si="135"/>
        <v>236050.61</v>
      </c>
      <c r="AX238" s="2">
        <f t="shared" si="135"/>
        <v>0</v>
      </c>
      <c r="AY238" s="2">
        <f t="shared" si="135"/>
        <v>236050.61</v>
      </c>
      <c r="AZ238" s="2">
        <f t="shared" si="135"/>
        <v>0</v>
      </c>
      <c r="BA238" s="2">
        <f t="shared" si="135"/>
        <v>0</v>
      </c>
      <c r="BB238" s="2">
        <f t="shared" si="135"/>
        <v>0</v>
      </c>
      <c r="BC238" s="2">
        <f t="shared" si="135"/>
        <v>0</v>
      </c>
      <c r="BD238" s="2">
        <f t="shared" si="135"/>
        <v>0</v>
      </c>
      <c r="BE238" s="2"/>
      <c r="BF238" s="2"/>
      <c r="BG238" s="2"/>
      <c r="BH238" s="2"/>
      <c r="BI238" s="2"/>
      <c r="BJ238" s="2"/>
      <c r="BK238" s="2"/>
      <c r="BL238" s="2"/>
      <c r="BM238" s="2"/>
      <c r="BN238" s="2"/>
      <c r="BO238" s="2"/>
      <c r="BP238" s="2"/>
      <c r="BQ238" s="2"/>
      <c r="BR238" s="2"/>
      <c r="BS238" s="2"/>
      <c r="BT238" s="2"/>
      <c r="BU238" s="2"/>
      <c r="BV238" s="2"/>
      <c r="BW238" s="2"/>
      <c r="BX238" s="2"/>
      <c r="BY238" s="2"/>
      <c r="BZ238" s="2"/>
      <c r="CA238" s="2"/>
      <c r="CB238" s="2"/>
      <c r="CC238" s="2"/>
      <c r="CD238" s="2"/>
      <c r="CE238" s="2"/>
      <c r="CF238" s="2"/>
      <c r="CG238" s="2"/>
      <c r="CH238" s="2"/>
      <c r="CI238" s="2"/>
      <c r="CJ238" s="2"/>
      <c r="CK238" s="2"/>
      <c r="CL238" s="2"/>
      <c r="CM238" s="2"/>
      <c r="CN238" s="2"/>
      <c r="CO238" s="2"/>
      <c r="CP238" s="2"/>
      <c r="CQ238" s="2"/>
      <c r="CR238" s="2"/>
      <c r="CS238" s="2"/>
      <c r="CT238" s="2"/>
      <c r="CU238" s="2"/>
      <c r="CV238" s="2"/>
      <c r="CW238" s="2"/>
      <c r="CX238" s="2"/>
      <c r="CY238" s="2"/>
      <c r="CZ238" s="2"/>
      <c r="DA238" s="2"/>
      <c r="DB238" s="2"/>
      <c r="DC238" s="2"/>
      <c r="DD238" s="2"/>
      <c r="DE238" s="2"/>
      <c r="DF238" s="2"/>
      <c r="DG238" s="3"/>
      <c r="DH238" s="3"/>
      <c r="DI238" s="3"/>
      <c r="DJ238" s="3"/>
      <c r="DK238" s="3"/>
      <c r="DL238" s="3"/>
      <c r="DM238" s="3"/>
      <c r="DN238" s="3"/>
      <c r="DO238" s="3"/>
      <c r="DP238" s="3"/>
      <c r="DQ238" s="3"/>
      <c r="DR238" s="3"/>
      <c r="DS238" s="3"/>
      <c r="DT238" s="3"/>
      <c r="DU238" s="3"/>
      <c r="DV238" s="3"/>
      <c r="DW238" s="3"/>
      <c r="DX238" s="3"/>
      <c r="DY238" s="3"/>
      <c r="DZ238" s="3"/>
      <c r="EA238" s="3"/>
      <c r="EB238" s="3"/>
      <c r="EC238" s="3"/>
      <c r="ED238" s="3"/>
      <c r="EE238" s="3"/>
      <c r="EF238" s="3"/>
      <c r="EG238" s="3"/>
      <c r="EH238" s="3"/>
      <c r="EI238" s="3"/>
      <c r="EJ238" s="3"/>
      <c r="EK238" s="3"/>
      <c r="EL238" s="3"/>
      <c r="EM238" s="3"/>
      <c r="EN238" s="3"/>
      <c r="EO238" s="3"/>
      <c r="EP238" s="3"/>
      <c r="EQ238" s="3"/>
      <c r="ER238" s="3"/>
      <c r="ES238" s="3"/>
      <c r="ET238" s="3"/>
      <c r="EU238" s="3"/>
      <c r="EV238" s="3"/>
      <c r="EW238" s="3"/>
      <c r="EX238" s="3"/>
      <c r="EY238" s="3"/>
      <c r="EZ238" s="3"/>
      <c r="FA238" s="3"/>
      <c r="FB238" s="3"/>
      <c r="FC238" s="3"/>
      <c r="FD238" s="3"/>
      <c r="FE238" s="3"/>
      <c r="FF238" s="3"/>
      <c r="FG238" s="3"/>
      <c r="FH238" s="3"/>
      <c r="FI238" s="3"/>
      <c r="FJ238" s="3"/>
      <c r="FK238" s="3"/>
      <c r="FL238" s="3"/>
      <c r="FM238" s="3"/>
      <c r="FN238" s="3"/>
      <c r="FO238" s="3"/>
      <c r="FP238" s="3"/>
      <c r="FQ238" s="3"/>
      <c r="FR238" s="3"/>
      <c r="FS238" s="3"/>
      <c r="FT238" s="3"/>
      <c r="FU238" s="3"/>
      <c r="FV238" s="3"/>
      <c r="FW238" s="3"/>
      <c r="FX238" s="3"/>
      <c r="FY238" s="3"/>
      <c r="FZ238" s="3"/>
      <c r="GA238" s="3"/>
      <c r="GB238" s="3"/>
      <c r="GC238" s="3"/>
      <c r="GD238" s="3"/>
      <c r="GE238" s="3"/>
      <c r="GF238" s="3"/>
      <c r="GG238" s="3"/>
      <c r="GH238" s="3"/>
      <c r="GI238" s="3"/>
      <c r="GJ238" s="3"/>
      <c r="GK238" s="3"/>
      <c r="GL238" s="3"/>
      <c r="GM238" s="3"/>
      <c r="GN238" s="3"/>
      <c r="GO238" s="3"/>
      <c r="GP238" s="3"/>
      <c r="GQ238" s="3"/>
      <c r="GR238" s="3"/>
      <c r="GS238" s="3"/>
      <c r="GT238" s="3"/>
      <c r="GU238" s="3"/>
      <c r="GV238" s="3"/>
      <c r="GW238" s="3"/>
      <c r="GX238" s="3">
        <v>0</v>
      </c>
    </row>
    <row r="240" spans="1:206" x14ac:dyDescent="0.2">
      <c r="A240" s="4">
        <v>50</v>
      </c>
      <c r="B240" s="4">
        <v>0</v>
      </c>
      <c r="C240" s="4">
        <v>0</v>
      </c>
      <c r="D240" s="4">
        <v>1</v>
      </c>
      <c r="E240" s="4">
        <v>201</v>
      </c>
      <c r="F240" s="4">
        <f>ROUND(Source!O238,O240)</f>
        <v>362707.98</v>
      </c>
      <c r="G240" s="4" t="s">
        <v>97</v>
      </c>
      <c r="H240" s="4" t="s">
        <v>98</v>
      </c>
      <c r="I240" s="4"/>
      <c r="J240" s="4"/>
      <c r="K240" s="4">
        <v>201</v>
      </c>
      <c r="L240" s="4">
        <v>1</v>
      </c>
      <c r="M240" s="4">
        <v>3</v>
      </c>
      <c r="N240" s="4" t="s">
        <v>3</v>
      </c>
      <c r="O240" s="4">
        <v>2</v>
      </c>
      <c r="P240" s="4"/>
      <c r="Q240" s="4"/>
      <c r="R240" s="4"/>
      <c r="S240" s="4"/>
      <c r="T240" s="4"/>
      <c r="U240" s="4"/>
      <c r="V240" s="4"/>
      <c r="W240" s="4">
        <v>362707.98</v>
      </c>
      <c r="X240" s="4">
        <v>1</v>
      </c>
      <c r="Y240" s="4">
        <v>362707.98</v>
      </c>
      <c r="Z240" s="4"/>
      <c r="AA240" s="4"/>
      <c r="AB240" s="4"/>
    </row>
    <row r="241" spans="1:28" x14ac:dyDescent="0.2">
      <c r="A241" s="4">
        <v>50</v>
      </c>
      <c r="B241" s="4">
        <v>0</v>
      </c>
      <c r="C241" s="4">
        <v>0</v>
      </c>
      <c r="D241" s="4">
        <v>1</v>
      </c>
      <c r="E241" s="4">
        <v>202</v>
      </c>
      <c r="F241" s="4">
        <f>ROUND(Source!P238,O241)</f>
        <v>236050.61</v>
      </c>
      <c r="G241" s="4" t="s">
        <v>99</v>
      </c>
      <c r="H241" s="4" t="s">
        <v>100</v>
      </c>
      <c r="I241" s="4"/>
      <c r="J241" s="4"/>
      <c r="K241" s="4">
        <v>202</v>
      </c>
      <c r="L241" s="4">
        <v>2</v>
      </c>
      <c r="M241" s="4">
        <v>3</v>
      </c>
      <c r="N241" s="4" t="s">
        <v>3</v>
      </c>
      <c r="O241" s="4">
        <v>2</v>
      </c>
      <c r="P241" s="4"/>
      <c r="Q241" s="4"/>
      <c r="R241" s="4"/>
      <c r="S241" s="4"/>
      <c r="T241" s="4"/>
      <c r="U241" s="4"/>
      <c r="V241" s="4"/>
      <c r="W241" s="4">
        <v>236050.61</v>
      </c>
      <c r="X241" s="4">
        <v>1</v>
      </c>
      <c r="Y241" s="4">
        <v>236050.61</v>
      </c>
      <c r="Z241" s="4"/>
      <c r="AA241" s="4"/>
      <c r="AB241" s="4"/>
    </row>
    <row r="242" spans="1:28" x14ac:dyDescent="0.2">
      <c r="A242" s="4">
        <v>50</v>
      </c>
      <c r="B242" s="4">
        <v>0</v>
      </c>
      <c r="C242" s="4">
        <v>0</v>
      </c>
      <c r="D242" s="4">
        <v>1</v>
      </c>
      <c r="E242" s="4">
        <v>222</v>
      </c>
      <c r="F242" s="4">
        <f>ROUND(Source!AO238,O242)</f>
        <v>0</v>
      </c>
      <c r="G242" s="4" t="s">
        <v>101</v>
      </c>
      <c r="H242" s="4" t="s">
        <v>102</v>
      </c>
      <c r="I242" s="4"/>
      <c r="J242" s="4"/>
      <c r="K242" s="4">
        <v>222</v>
      </c>
      <c r="L242" s="4">
        <v>3</v>
      </c>
      <c r="M242" s="4">
        <v>3</v>
      </c>
      <c r="N242" s="4" t="s">
        <v>3</v>
      </c>
      <c r="O242" s="4">
        <v>2</v>
      </c>
      <c r="P242" s="4"/>
      <c r="Q242" s="4"/>
      <c r="R242" s="4"/>
      <c r="S242" s="4"/>
      <c r="T242" s="4"/>
      <c r="U242" s="4"/>
      <c r="V242" s="4"/>
      <c r="W242" s="4">
        <v>0</v>
      </c>
      <c r="X242" s="4">
        <v>1</v>
      </c>
      <c r="Y242" s="4">
        <v>0</v>
      </c>
      <c r="Z242" s="4"/>
      <c r="AA242" s="4"/>
      <c r="AB242" s="4"/>
    </row>
    <row r="243" spans="1:28" x14ac:dyDescent="0.2">
      <c r="A243" s="4">
        <v>50</v>
      </c>
      <c r="B243" s="4">
        <v>0</v>
      </c>
      <c r="C243" s="4">
        <v>0</v>
      </c>
      <c r="D243" s="4">
        <v>1</v>
      </c>
      <c r="E243" s="4">
        <v>225</v>
      </c>
      <c r="F243" s="4">
        <f>ROUND(Source!AV238,O243)</f>
        <v>236050.61</v>
      </c>
      <c r="G243" s="4" t="s">
        <v>103</v>
      </c>
      <c r="H243" s="4" t="s">
        <v>104</v>
      </c>
      <c r="I243" s="4"/>
      <c r="J243" s="4"/>
      <c r="K243" s="4">
        <v>225</v>
      </c>
      <c r="L243" s="4">
        <v>4</v>
      </c>
      <c r="M243" s="4">
        <v>3</v>
      </c>
      <c r="N243" s="4" t="s">
        <v>3</v>
      </c>
      <c r="O243" s="4">
        <v>2</v>
      </c>
      <c r="P243" s="4"/>
      <c r="Q243" s="4"/>
      <c r="R243" s="4"/>
      <c r="S243" s="4"/>
      <c r="T243" s="4"/>
      <c r="U243" s="4"/>
      <c r="V243" s="4"/>
      <c r="W243" s="4">
        <v>236050.61</v>
      </c>
      <c r="X243" s="4">
        <v>1</v>
      </c>
      <c r="Y243" s="4">
        <v>236050.61</v>
      </c>
      <c r="Z243" s="4"/>
      <c r="AA243" s="4"/>
      <c r="AB243" s="4"/>
    </row>
    <row r="244" spans="1:28" x14ac:dyDescent="0.2">
      <c r="A244" s="4">
        <v>50</v>
      </c>
      <c r="B244" s="4">
        <v>0</v>
      </c>
      <c r="C244" s="4">
        <v>0</v>
      </c>
      <c r="D244" s="4">
        <v>1</v>
      </c>
      <c r="E244" s="4">
        <v>226</v>
      </c>
      <c r="F244" s="4">
        <f>ROUND(Source!AW238,O244)</f>
        <v>236050.61</v>
      </c>
      <c r="G244" s="4" t="s">
        <v>105</v>
      </c>
      <c r="H244" s="4" t="s">
        <v>106</v>
      </c>
      <c r="I244" s="4"/>
      <c r="J244" s="4"/>
      <c r="K244" s="4">
        <v>226</v>
      </c>
      <c r="L244" s="4">
        <v>5</v>
      </c>
      <c r="M244" s="4">
        <v>3</v>
      </c>
      <c r="N244" s="4" t="s">
        <v>3</v>
      </c>
      <c r="O244" s="4">
        <v>2</v>
      </c>
      <c r="P244" s="4"/>
      <c r="Q244" s="4"/>
      <c r="R244" s="4"/>
      <c r="S244" s="4"/>
      <c r="T244" s="4"/>
      <c r="U244" s="4"/>
      <c r="V244" s="4"/>
      <c r="W244" s="4">
        <v>236050.61</v>
      </c>
      <c r="X244" s="4">
        <v>1</v>
      </c>
      <c r="Y244" s="4">
        <v>236050.61</v>
      </c>
      <c r="Z244" s="4"/>
      <c r="AA244" s="4"/>
      <c r="AB244" s="4"/>
    </row>
    <row r="245" spans="1:28" x14ac:dyDescent="0.2">
      <c r="A245" s="4">
        <v>50</v>
      </c>
      <c r="B245" s="4">
        <v>0</v>
      </c>
      <c r="C245" s="4">
        <v>0</v>
      </c>
      <c r="D245" s="4">
        <v>1</v>
      </c>
      <c r="E245" s="4">
        <v>227</v>
      </c>
      <c r="F245" s="4">
        <f>ROUND(Source!AX238,O245)</f>
        <v>0</v>
      </c>
      <c r="G245" s="4" t="s">
        <v>107</v>
      </c>
      <c r="H245" s="4" t="s">
        <v>108</v>
      </c>
      <c r="I245" s="4"/>
      <c r="J245" s="4"/>
      <c r="K245" s="4">
        <v>227</v>
      </c>
      <c r="L245" s="4">
        <v>6</v>
      </c>
      <c r="M245" s="4">
        <v>3</v>
      </c>
      <c r="N245" s="4" t="s">
        <v>3</v>
      </c>
      <c r="O245" s="4">
        <v>2</v>
      </c>
      <c r="P245" s="4"/>
      <c r="Q245" s="4"/>
      <c r="R245" s="4"/>
      <c r="S245" s="4"/>
      <c r="T245" s="4"/>
      <c r="U245" s="4"/>
      <c r="V245" s="4"/>
      <c r="W245" s="4">
        <v>0</v>
      </c>
      <c r="X245" s="4">
        <v>1</v>
      </c>
      <c r="Y245" s="4">
        <v>0</v>
      </c>
      <c r="Z245" s="4"/>
      <c r="AA245" s="4"/>
      <c r="AB245" s="4"/>
    </row>
    <row r="246" spans="1:28" x14ac:dyDescent="0.2">
      <c r="A246" s="4">
        <v>50</v>
      </c>
      <c r="B246" s="4">
        <v>0</v>
      </c>
      <c r="C246" s="4">
        <v>0</v>
      </c>
      <c r="D246" s="4">
        <v>1</v>
      </c>
      <c r="E246" s="4">
        <v>228</v>
      </c>
      <c r="F246" s="4">
        <f>ROUND(Source!AY238,O246)</f>
        <v>236050.61</v>
      </c>
      <c r="G246" s="4" t="s">
        <v>109</v>
      </c>
      <c r="H246" s="4" t="s">
        <v>110</v>
      </c>
      <c r="I246" s="4"/>
      <c r="J246" s="4"/>
      <c r="K246" s="4">
        <v>228</v>
      </c>
      <c r="L246" s="4">
        <v>7</v>
      </c>
      <c r="M246" s="4">
        <v>3</v>
      </c>
      <c r="N246" s="4" t="s">
        <v>3</v>
      </c>
      <c r="O246" s="4">
        <v>2</v>
      </c>
      <c r="P246" s="4"/>
      <c r="Q246" s="4"/>
      <c r="R246" s="4"/>
      <c r="S246" s="4"/>
      <c r="T246" s="4"/>
      <c r="U246" s="4"/>
      <c r="V246" s="4"/>
      <c r="W246" s="4">
        <v>236050.61</v>
      </c>
      <c r="X246" s="4">
        <v>1</v>
      </c>
      <c r="Y246" s="4">
        <v>236050.61</v>
      </c>
      <c r="Z246" s="4"/>
      <c r="AA246" s="4"/>
      <c r="AB246" s="4"/>
    </row>
    <row r="247" spans="1:28" x14ac:dyDescent="0.2">
      <c r="A247" s="4">
        <v>50</v>
      </c>
      <c r="B247" s="4">
        <v>0</v>
      </c>
      <c r="C247" s="4">
        <v>0</v>
      </c>
      <c r="D247" s="4">
        <v>1</v>
      </c>
      <c r="E247" s="4">
        <v>216</v>
      </c>
      <c r="F247" s="4">
        <f>ROUND(Source!AP238,O247)</f>
        <v>0</v>
      </c>
      <c r="G247" s="4" t="s">
        <v>111</v>
      </c>
      <c r="H247" s="4" t="s">
        <v>112</v>
      </c>
      <c r="I247" s="4"/>
      <c r="J247" s="4"/>
      <c r="K247" s="4">
        <v>216</v>
      </c>
      <c r="L247" s="4">
        <v>8</v>
      </c>
      <c r="M247" s="4">
        <v>3</v>
      </c>
      <c r="N247" s="4" t="s">
        <v>3</v>
      </c>
      <c r="O247" s="4">
        <v>2</v>
      </c>
      <c r="P247" s="4"/>
      <c r="Q247" s="4"/>
      <c r="R247" s="4"/>
      <c r="S247" s="4"/>
      <c r="T247" s="4"/>
      <c r="U247" s="4"/>
      <c r="V247" s="4"/>
      <c r="W247" s="4">
        <v>0</v>
      </c>
      <c r="X247" s="4">
        <v>1</v>
      </c>
      <c r="Y247" s="4">
        <v>0</v>
      </c>
      <c r="Z247" s="4"/>
      <c r="AA247" s="4"/>
      <c r="AB247" s="4"/>
    </row>
    <row r="248" spans="1:28" x14ac:dyDescent="0.2">
      <c r="A248" s="4">
        <v>50</v>
      </c>
      <c r="B248" s="4">
        <v>0</v>
      </c>
      <c r="C248" s="4">
        <v>0</v>
      </c>
      <c r="D248" s="4">
        <v>1</v>
      </c>
      <c r="E248" s="4">
        <v>223</v>
      </c>
      <c r="F248" s="4">
        <f>ROUND(Source!AQ238,O248)</f>
        <v>0</v>
      </c>
      <c r="G248" s="4" t="s">
        <v>113</v>
      </c>
      <c r="H248" s="4" t="s">
        <v>114</v>
      </c>
      <c r="I248" s="4"/>
      <c r="J248" s="4"/>
      <c r="K248" s="4">
        <v>223</v>
      </c>
      <c r="L248" s="4">
        <v>9</v>
      </c>
      <c r="M248" s="4">
        <v>3</v>
      </c>
      <c r="N248" s="4" t="s">
        <v>3</v>
      </c>
      <c r="O248" s="4">
        <v>2</v>
      </c>
      <c r="P248" s="4"/>
      <c r="Q248" s="4"/>
      <c r="R248" s="4"/>
      <c r="S248" s="4"/>
      <c r="T248" s="4"/>
      <c r="U248" s="4"/>
      <c r="V248" s="4"/>
      <c r="W248" s="4">
        <v>0</v>
      </c>
      <c r="X248" s="4">
        <v>1</v>
      </c>
      <c r="Y248" s="4">
        <v>0</v>
      </c>
      <c r="Z248" s="4"/>
      <c r="AA248" s="4"/>
      <c r="AB248" s="4"/>
    </row>
    <row r="249" spans="1:28" x14ac:dyDescent="0.2">
      <c r="A249" s="4">
        <v>50</v>
      </c>
      <c r="B249" s="4">
        <v>0</v>
      </c>
      <c r="C249" s="4">
        <v>0</v>
      </c>
      <c r="D249" s="4">
        <v>1</v>
      </c>
      <c r="E249" s="4">
        <v>229</v>
      </c>
      <c r="F249" s="4">
        <f>ROUND(Source!AZ238,O249)</f>
        <v>0</v>
      </c>
      <c r="G249" s="4" t="s">
        <v>115</v>
      </c>
      <c r="H249" s="4" t="s">
        <v>116</v>
      </c>
      <c r="I249" s="4"/>
      <c r="J249" s="4"/>
      <c r="K249" s="4">
        <v>229</v>
      </c>
      <c r="L249" s="4">
        <v>10</v>
      </c>
      <c r="M249" s="4">
        <v>3</v>
      </c>
      <c r="N249" s="4" t="s">
        <v>3</v>
      </c>
      <c r="O249" s="4">
        <v>2</v>
      </c>
      <c r="P249" s="4"/>
      <c r="Q249" s="4"/>
      <c r="R249" s="4"/>
      <c r="S249" s="4"/>
      <c r="T249" s="4"/>
      <c r="U249" s="4"/>
      <c r="V249" s="4"/>
      <c r="W249" s="4">
        <v>0</v>
      </c>
      <c r="X249" s="4">
        <v>1</v>
      </c>
      <c r="Y249" s="4">
        <v>0</v>
      </c>
      <c r="Z249" s="4"/>
      <c r="AA249" s="4"/>
      <c r="AB249" s="4"/>
    </row>
    <row r="250" spans="1:28" x14ac:dyDescent="0.2">
      <c r="A250" s="4">
        <v>50</v>
      </c>
      <c r="B250" s="4">
        <v>0</v>
      </c>
      <c r="C250" s="4">
        <v>0</v>
      </c>
      <c r="D250" s="4">
        <v>1</v>
      </c>
      <c r="E250" s="4">
        <v>203</v>
      </c>
      <c r="F250" s="4">
        <f>ROUND(Source!Q238,O250)</f>
        <v>707.11</v>
      </c>
      <c r="G250" s="4" t="s">
        <v>117</v>
      </c>
      <c r="H250" s="4" t="s">
        <v>118</v>
      </c>
      <c r="I250" s="4"/>
      <c r="J250" s="4"/>
      <c r="K250" s="4">
        <v>203</v>
      </c>
      <c r="L250" s="4">
        <v>11</v>
      </c>
      <c r="M250" s="4">
        <v>3</v>
      </c>
      <c r="N250" s="4" t="s">
        <v>3</v>
      </c>
      <c r="O250" s="4">
        <v>2</v>
      </c>
      <c r="P250" s="4"/>
      <c r="Q250" s="4"/>
      <c r="R250" s="4"/>
      <c r="S250" s="4"/>
      <c r="T250" s="4"/>
      <c r="U250" s="4"/>
      <c r="V250" s="4"/>
      <c r="W250" s="4">
        <v>707.11</v>
      </c>
      <c r="X250" s="4">
        <v>1</v>
      </c>
      <c r="Y250" s="4">
        <v>707.11</v>
      </c>
      <c r="Z250" s="4"/>
      <c r="AA250" s="4"/>
      <c r="AB250" s="4"/>
    </row>
    <row r="251" spans="1:28" x14ac:dyDescent="0.2">
      <c r="A251" s="4">
        <v>50</v>
      </c>
      <c r="B251" s="4">
        <v>0</v>
      </c>
      <c r="C251" s="4">
        <v>0</v>
      </c>
      <c r="D251" s="4">
        <v>1</v>
      </c>
      <c r="E251" s="4">
        <v>231</v>
      </c>
      <c r="F251" s="4">
        <f>ROUND(Source!BB238,O251)</f>
        <v>0</v>
      </c>
      <c r="G251" s="4" t="s">
        <v>119</v>
      </c>
      <c r="H251" s="4" t="s">
        <v>120</v>
      </c>
      <c r="I251" s="4"/>
      <c r="J251" s="4"/>
      <c r="K251" s="4">
        <v>231</v>
      </c>
      <c r="L251" s="4">
        <v>12</v>
      </c>
      <c r="M251" s="4">
        <v>3</v>
      </c>
      <c r="N251" s="4" t="s">
        <v>3</v>
      </c>
      <c r="O251" s="4">
        <v>2</v>
      </c>
      <c r="P251" s="4"/>
      <c r="Q251" s="4"/>
      <c r="R251" s="4"/>
      <c r="S251" s="4"/>
      <c r="T251" s="4"/>
      <c r="U251" s="4"/>
      <c r="V251" s="4"/>
      <c r="W251" s="4">
        <v>0</v>
      </c>
      <c r="X251" s="4">
        <v>1</v>
      </c>
      <c r="Y251" s="4">
        <v>0</v>
      </c>
      <c r="Z251" s="4"/>
      <c r="AA251" s="4"/>
      <c r="AB251" s="4"/>
    </row>
    <row r="252" spans="1:28" x14ac:dyDescent="0.2">
      <c r="A252" s="4">
        <v>50</v>
      </c>
      <c r="B252" s="4">
        <v>0</v>
      </c>
      <c r="C252" s="4">
        <v>0</v>
      </c>
      <c r="D252" s="4">
        <v>1</v>
      </c>
      <c r="E252" s="4">
        <v>204</v>
      </c>
      <c r="F252" s="4">
        <f>ROUND(Source!R238,O252)</f>
        <v>19.64</v>
      </c>
      <c r="G252" s="4" t="s">
        <v>121</v>
      </c>
      <c r="H252" s="4" t="s">
        <v>122</v>
      </c>
      <c r="I252" s="4"/>
      <c r="J252" s="4"/>
      <c r="K252" s="4">
        <v>204</v>
      </c>
      <c r="L252" s="4">
        <v>13</v>
      </c>
      <c r="M252" s="4">
        <v>3</v>
      </c>
      <c r="N252" s="4" t="s">
        <v>3</v>
      </c>
      <c r="O252" s="4">
        <v>2</v>
      </c>
      <c r="P252" s="4"/>
      <c r="Q252" s="4"/>
      <c r="R252" s="4"/>
      <c r="S252" s="4"/>
      <c r="T252" s="4"/>
      <c r="U252" s="4"/>
      <c r="V252" s="4"/>
      <c r="W252" s="4">
        <v>19.64</v>
      </c>
      <c r="X252" s="4">
        <v>1</v>
      </c>
      <c r="Y252" s="4">
        <v>19.64</v>
      </c>
      <c r="Z252" s="4"/>
      <c r="AA252" s="4"/>
      <c r="AB252" s="4"/>
    </row>
    <row r="253" spans="1:28" x14ac:dyDescent="0.2">
      <c r="A253" s="4">
        <v>50</v>
      </c>
      <c r="B253" s="4">
        <v>0</v>
      </c>
      <c r="C253" s="4">
        <v>0</v>
      </c>
      <c r="D253" s="4">
        <v>1</v>
      </c>
      <c r="E253" s="4">
        <v>205</v>
      </c>
      <c r="F253" s="4">
        <f>ROUND(Source!S238,O253)</f>
        <v>125950.26</v>
      </c>
      <c r="G253" s="4" t="s">
        <v>123</v>
      </c>
      <c r="H253" s="4" t="s">
        <v>124</v>
      </c>
      <c r="I253" s="4"/>
      <c r="J253" s="4"/>
      <c r="K253" s="4">
        <v>205</v>
      </c>
      <c r="L253" s="4">
        <v>14</v>
      </c>
      <c r="M253" s="4">
        <v>3</v>
      </c>
      <c r="N253" s="4" t="s">
        <v>3</v>
      </c>
      <c r="O253" s="4">
        <v>2</v>
      </c>
      <c r="P253" s="4"/>
      <c r="Q253" s="4"/>
      <c r="R253" s="4"/>
      <c r="S253" s="4"/>
      <c r="T253" s="4"/>
      <c r="U253" s="4"/>
      <c r="V253" s="4"/>
      <c r="W253" s="4">
        <v>125950.26</v>
      </c>
      <c r="X253" s="4">
        <v>1</v>
      </c>
      <c r="Y253" s="4">
        <v>125950.26</v>
      </c>
      <c r="Z253" s="4"/>
      <c r="AA253" s="4"/>
      <c r="AB253" s="4"/>
    </row>
    <row r="254" spans="1:28" x14ac:dyDescent="0.2">
      <c r="A254" s="4">
        <v>50</v>
      </c>
      <c r="B254" s="4">
        <v>0</v>
      </c>
      <c r="C254" s="4">
        <v>0</v>
      </c>
      <c r="D254" s="4">
        <v>1</v>
      </c>
      <c r="E254" s="4">
        <v>232</v>
      </c>
      <c r="F254" s="4">
        <f>ROUND(Source!BC238,O254)</f>
        <v>0</v>
      </c>
      <c r="G254" s="4" t="s">
        <v>125</v>
      </c>
      <c r="H254" s="4" t="s">
        <v>126</v>
      </c>
      <c r="I254" s="4"/>
      <c r="J254" s="4"/>
      <c r="K254" s="4">
        <v>232</v>
      </c>
      <c r="L254" s="4">
        <v>15</v>
      </c>
      <c r="M254" s="4">
        <v>3</v>
      </c>
      <c r="N254" s="4" t="s">
        <v>3</v>
      </c>
      <c r="O254" s="4">
        <v>2</v>
      </c>
      <c r="P254" s="4"/>
      <c r="Q254" s="4"/>
      <c r="R254" s="4"/>
      <c r="S254" s="4"/>
      <c r="T254" s="4"/>
      <c r="U254" s="4"/>
      <c r="V254" s="4"/>
      <c r="W254" s="4">
        <v>0</v>
      </c>
      <c r="X254" s="4">
        <v>1</v>
      </c>
      <c r="Y254" s="4">
        <v>0</v>
      </c>
      <c r="Z254" s="4"/>
      <c r="AA254" s="4"/>
      <c r="AB254" s="4"/>
    </row>
    <row r="255" spans="1:28" x14ac:dyDescent="0.2">
      <c r="A255" s="4">
        <v>50</v>
      </c>
      <c r="B255" s="4">
        <v>0</v>
      </c>
      <c r="C255" s="4">
        <v>0</v>
      </c>
      <c r="D255" s="4">
        <v>1</v>
      </c>
      <c r="E255" s="4">
        <v>214</v>
      </c>
      <c r="F255" s="4">
        <f>ROUND(Source!AS238,O255)</f>
        <v>0</v>
      </c>
      <c r="G255" s="4" t="s">
        <v>127</v>
      </c>
      <c r="H255" s="4" t="s">
        <v>128</v>
      </c>
      <c r="I255" s="4"/>
      <c r="J255" s="4"/>
      <c r="K255" s="4">
        <v>214</v>
      </c>
      <c r="L255" s="4">
        <v>16</v>
      </c>
      <c r="M255" s="4">
        <v>3</v>
      </c>
      <c r="N255" s="4" t="s">
        <v>3</v>
      </c>
      <c r="O255" s="4">
        <v>2</v>
      </c>
      <c r="P255" s="4"/>
      <c r="Q255" s="4"/>
      <c r="R255" s="4"/>
      <c r="S255" s="4"/>
      <c r="T255" s="4"/>
      <c r="U255" s="4"/>
      <c r="V255" s="4"/>
      <c r="W255" s="4">
        <v>0</v>
      </c>
      <c r="X255" s="4">
        <v>1</v>
      </c>
      <c r="Y255" s="4">
        <v>0</v>
      </c>
      <c r="Z255" s="4"/>
      <c r="AA255" s="4"/>
      <c r="AB255" s="4"/>
    </row>
    <row r="256" spans="1:28" x14ac:dyDescent="0.2">
      <c r="A256" s="4">
        <v>50</v>
      </c>
      <c r="B256" s="4">
        <v>0</v>
      </c>
      <c r="C256" s="4">
        <v>0</v>
      </c>
      <c r="D256" s="4">
        <v>1</v>
      </c>
      <c r="E256" s="4">
        <v>215</v>
      </c>
      <c r="F256" s="4">
        <f>ROUND(Source!AT238,O256)</f>
        <v>0</v>
      </c>
      <c r="G256" s="4" t="s">
        <v>129</v>
      </c>
      <c r="H256" s="4" t="s">
        <v>130</v>
      </c>
      <c r="I256" s="4"/>
      <c r="J256" s="4"/>
      <c r="K256" s="4">
        <v>215</v>
      </c>
      <c r="L256" s="4">
        <v>17</v>
      </c>
      <c r="M256" s="4">
        <v>3</v>
      </c>
      <c r="N256" s="4" t="s">
        <v>3</v>
      </c>
      <c r="O256" s="4">
        <v>2</v>
      </c>
      <c r="P256" s="4"/>
      <c r="Q256" s="4"/>
      <c r="R256" s="4"/>
      <c r="S256" s="4"/>
      <c r="T256" s="4"/>
      <c r="U256" s="4"/>
      <c r="V256" s="4"/>
      <c r="W256" s="4">
        <v>0</v>
      </c>
      <c r="X256" s="4">
        <v>1</v>
      </c>
      <c r="Y256" s="4">
        <v>0</v>
      </c>
      <c r="Z256" s="4"/>
      <c r="AA256" s="4"/>
      <c r="AB256" s="4"/>
    </row>
    <row r="257" spans="1:28" x14ac:dyDescent="0.2">
      <c r="A257" s="4">
        <v>50</v>
      </c>
      <c r="B257" s="4">
        <v>0</v>
      </c>
      <c r="C257" s="4">
        <v>0</v>
      </c>
      <c r="D257" s="4">
        <v>1</v>
      </c>
      <c r="E257" s="4">
        <v>217</v>
      </c>
      <c r="F257" s="4">
        <f>ROUND(Source!AU238,O257)</f>
        <v>463499.61</v>
      </c>
      <c r="G257" s="4" t="s">
        <v>131</v>
      </c>
      <c r="H257" s="4" t="s">
        <v>132</v>
      </c>
      <c r="I257" s="4"/>
      <c r="J257" s="4"/>
      <c r="K257" s="4">
        <v>217</v>
      </c>
      <c r="L257" s="4">
        <v>18</v>
      </c>
      <c r="M257" s="4">
        <v>3</v>
      </c>
      <c r="N257" s="4" t="s">
        <v>3</v>
      </c>
      <c r="O257" s="4">
        <v>2</v>
      </c>
      <c r="P257" s="4"/>
      <c r="Q257" s="4"/>
      <c r="R257" s="4"/>
      <c r="S257" s="4"/>
      <c r="T257" s="4"/>
      <c r="U257" s="4"/>
      <c r="V257" s="4"/>
      <c r="W257" s="4">
        <v>463499.61</v>
      </c>
      <c r="X257" s="4">
        <v>1</v>
      </c>
      <c r="Y257" s="4">
        <v>463499.61</v>
      </c>
      <c r="Z257" s="4"/>
      <c r="AA257" s="4"/>
      <c r="AB257" s="4"/>
    </row>
    <row r="258" spans="1:28" x14ac:dyDescent="0.2">
      <c r="A258" s="4">
        <v>50</v>
      </c>
      <c r="B258" s="4">
        <v>0</v>
      </c>
      <c r="C258" s="4">
        <v>0</v>
      </c>
      <c r="D258" s="4">
        <v>1</v>
      </c>
      <c r="E258" s="4">
        <v>230</v>
      </c>
      <c r="F258" s="4">
        <f>ROUND(Source!BA238,O258)</f>
        <v>0</v>
      </c>
      <c r="G258" s="4" t="s">
        <v>133</v>
      </c>
      <c r="H258" s="4" t="s">
        <v>134</v>
      </c>
      <c r="I258" s="4"/>
      <c r="J258" s="4"/>
      <c r="K258" s="4">
        <v>230</v>
      </c>
      <c r="L258" s="4">
        <v>19</v>
      </c>
      <c r="M258" s="4">
        <v>3</v>
      </c>
      <c r="N258" s="4" t="s">
        <v>3</v>
      </c>
      <c r="O258" s="4">
        <v>2</v>
      </c>
      <c r="P258" s="4"/>
      <c r="Q258" s="4"/>
      <c r="R258" s="4"/>
      <c r="S258" s="4"/>
      <c r="T258" s="4"/>
      <c r="U258" s="4"/>
      <c r="V258" s="4"/>
      <c r="W258" s="4">
        <v>0</v>
      </c>
      <c r="X258" s="4">
        <v>1</v>
      </c>
      <c r="Y258" s="4">
        <v>0</v>
      </c>
      <c r="Z258" s="4"/>
      <c r="AA258" s="4"/>
      <c r="AB258" s="4"/>
    </row>
    <row r="259" spans="1:28" x14ac:dyDescent="0.2">
      <c r="A259" s="4">
        <v>50</v>
      </c>
      <c r="B259" s="4">
        <v>0</v>
      </c>
      <c r="C259" s="4">
        <v>0</v>
      </c>
      <c r="D259" s="4">
        <v>1</v>
      </c>
      <c r="E259" s="4">
        <v>206</v>
      </c>
      <c r="F259" s="4">
        <f>ROUND(Source!T238,O259)</f>
        <v>0</v>
      </c>
      <c r="G259" s="4" t="s">
        <v>135</v>
      </c>
      <c r="H259" s="4" t="s">
        <v>136</v>
      </c>
      <c r="I259" s="4"/>
      <c r="J259" s="4"/>
      <c r="K259" s="4">
        <v>206</v>
      </c>
      <c r="L259" s="4">
        <v>20</v>
      </c>
      <c r="M259" s="4">
        <v>3</v>
      </c>
      <c r="N259" s="4" t="s">
        <v>3</v>
      </c>
      <c r="O259" s="4">
        <v>2</v>
      </c>
      <c r="P259" s="4"/>
      <c r="Q259" s="4"/>
      <c r="R259" s="4"/>
      <c r="S259" s="4"/>
      <c r="T259" s="4"/>
      <c r="U259" s="4"/>
      <c r="V259" s="4"/>
      <c r="W259" s="4">
        <v>0</v>
      </c>
      <c r="X259" s="4">
        <v>1</v>
      </c>
      <c r="Y259" s="4">
        <v>0</v>
      </c>
      <c r="Z259" s="4"/>
      <c r="AA259" s="4"/>
      <c r="AB259" s="4"/>
    </row>
    <row r="260" spans="1:28" x14ac:dyDescent="0.2">
      <c r="A260" s="4">
        <v>50</v>
      </c>
      <c r="B260" s="4">
        <v>0</v>
      </c>
      <c r="C260" s="4">
        <v>0</v>
      </c>
      <c r="D260" s="4">
        <v>1</v>
      </c>
      <c r="E260" s="4">
        <v>207</v>
      </c>
      <c r="F260" s="4">
        <f>Source!U238</f>
        <v>299.18309999999997</v>
      </c>
      <c r="G260" s="4" t="s">
        <v>137</v>
      </c>
      <c r="H260" s="4" t="s">
        <v>138</v>
      </c>
      <c r="I260" s="4"/>
      <c r="J260" s="4"/>
      <c r="K260" s="4">
        <v>207</v>
      </c>
      <c r="L260" s="4">
        <v>21</v>
      </c>
      <c r="M260" s="4">
        <v>3</v>
      </c>
      <c r="N260" s="4" t="s">
        <v>3</v>
      </c>
      <c r="O260" s="4">
        <v>-1</v>
      </c>
      <c r="P260" s="4"/>
      <c r="Q260" s="4"/>
      <c r="R260" s="4"/>
      <c r="S260" s="4"/>
      <c r="T260" s="4"/>
      <c r="U260" s="4"/>
      <c r="V260" s="4"/>
      <c r="W260" s="4">
        <v>299.18309999999997</v>
      </c>
      <c r="X260" s="4">
        <v>1</v>
      </c>
      <c r="Y260" s="4">
        <v>299.18309999999997</v>
      </c>
      <c r="Z260" s="4"/>
      <c r="AA260" s="4"/>
      <c r="AB260" s="4"/>
    </row>
    <row r="261" spans="1:28" x14ac:dyDescent="0.2">
      <c r="A261" s="4">
        <v>50</v>
      </c>
      <c r="B261" s="4">
        <v>0</v>
      </c>
      <c r="C261" s="4">
        <v>0</v>
      </c>
      <c r="D261" s="4">
        <v>1</v>
      </c>
      <c r="E261" s="4">
        <v>208</v>
      </c>
      <c r="F261" s="4">
        <f>Source!V238</f>
        <v>0</v>
      </c>
      <c r="G261" s="4" t="s">
        <v>139</v>
      </c>
      <c r="H261" s="4" t="s">
        <v>140</v>
      </c>
      <c r="I261" s="4"/>
      <c r="J261" s="4"/>
      <c r="K261" s="4">
        <v>208</v>
      </c>
      <c r="L261" s="4">
        <v>22</v>
      </c>
      <c r="M261" s="4">
        <v>3</v>
      </c>
      <c r="N261" s="4" t="s">
        <v>3</v>
      </c>
      <c r="O261" s="4">
        <v>-1</v>
      </c>
      <c r="P261" s="4"/>
      <c r="Q261" s="4"/>
      <c r="R261" s="4"/>
      <c r="S261" s="4"/>
      <c r="T261" s="4"/>
      <c r="U261" s="4"/>
      <c r="V261" s="4"/>
      <c r="W261" s="4">
        <v>0</v>
      </c>
      <c r="X261" s="4">
        <v>1</v>
      </c>
      <c r="Y261" s="4">
        <v>0</v>
      </c>
      <c r="Z261" s="4"/>
      <c r="AA261" s="4"/>
      <c r="AB261" s="4"/>
    </row>
    <row r="262" spans="1:28" x14ac:dyDescent="0.2">
      <c r="A262" s="4">
        <v>50</v>
      </c>
      <c r="B262" s="4">
        <v>0</v>
      </c>
      <c r="C262" s="4">
        <v>0</v>
      </c>
      <c r="D262" s="4">
        <v>1</v>
      </c>
      <c r="E262" s="4">
        <v>209</v>
      </c>
      <c r="F262" s="4">
        <f>ROUND(Source!W238,O262)</f>
        <v>0</v>
      </c>
      <c r="G262" s="4" t="s">
        <v>141</v>
      </c>
      <c r="H262" s="4" t="s">
        <v>142</v>
      </c>
      <c r="I262" s="4"/>
      <c r="J262" s="4"/>
      <c r="K262" s="4">
        <v>209</v>
      </c>
      <c r="L262" s="4">
        <v>23</v>
      </c>
      <c r="M262" s="4">
        <v>3</v>
      </c>
      <c r="N262" s="4" t="s">
        <v>3</v>
      </c>
      <c r="O262" s="4">
        <v>2</v>
      </c>
      <c r="P262" s="4"/>
      <c r="Q262" s="4"/>
      <c r="R262" s="4"/>
      <c r="S262" s="4"/>
      <c r="T262" s="4"/>
      <c r="U262" s="4"/>
      <c r="V262" s="4"/>
      <c r="W262" s="4">
        <v>0</v>
      </c>
      <c r="X262" s="4">
        <v>1</v>
      </c>
      <c r="Y262" s="4">
        <v>0</v>
      </c>
      <c r="Z262" s="4"/>
      <c r="AA262" s="4"/>
      <c r="AB262" s="4"/>
    </row>
    <row r="263" spans="1:28" x14ac:dyDescent="0.2">
      <c r="A263" s="4">
        <v>50</v>
      </c>
      <c r="B263" s="4">
        <v>0</v>
      </c>
      <c r="C263" s="4">
        <v>0</v>
      </c>
      <c r="D263" s="4">
        <v>1</v>
      </c>
      <c r="E263" s="4">
        <v>233</v>
      </c>
      <c r="F263" s="4">
        <f>ROUND(Source!BD238,O263)</f>
        <v>0</v>
      </c>
      <c r="G263" s="4" t="s">
        <v>143</v>
      </c>
      <c r="H263" s="4" t="s">
        <v>144</v>
      </c>
      <c r="I263" s="4"/>
      <c r="J263" s="4"/>
      <c r="K263" s="4">
        <v>233</v>
      </c>
      <c r="L263" s="4">
        <v>24</v>
      </c>
      <c r="M263" s="4">
        <v>3</v>
      </c>
      <c r="N263" s="4" t="s">
        <v>3</v>
      </c>
      <c r="O263" s="4">
        <v>2</v>
      </c>
      <c r="P263" s="4"/>
      <c r="Q263" s="4"/>
      <c r="R263" s="4"/>
      <c r="S263" s="4"/>
      <c r="T263" s="4"/>
      <c r="U263" s="4"/>
      <c r="V263" s="4"/>
      <c r="W263" s="4">
        <v>0</v>
      </c>
      <c r="X263" s="4">
        <v>1</v>
      </c>
      <c r="Y263" s="4">
        <v>0</v>
      </c>
      <c r="Z263" s="4"/>
      <c r="AA263" s="4"/>
      <c r="AB263" s="4"/>
    </row>
    <row r="264" spans="1:28" x14ac:dyDescent="0.2">
      <c r="A264" s="4">
        <v>50</v>
      </c>
      <c r="B264" s="4">
        <v>0</v>
      </c>
      <c r="C264" s="4">
        <v>0</v>
      </c>
      <c r="D264" s="4">
        <v>1</v>
      </c>
      <c r="E264" s="4">
        <v>210</v>
      </c>
      <c r="F264" s="4">
        <f>ROUND(Source!X238,O264)</f>
        <v>88165.18</v>
      </c>
      <c r="G264" s="4" t="s">
        <v>145</v>
      </c>
      <c r="H264" s="4" t="s">
        <v>146</v>
      </c>
      <c r="I264" s="4"/>
      <c r="J264" s="4"/>
      <c r="K264" s="4">
        <v>210</v>
      </c>
      <c r="L264" s="4">
        <v>25</v>
      </c>
      <c r="M264" s="4">
        <v>3</v>
      </c>
      <c r="N264" s="4" t="s">
        <v>3</v>
      </c>
      <c r="O264" s="4">
        <v>2</v>
      </c>
      <c r="P264" s="4"/>
      <c r="Q264" s="4"/>
      <c r="R264" s="4"/>
      <c r="S264" s="4"/>
      <c r="T264" s="4"/>
      <c r="U264" s="4"/>
      <c r="V264" s="4"/>
      <c r="W264" s="4">
        <v>88165.18</v>
      </c>
      <c r="X264" s="4">
        <v>1</v>
      </c>
      <c r="Y264" s="4">
        <v>88165.18</v>
      </c>
      <c r="Z264" s="4"/>
      <c r="AA264" s="4"/>
      <c r="AB264" s="4"/>
    </row>
    <row r="265" spans="1:28" x14ac:dyDescent="0.2">
      <c r="A265" s="4">
        <v>50</v>
      </c>
      <c r="B265" s="4">
        <v>0</v>
      </c>
      <c r="C265" s="4">
        <v>0</v>
      </c>
      <c r="D265" s="4">
        <v>1</v>
      </c>
      <c r="E265" s="4">
        <v>211</v>
      </c>
      <c r="F265" s="4">
        <f>ROUND(Source!Y238,O265)</f>
        <v>12595.03</v>
      </c>
      <c r="G265" s="4" t="s">
        <v>147</v>
      </c>
      <c r="H265" s="4" t="s">
        <v>148</v>
      </c>
      <c r="I265" s="4"/>
      <c r="J265" s="4"/>
      <c r="K265" s="4">
        <v>211</v>
      </c>
      <c r="L265" s="4">
        <v>26</v>
      </c>
      <c r="M265" s="4">
        <v>3</v>
      </c>
      <c r="N265" s="4" t="s">
        <v>3</v>
      </c>
      <c r="O265" s="4">
        <v>2</v>
      </c>
      <c r="P265" s="4"/>
      <c r="Q265" s="4"/>
      <c r="R265" s="4"/>
      <c r="S265" s="4"/>
      <c r="T265" s="4"/>
      <c r="U265" s="4"/>
      <c r="V265" s="4"/>
      <c r="W265" s="4">
        <v>12595.03</v>
      </c>
      <c r="X265" s="4">
        <v>1</v>
      </c>
      <c r="Y265" s="4">
        <v>12595.03</v>
      </c>
      <c r="Z265" s="4"/>
      <c r="AA265" s="4"/>
      <c r="AB265" s="4"/>
    </row>
    <row r="266" spans="1:28" x14ac:dyDescent="0.2">
      <c r="A266" s="4">
        <v>50</v>
      </c>
      <c r="B266" s="4">
        <v>0</v>
      </c>
      <c r="C266" s="4">
        <v>0</v>
      </c>
      <c r="D266" s="4">
        <v>1</v>
      </c>
      <c r="E266" s="4">
        <v>224</v>
      </c>
      <c r="F266" s="4">
        <f>ROUND(Source!AR238,O266)</f>
        <v>463499.61</v>
      </c>
      <c r="G266" s="4" t="s">
        <v>149</v>
      </c>
      <c r="H266" s="4" t="s">
        <v>150</v>
      </c>
      <c r="I266" s="4"/>
      <c r="J266" s="4"/>
      <c r="K266" s="4">
        <v>224</v>
      </c>
      <c r="L266" s="4">
        <v>27</v>
      </c>
      <c r="M266" s="4">
        <v>3</v>
      </c>
      <c r="N266" s="4" t="s">
        <v>3</v>
      </c>
      <c r="O266" s="4">
        <v>2</v>
      </c>
      <c r="P266" s="4"/>
      <c r="Q266" s="4"/>
      <c r="R266" s="4"/>
      <c r="S266" s="4"/>
      <c r="T266" s="4"/>
      <c r="U266" s="4"/>
      <c r="V266" s="4"/>
      <c r="W266" s="4">
        <v>463499.61</v>
      </c>
      <c r="X266" s="4">
        <v>1</v>
      </c>
      <c r="Y266" s="4">
        <v>463499.61</v>
      </c>
      <c r="Z266" s="4"/>
      <c r="AA266" s="4"/>
      <c r="AB266" s="4"/>
    </row>
    <row r="267" spans="1:28" x14ac:dyDescent="0.2">
      <c r="A267" s="4">
        <v>50</v>
      </c>
      <c r="B267" s="4">
        <v>1</v>
      </c>
      <c r="C267" s="4">
        <v>0</v>
      </c>
      <c r="D267" s="4">
        <v>2</v>
      </c>
      <c r="E267" s="4">
        <v>0</v>
      </c>
      <c r="F267" s="4">
        <f>ROUND(F266*0.2,O267)</f>
        <v>92699.92</v>
      </c>
      <c r="G267" s="4" t="s">
        <v>16</v>
      </c>
      <c r="H267" s="4" t="s">
        <v>247</v>
      </c>
      <c r="I267" s="4"/>
      <c r="J267" s="4"/>
      <c r="K267" s="4">
        <v>212</v>
      </c>
      <c r="L267" s="4">
        <v>28</v>
      </c>
      <c r="M267" s="4">
        <v>0</v>
      </c>
      <c r="N267" s="4" t="s">
        <v>3</v>
      </c>
      <c r="O267" s="4">
        <v>2</v>
      </c>
      <c r="P267" s="4"/>
      <c r="Q267" s="4"/>
      <c r="R267" s="4"/>
      <c r="S267" s="4"/>
      <c r="T267" s="4"/>
      <c r="U267" s="4"/>
      <c r="V267" s="4"/>
      <c r="W267" s="4">
        <v>92699.92</v>
      </c>
      <c r="X267" s="4">
        <v>1</v>
      </c>
      <c r="Y267" s="4">
        <v>92699.92</v>
      </c>
      <c r="Z267" s="4"/>
      <c r="AA267" s="4"/>
      <c r="AB267" s="4"/>
    </row>
    <row r="268" spans="1:28" x14ac:dyDescent="0.2">
      <c r="A268" s="4">
        <v>50</v>
      </c>
      <c r="B268" s="4">
        <v>1</v>
      </c>
      <c r="C268" s="4">
        <v>0</v>
      </c>
      <c r="D268" s="4">
        <v>2</v>
      </c>
      <c r="E268" s="4">
        <v>0</v>
      </c>
      <c r="F268" s="4">
        <f>ROUND(F266*1.2,O268)</f>
        <v>556199.53</v>
      </c>
      <c r="G268" s="4" t="s">
        <v>40</v>
      </c>
      <c r="H268" s="4" t="s">
        <v>248</v>
      </c>
      <c r="I268" s="4"/>
      <c r="J268" s="4"/>
      <c r="K268" s="4">
        <v>212</v>
      </c>
      <c r="L268" s="4">
        <v>29</v>
      </c>
      <c r="M268" s="4">
        <v>0</v>
      </c>
      <c r="N268" s="4" t="s">
        <v>3</v>
      </c>
      <c r="O268" s="4">
        <v>2</v>
      </c>
      <c r="P268" s="4"/>
      <c r="Q268" s="4"/>
      <c r="R268" s="4"/>
      <c r="S268" s="4"/>
      <c r="T268" s="4"/>
      <c r="U268" s="4"/>
      <c r="V268" s="4"/>
      <c r="W268" s="4">
        <v>556199.53</v>
      </c>
      <c r="X268" s="4">
        <v>1</v>
      </c>
      <c r="Y268" s="4">
        <v>556199.53</v>
      </c>
      <c r="Z268" s="4"/>
      <c r="AA268" s="4"/>
      <c r="AB268" s="4"/>
    </row>
    <row r="270" spans="1:28" x14ac:dyDescent="0.2">
      <c r="A270" s="5">
        <v>61</v>
      </c>
      <c r="B270" s="5"/>
      <c r="C270" s="5"/>
      <c r="D270" s="5"/>
      <c r="E270" s="5"/>
      <c r="F270" s="5">
        <v>0</v>
      </c>
      <c r="G270" s="5" t="s">
        <v>249</v>
      </c>
      <c r="H270" s="5" t="s">
        <v>250</v>
      </c>
    </row>
    <row r="271" spans="1:28" x14ac:dyDescent="0.2">
      <c r="A271" s="5">
        <v>61</v>
      </c>
      <c r="B271" s="5"/>
      <c r="C271" s="5"/>
      <c r="D271" s="5"/>
      <c r="E271" s="5"/>
      <c r="F271" s="5">
        <v>12</v>
      </c>
      <c r="G271" s="5" t="s">
        <v>251</v>
      </c>
      <c r="H271" s="5" t="s">
        <v>250</v>
      </c>
    </row>
    <row r="274" spans="1:15" x14ac:dyDescent="0.2">
      <c r="A274">
        <v>-1</v>
      </c>
    </row>
    <row r="276" spans="1:15" x14ac:dyDescent="0.2">
      <c r="A276" s="3">
        <v>75</v>
      </c>
      <c r="B276" s="3" t="s">
        <v>252</v>
      </c>
      <c r="C276" s="3">
        <v>2025</v>
      </c>
      <c r="D276" s="3">
        <v>1</v>
      </c>
      <c r="E276" s="3">
        <v>0</v>
      </c>
      <c r="F276" s="3"/>
      <c r="G276" s="3">
        <v>0</v>
      </c>
      <c r="H276" s="3">
        <v>1</v>
      </c>
      <c r="I276" s="3">
        <v>0</v>
      </c>
      <c r="J276" s="3">
        <v>1</v>
      </c>
      <c r="K276" s="3">
        <v>95</v>
      </c>
      <c r="L276" s="3">
        <v>65</v>
      </c>
      <c r="M276" s="3">
        <v>0</v>
      </c>
      <c r="N276" s="3">
        <v>78131199</v>
      </c>
      <c r="O276" s="3">
        <v>1</v>
      </c>
    </row>
    <row r="280" spans="1:15" x14ac:dyDescent="0.2">
      <c r="A280">
        <v>65</v>
      </c>
      <c r="C280">
        <v>1</v>
      </c>
      <c r="D280">
        <v>0</v>
      </c>
      <c r="E280">
        <v>245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C53"/>
  <sheetViews>
    <sheetView workbookViewId="0"/>
  </sheetViews>
  <sheetFormatPr defaultColWidth="9.140625" defaultRowHeight="12.75" x14ac:dyDescent="0.2"/>
  <cols>
    <col min="1" max="256" width="9.140625" customWidth="1"/>
  </cols>
  <sheetData>
    <row r="1" spans="1:133" x14ac:dyDescent="0.2">
      <c r="A1">
        <v>0</v>
      </c>
      <c r="B1" t="s">
        <v>0</v>
      </c>
      <c r="D1" t="s">
        <v>253</v>
      </c>
      <c r="F1">
        <v>0</v>
      </c>
      <c r="G1">
        <v>0</v>
      </c>
      <c r="H1">
        <v>0</v>
      </c>
      <c r="I1" t="s">
        <v>2</v>
      </c>
      <c r="J1" t="s">
        <v>3</v>
      </c>
      <c r="K1">
        <v>0</v>
      </c>
      <c r="L1">
        <v>31353</v>
      </c>
      <c r="M1">
        <v>10</v>
      </c>
      <c r="N1">
        <v>11</v>
      </c>
      <c r="O1">
        <v>11</v>
      </c>
      <c r="P1">
        <v>0</v>
      </c>
      <c r="Q1">
        <v>3</v>
      </c>
    </row>
    <row r="12" spans="1:133" x14ac:dyDescent="0.2">
      <c r="A12" s="1">
        <v>1</v>
      </c>
      <c r="B12" s="1">
        <v>53</v>
      </c>
      <c r="C12" s="1">
        <v>0</v>
      </c>
      <c r="D12" s="1"/>
      <c r="E12" s="1">
        <v>0</v>
      </c>
      <c r="F12" s="1" t="s">
        <v>3</v>
      </c>
      <c r="G12" s="1" t="s">
        <v>4</v>
      </c>
      <c r="H12" s="1" t="s">
        <v>3</v>
      </c>
      <c r="I12" s="1">
        <v>0</v>
      </c>
      <c r="J12" s="1" t="s">
        <v>3</v>
      </c>
      <c r="K12" s="1">
        <v>0</v>
      </c>
      <c r="L12" s="1">
        <v>0</v>
      </c>
      <c r="M12" s="1">
        <v>2</v>
      </c>
      <c r="N12" s="1"/>
      <c r="O12" s="1">
        <v>0</v>
      </c>
      <c r="P12" s="1">
        <v>0</v>
      </c>
      <c r="Q12" s="1">
        <v>0</v>
      </c>
      <c r="R12" s="1">
        <v>160</v>
      </c>
      <c r="S12" s="1"/>
      <c r="T12" s="1">
        <v>1</v>
      </c>
      <c r="U12" s="1" t="s">
        <v>3</v>
      </c>
      <c r="V12" s="1">
        <v>0</v>
      </c>
      <c r="W12" s="1" t="s">
        <v>3</v>
      </c>
      <c r="X12" s="1" t="s">
        <v>3</v>
      </c>
      <c r="Y12" s="1" t="s">
        <v>3</v>
      </c>
      <c r="Z12" s="1" t="s">
        <v>3</v>
      </c>
      <c r="AA12" s="1" t="s">
        <v>3</v>
      </c>
      <c r="AB12" s="1" t="s">
        <v>3</v>
      </c>
      <c r="AC12" s="1" t="s">
        <v>3</v>
      </c>
      <c r="AD12" s="1" t="s">
        <v>3</v>
      </c>
      <c r="AE12" s="1" t="s">
        <v>3</v>
      </c>
      <c r="AF12" s="1" t="s">
        <v>3</v>
      </c>
      <c r="AG12" s="1" t="s">
        <v>3</v>
      </c>
      <c r="AH12" s="1" t="s">
        <v>3</v>
      </c>
      <c r="AI12" s="1" t="s">
        <v>3</v>
      </c>
      <c r="AJ12" s="1" t="s">
        <v>3</v>
      </c>
      <c r="AK12" s="1"/>
      <c r="AL12" s="1" t="s">
        <v>3</v>
      </c>
      <c r="AM12" s="1" t="s">
        <v>3</v>
      </c>
      <c r="AN12" s="1" t="s">
        <v>3</v>
      </c>
      <c r="AO12" s="1"/>
      <c r="AP12" s="1" t="s">
        <v>3</v>
      </c>
      <c r="AQ12" s="1" t="s">
        <v>3</v>
      </c>
      <c r="AR12" s="1" t="s">
        <v>3</v>
      </c>
      <c r="AS12" s="1"/>
      <c r="AT12" s="1"/>
      <c r="AU12" s="1"/>
      <c r="AV12" s="1"/>
      <c r="AW12" s="1"/>
      <c r="AX12" s="1" t="s">
        <v>3</v>
      </c>
      <c r="AY12" s="1" t="s">
        <v>3</v>
      </c>
      <c r="AZ12" s="1" t="s">
        <v>3</v>
      </c>
      <c r="BA12" s="1"/>
      <c r="BB12" s="1">
        <v>0</v>
      </c>
      <c r="BC12" s="1"/>
      <c r="BD12" s="1"/>
      <c r="BE12" s="1"/>
      <c r="BF12" s="1"/>
      <c r="BG12" s="1"/>
      <c r="BH12" s="1" t="s">
        <v>5</v>
      </c>
      <c r="BI12" s="1" t="s">
        <v>6</v>
      </c>
      <c r="BJ12" s="1">
        <v>1</v>
      </c>
      <c r="BK12" s="1">
        <v>1</v>
      </c>
      <c r="BL12" s="1">
        <v>0</v>
      </c>
      <c r="BM12" s="1">
        <v>0</v>
      </c>
      <c r="BN12" s="1">
        <v>1</v>
      </c>
      <c r="BO12" s="1">
        <v>0</v>
      </c>
      <c r="BP12" s="1">
        <v>6</v>
      </c>
      <c r="BQ12" s="1">
        <v>2</v>
      </c>
      <c r="BR12" s="1">
        <v>1</v>
      </c>
      <c r="BS12" s="1">
        <v>1</v>
      </c>
      <c r="BT12" s="1">
        <v>1</v>
      </c>
      <c r="BU12" s="1">
        <v>0</v>
      </c>
      <c r="BV12" s="1">
        <v>1</v>
      </c>
      <c r="BW12" s="1">
        <v>1</v>
      </c>
      <c r="BX12" s="1">
        <v>0</v>
      </c>
      <c r="BY12" s="1" t="s">
        <v>7</v>
      </c>
      <c r="BZ12" s="1" t="s">
        <v>8</v>
      </c>
      <c r="CA12" s="1" t="s">
        <v>9</v>
      </c>
      <c r="CB12" s="1" t="s">
        <v>9</v>
      </c>
      <c r="CC12" s="1" t="s">
        <v>9</v>
      </c>
      <c r="CD12" s="1" t="s">
        <v>9</v>
      </c>
      <c r="CE12" s="1" t="s">
        <v>10</v>
      </c>
      <c r="CF12" s="1">
        <v>0</v>
      </c>
      <c r="CG12" s="1">
        <v>0</v>
      </c>
      <c r="CH12" s="1">
        <v>10</v>
      </c>
      <c r="CI12" s="1" t="s">
        <v>3</v>
      </c>
      <c r="CJ12" s="1" t="s">
        <v>3</v>
      </c>
      <c r="CK12" s="1">
        <v>0</v>
      </c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>
        <v>0</v>
      </c>
      <c r="CZ12" s="1" t="s">
        <v>3</v>
      </c>
      <c r="DA12" s="1" t="s">
        <v>3</v>
      </c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>
        <v>0</v>
      </c>
    </row>
    <row r="14" spans="1:133" x14ac:dyDescent="0.2">
      <c r="A14" s="1">
        <v>22</v>
      </c>
      <c r="B14" s="1">
        <v>1</v>
      </c>
      <c r="C14" s="1">
        <v>0</v>
      </c>
      <c r="D14" s="1">
        <v>78131199</v>
      </c>
      <c r="E14" s="1">
        <v>0</v>
      </c>
      <c r="F14" s="1">
        <v>2</v>
      </c>
      <c r="G14" s="1">
        <v>1</v>
      </c>
      <c r="H14" s="1"/>
      <c r="I14" s="1"/>
      <c r="J14" s="1"/>
      <c r="K14" s="1"/>
      <c r="L14" s="1"/>
      <c r="M14" s="1"/>
      <c r="N14" s="1"/>
      <c r="O14" s="1"/>
    </row>
    <row r="16" spans="1:133" x14ac:dyDescent="0.2">
      <c r="A16" s="6">
        <v>3</v>
      </c>
      <c r="B16" s="6">
        <v>0</v>
      </c>
      <c r="C16" s="6" t="s">
        <v>11</v>
      </c>
      <c r="D16" s="6" t="s">
        <v>11</v>
      </c>
      <c r="E16" s="7">
        <f>ROUND((Source!F225)/1000,2)</f>
        <v>0</v>
      </c>
      <c r="F16" s="7">
        <f>ROUND((Source!F226)/1000,2)</f>
        <v>0</v>
      </c>
      <c r="G16" s="7">
        <f>ROUND((Source!F217)/1000,2)</f>
        <v>0</v>
      </c>
      <c r="H16" s="7">
        <f>ROUND((Source!F227)/1000+(Source!F228)/1000,2)</f>
        <v>463.5</v>
      </c>
      <c r="I16" s="7">
        <f>E16+F16+G16+H16</f>
        <v>463.5</v>
      </c>
      <c r="J16" s="7">
        <f>ROUND((Source!F223+Source!F222)/1000,2)</f>
        <v>125.97</v>
      </c>
      <c r="AI16" s="6">
        <v>0</v>
      </c>
      <c r="AJ16" s="6">
        <v>0</v>
      </c>
      <c r="AK16" s="6" t="s">
        <v>3</v>
      </c>
      <c r="AL16" s="6" t="s">
        <v>3</v>
      </c>
      <c r="AM16" s="6" t="s">
        <v>3</v>
      </c>
      <c r="AN16" s="6">
        <v>0</v>
      </c>
      <c r="AO16" s="6" t="s">
        <v>3</v>
      </c>
      <c r="AP16" s="6" t="s">
        <v>3</v>
      </c>
      <c r="AT16" s="7">
        <v>362707.98</v>
      </c>
      <c r="AU16" s="7">
        <v>236050.61</v>
      </c>
      <c r="AV16" s="7">
        <v>0</v>
      </c>
      <c r="AW16" s="7">
        <v>0</v>
      </c>
      <c r="AX16" s="7">
        <v>0</v>
      </c>
      <c r="AY16" s="7">
        <v>707.11</v>
      </c>
      <c r="AZ16" s="7">
        <v>19.64</v>
      </c>
      <c r="BA16" s="7">
        <v>125950.26</v>
      </c>
      <c r="BB16" s="7">
        <v>0</v>
      </c>
      <c r="BC16" s="7">
        <v>0</v>
      </c>
      <c r="BD16" s="7">
        <v>463499.61</v>
      </c>
      <c r="BE16" s="7">
        <v>0</v>
      </c>
      <c r="BF16" s="7">
        <v>299.18309999999997</v>
      </c>
      <c r="BG16" s="7">
        <v>0</v>
      </c>
      <c r="BH16" s="7">
        <v>0</v>
      </c>
      <c r="BI16" s="7">
        <v>88165.18</v>
      </c>
      <c r="BJ16" s="7">
        <v>12595.03</v>
      </c>
      <c r="BK16" s="7">
        <v>463499.61</v>
      </c>
    </row>
    <row r="18" spans="1:19" x14ac:dyDescent="0.2">
      <c r="A18">
        <v>51</v>
      </c>
      <c r="E18" s="5">
        <f>SUMIF(A16:A17,3,E16:E17)</f>
        <v>0</v>
      </c>
      <c r="F18" s="5">
        <f>SUMIF(A16:A17,3,F16:F17)</f>
        <v>0</v>
      </c>
      <c r="G18" s="5">
        <f>SUMIF(A16:A17,3,G16:G17)</f>
        <v>0</v>
      </c>
      <c r="H18" s="5">
        <f>SUMIF(A16:A17,3,H16:H17)</f>
        <v>463.5</v>
      </c>
      <c r="I18" s="5">
        <f>SUMIF(A16:A17,3,I16:I17)</f>
        <v>463.5</v>
      </c>
      <c r="J18" s="5">
        <f>SUMIF(A16:A17,3,J16:J17)</f>
        <v>125.97</v>
      </c>
      <c r="K18" s="5"/>
      <c r="L18" s="5"/>
      <c r="M18" s="5"/>
      <c r="N18" s="5"/>
      <c r="O18" s="5"/>
      <c r="P18" s="5"/>
      <c r="Q18" s="5"/>
      <c r="R18" s="5"/>
      <c r="S18" s="5"/>
    </row>
    <row r="20" spans="1:19" x14ac:dyDescent="0.2">
      <c r="A20" s="4">
        <v>50</v>
      </c>
      <c r="B20" s="4">
        <v>0</v>
      </c>
      <c r="C20" s="4">
        <v>0</v>
      </c>
      <c r="D20" s="4">
        <v>1</v>
      </c>
      <c r="E20" s="4">
        <v>201</v>
      </c>
      <c r="F20" s="4">
        <v>362707.98</v>
      </c>
      <c r="G20" s="4" t="s">
        <v>97</v>
      </c>
      <c r="H20" s="4" t="s">
        <v>98</v>
      </c>
      <c r="I20" s="4"/>
      <c r="J20" s="4"/>
      <c r="K20" s="4">
        <v>201</v>
      </c>
      <c r="L20" s="4">
        <v>1</v>
      </c>
      <c r="M20" s="4">
        <v>3</v>
      </c>
      <c r="N20" s="4" t="s">
        <v>3</v>
      </c>
      <c r="O20" s="4">
        <v>2</v>
      </c>
      <c r="P20" s="4"/>
    </row>
    <row r="21" spans="1:19" x14ac:dyDescent="0.2">
      <c r="A21" s="4">
        <v>50</v>
      </c>
      <c r="B21" s="4">
        <v>0</v>
      </c>
      <c r="C21" s="4">
        <v>0</v>
      </c>
      <c r="D21" s="4">
        <v>1</v>
      </c>
      <c r="E21" s="4">
        <v>202</v>
      </c>
      <c r="F21" s="4">
        <v>236050.61</v>
      </c>
      <c r="G21" s="4" t="s">
        <v>99</v>
      </c>
      <c r="H21" s="4" t="s">
        <v>100</v>
      </c>
      <c r="I21" s="4"/>
      <c r="J21" s="4"/>
      <c r="K21" s="4">
        <v>202</v>
      </c>
      <c r="L21" s="4">
        <v>2</v>
      </c>
      <c r="M21" s="4">
        <v>3</v>
      </c>
      <c r="N21" s="4" t="s">
        <v>3</v>
      </c>
      <c r="O21" s="4">
        <v>2</v>
      </c>
      <c r="P21" s="4"/>
    </row>
    <row r="22" spans="1:19" x14ac:dyDescent="0.2">
      <c r="A22" s="4">
        <v>50</v>
      </c>
      <c r="B22" s="4">
        <v>0</v>
      </c>
      <c r="C22" s="4">
        <v>0</v>
      </c>
      <c r="D22" s="4">
        <v>1</v>
      </c>
      <c r="E22" s="4">
        <v>222</v>
      </c>
      <c r="F22" s="4">
        <v>0</v>
      </c>
      <c r="G22" s="4" t="s">
        <v>101</v>
      </c>
      <c r="H22" s="4" t="s">
        <v>102</v>
      </c>
      <c r="I22" s="4"/>
      <c r="J22" s="4"/>
      <c r="K22" s="4">
        <v>222</v>
      </c>
      <c r="L22" s="4">
        <v>3</v>
      </c>
      <c r="M22" s="4">
        <v>3</v>
      </c>
      <c r="N22" s="4" t="s">
        <v>3</v>
      </c>
      <c r="O22" s="4">
        <v>2</v>
      </c>
      <c r="P22" s="4"/>
    </row>
    <row r="23" spans="1:19" x14ac:dyDescent="0.2">
      <c r="A23" s="4">
        <v>50</v>
      </c>
      <c r="B23" s="4">
        <v>0</v>
      </c>
      <c r="C23" s="4">
        <v>0</v>
      </c>
      <c r="D23" s="4">
        <v>1</v>
      </c>
      <c r="E23" s="4">
        <v>225</v>
      </c>
      <c r="F23" s="4">
        <v>236050.61</v>
      </c>
      <c r="G23" s="4" t="s">
        <v>103</v>
      </c>
      <c r="H23" s="4" t="s">
        <v>104</v>
      </c>
      <c r="I23" s="4"/>
      <c r="J23" s="4"/>
      <c r="K23" s="4">
        <v>225</v>
      </c>
      <c r="L23" s="4">
        <v>4</v>
      </c>
      <c r="M23" s="4">
        <v>3</v>
      </c>
      <c r="N23" s="4" t="s">
        <v>3</v>
      </c>
      <c r="O23" s="4">
        <v>2</v>
      </c>
      <c r="P23" s="4"/>
    </row>
    <row r="24" spans="1:19" x14ac:dyDescent="0.2">
      <c r="A24" s="4">
        <v>50</v>
      </c>
      <c r="B24" s="4">
        <v>0</v>
      </c>
      <c r="C24" s="4">
        <v>0</v>
      </c>
      <c r="D24" s="4">
        <v>1</v>
      </c>
      <c r="E24" s="4">
        <v>226</v>
      </c>
      <c r="F24" s="4">
        <v>236050.61</v>
      </c>
      <c r="G24" s="4" t="s">
        <v>105</v>
      </c>
      <c r="H24" s="4" t="s">
        <v>106</v>
      </c>
      <c r="I24" s="4"/>
      <c r="J24" s="4"/>
      <c r="K24" s="4">
        <v>226</v>
      </c>
      <c r="L24" s="4">
        <v>5</v>
      </c>
      <c r="M24" s="4">
        <v>3</v>
      </c>
      <c r="N24" s="4" t="s">
        <v>3</v>
      </c>
      <c r="O24" s="4">
        <v>2</v>
      </c>
      <c r="P24" s="4"/>
    </row>
    <row r="25" spans="1:19" x14ac:dyDescent="0.2">
      <c r="A25" s="4">
        <v>50</v>
      </c>
      <c r="B25" s="4">
        <v>0</v>
      </c>
      <c r="C25" s="4">
        <v>0</v>
      </c>
      <c r="D25" s="4">
        <v>1</v>
      </c>
      <c r="E25" s="4">
        <v>227</v>
      </c>
      <c r="F25" s="4">
        <v>0</v>
      </c>
      <c r="G25" s="4" t="s">
        <v>107</v>
      </c>
      <c r="H25" s="4" t="s">
        <v>108</v>
      </c>
      <c r="I25" s="4"/>
      <c r="J25" s="4"/>
      <c r="K25" s="4">
        <v>227</v>
      </c>
      <c r="L25" s="4">
        <v>6</v>
      </c>
      <c r="M25" s="4">
        <v>3</v>
      </c>
      <c r="N25" s="4" t="s">
        <v>3</v>
      </c>
      <c r="O25" s="4">
        <v>2</v>
      </c>
      <c r="P25" s="4"/>
    </row>
    <row r="26" spans="1:19" x14ac:dyDescent="0.2">
      <c r="A26" s="4">
        <v>50</v>
      </c>
      <c r="B26" s="4">
        <v>0</v>
      </c>
      <c r="C26" s="4">
        <v>0</v>
      </c>
      <c r="D26" s="4">
        <v>1</v>
      </c>
      <c r="E26" s="4">
        <v>228</v>
      </c>
      <c r="F26" s="4">
        <v>236050.61</v>
      </c>
      <c r="G26" s="4" t="s">
        <v>109</v>
      </c>
      <c r="H26" s="4" t="s">
        <v>110</v>
      </c>
      <c r="I26" s="4"/>
      <c r="J26" s="4"/>
      <c r="K26" s="4">
        <v>228</v>
      </c>
      <c r="L26" s="4">
        <v>7</v>
      </c>
      <c r="M26" s="4">
        <v>3</v>
      </c>
      <c r="N26" s="4" t="s">
        <v>3</v>
      </c>
      <c r="O26" s="4">
        <v>2</v>
      </c>
      <c r="P26" s="4"/>
    </row>
    <row r="27" spans="1:19" x14ac:dyDescent="0.2">
      <c r="A27" s="4">
        <v>50</v>
      </c>
      <c r="B27" s="4">
        <v>0</v>
      </c>
      <c r="C27" s="4">
        <v>0</v>
      </c>
      <c r="D27" s="4">
        <v>1</v>
      </c>
      <c r="E27" s="4">
        <v>216</v>
      </c>
      <c r="F27" s="4">
        <v>0</v>
      </c>
      <c r="G27" s="4" t="s">
        <v>111</v>
      </c>
      <c r="H27" s="4" t="s">
        <v>112</v>
      </c>
      <c r="I27" s="4"/>
      <c r="J27" s="4"/>
      <c r="K27" s="4">
        <v>216</v>
      </c>
      <c r="L27" s="4">
        <v>8</v>
      </c>
      <c r="M27" s="4">
        <v>3</v>
      </c>
      <c r="N27" s="4" t="s">
        <v>3</v>
      </c>
      <c r="O27" s="4">
        <v>2</v>
      </c>
      <c r="P27" s="4"/>
    </row>
    <row r="28" spans="1:19" x14ac:dyDescent="0.2">
      <c r="A28" s="4">
        <v>50</v>
      </c>
      <c r="B28" s="4">
        <v>0</v>
      </c>
      <c r="C28" s="4">
        <v>0</v>
      </c>
      <c r="D28" s="4">
        <v>1</v>
      </c>
      <c r="E28" s="4">
        <v>223</v>
      </c>
      <c r="F28" s="4">
        <v>0</v>
      </c>
      <c r="G28" s="4" t="s">
        <v>113</v>
      </c>
      <c r="H28" s="4" t="s">
        <v>114</v>
      </c>
      <c r="I28" s="4"/>
      <c r="J28" s="4"/>
      <c r="K28" s="4">
        <v>223</v>
      </c>
      <c r="L28" s="4">
        <v>9</v>
      </c>
      <c r="M28" s="4">
        <v>3</v>
      </c>
      <c r="N28" s="4" t="s">
        <v>3</v>
      </c>
      <c r="O28" s="4">
        <v>2</v>
      </c>
      <c r="P28" s="4"/>
    </row>
    <row r="29" spans="1:19" x14ac:dyDescent="0.2">
      <c r="A29" s="4">
        <v>50</v>
      </c>
      <c r="B29" s="4">
        <v>0</v>
      </c>
      <c r="C29" s="4">
        <v>0</v>
      </c>
      <c r="D29" s="4">
        <v>1</v>
      </c>
      <c r="E29" s="4">
        <v>229</v>
      </c>
      <c r="F29" s="4">
        <v>0</v>
      </c>
      <c r="G29" s="4" t="s">
        <v>115</v>
      </c>
      <c r="H29" s="4" t="s">
        <v>116</v>
      </c>
      <c r="I29" s="4"/>
      <c r="J29" s="4"/>
      <c r="K29" s="4">
        <v>229</v>
      </c>
      <c r="L29" s="4">
        <v>10</v>
      </c>
      <c r="M29" s="4">
        <v>3</v>
      </c>
      <c r="N29" s="4" t="s">
        <v>3</v>
      </c>
      <c r="O29" s="4">
        <v>2</v>
      </c>
      <c r="P29" s="4"/>
    </row>
    <row r="30" spans="1:19" x14ac:dyDescent="0.2">
      <c r="A30" s="4">
        <v>50</v>
      </c>
      <c r="B30" s="4">
        <v>0</v>
      </c>
      <c r="C30" s="4">
        <v>0</v>
      </c>
      <c r="D30" s="4">
        <v>1</v>
      </c>
      <c r="E30" s="4">
        <v>203</v>
      </c>
      <c r="F30" s="4">
        <v>707.11</v>
      </c>
      <c r="G30" s="4" t="s">
        <v>117</v>
      </c>
      <c r="H30" s="4" t="s">
        <v>118</v>
      </c>
      <c r="I30" s="4"/>
      <c r="J30" s="4"/>
      <c r="K30" s="4">
        <v>203</v>
      </c>
      <c r="L30" s="4">
        <v>11</v>
      </c>
      <c r="M30" s="4">
        <v>3</v>
      </c>
      <c r="N30" s="4" t="s">
        <v>3</v>
      </c>
      <c r="O30" s="4">
        <v>2</v>
      </c>
      <c r="P30" s="4"/>
    </row>
    <row r="31" spans="1:19" x14ac:dyDescent="0.2">
      <c r="A31" s="4">
        <v>50</v>
      </c>
      <c r="B31" s="4">
        <v>0</v>
      </c>
      <c r="C31" s="4">
        <v>0</v>
      </c>
      <c r="D31" s="4">
        <v>1</v>
      </c>
      <c r="E31" s="4">
        <v>231</v>
      </c>
      <c r="F31" s="4">
        <v>0</v>
      </c>
      <c r="G31" s="4" t="s">
        <v>119</v>
      </c>
      <c r="H31" s="4" t="s">
        <v>120</v>
      </c>
      <c r="I31" s="4"/>
      <c r="J31" s="4"/>
      <c r="K31" s="4">
        <v>231</v>
      </c>
      <c r="L31" s="4">
        <v>12</v>
      </c>
      <c r="M31" s="4">
        <v>3</v>
      </c>
      <c r="N31" s="4" t="s">
        <v>3</v>
      </c>
      <c r="O31" s="4">
        <v>2</v>
      </c>
      <c r="P31" s="4"/>
    </row>
    <row r="32" spans="1:19" x14ac:dyDescent="0.2">
      <c r="A32" s="4">
        <v>50</v>
      </c>
      <c r="B32" s="4">
        <v>0</v>
      </c>
      <c r="C32" s="4">
        <v>0</v>
      </c>
      <c r="D32" s="4">
        <v>1</v>
      </c>
      <c r="E32" s="4">
        <v>204</v>
      </c>
      <c r="F32" s="4">
        <v>19.64</v>
      </c>
      <c r="G32" s="4" t="s">
        <v>121</v>
      </c>
      <c r="H32" s="4" t="s">
        <v>122</v>
      </c>
      <c r="I32" s="4"/>
      <c r="J32" s="4"/>
      <c r="K32" s="4">
        <v>204</v>
      </c>
      <c r="L32" s="4">
        <v>13</v>
      </c>
      <c r="M32" s="4">
        <v>3</v>
      </c>
      <c r="N32" s="4" t="s">
        <v>3</v>
      </c>
      <c r="O32" s="4">
        <v>2</v>
      </c>
      <c r="P32" s="4"/>
    </row>
    <row r="33" spans="1:16" x14ac:dyDescent="0.2">
      <c r="A33" s="4">
        <v>50</v>
      </c>
      <c r="B33" s="4">
        <v>0</v>
      </c>
      <c r="C33" s="4">
        <v>0</v>
      </c>
      <c r="D33" s="4">
        <v>1</v>
      </c>
      <c r="E33" s="4">
        <v>205</v>
      </c>
      <c r="F33" s="4">
        <v>125950.26</v>
      </c>
      <c r="G33" s="4" t="s">
        <v>123</v>
      </c>
      <c r="H33" s="4" t="s">
        <v>124</v>
      </c>
      <c r="I33" s="4"/>
      <c r="J33" s="4"/>
      <c r="K33" s="4">
        <v>205</v>
      </c>
      <c r="L33" s="4">
        <v>14</v>
      </c>
      <c r="M33" s="4">
        <v>3</v>
      </c>
      <c r="N33" s="4" t="s">
        <v>3</v>
      </c>
      <c r="O33" s="4">
        <v>2</v>
      </c>
      <c r="P33" s="4"/>
    </row>
    <row r="34" spans="1:16" x14ac:dyDescent="0.2">
      <c r="A34" s="4">
        <v>50</v>
      </c>
      <c r="B34" s="4">
        <v>0</v>
      </c>
      <c r="C34" s="4">
        <v>0</v>
      </c>
      <c r="D34" s="4">
        <v>1</v>
      </c>
      <c r="E34" s="4">
        <v>232</v>
      </c>
      <c r="F34" s="4">
        <v>0</v>
      </c>
      <c r="G34" s="4" t="s">
        <v>125</v>
      </c>
      <c r="H34" s="4" t="s">
        <v>126</v>
      </c>
      <c r="I34" s="4"/>
      <c r="J34" s="4"/>
      <c r="K34" s="4">
        <v>232</v>
      </c>
      <c r="L34" s="4">
        <v>15</v>
      </c>
      <c r="M34" s="4">
        <v>3</v>
      </c>
      <c r="N34" s="4" t="s">
        <v>3</v>
      </c>
      <c r="O34" s="4">
        <v>2</v>
      </c>
      <c r="P34" s="4"/>
    </row>
    <row r="35" spans="1:16" x14ac:dyDescent="0.2">
      <c r="A35" s="4">
        <v>50</v>
      </c>
      <c r="B35" s="4">
        <v>0</v>
      </c>
      <c r="C35" s="4">
        <v>0</v>
      </c>
      <c r="D35" s="4">
        <v>1</v>
      </c>
      <c r="E35" s="4">
        <v>214</v>
      </c>
      <c r="F35" s="4">
        <v>0</v>
      </c>
      <c r="G35" s="4" t="s">
        <v>127</v>
      </c>
      <c r="H35" s="4" t="s">
        <v>128</v>
      </c>
      <c r="I35" s="4"/>
      <c r="J35" s="4"/>
      <c r="K35" s="4">
        <v>214</v>
      </c>
      <c r="L35" s="4">
        <v>16</v>
      </c>
      <c r="M35" s="4">
        <v>3</v>
      </c>
      <c r="N35" s="4" t="s">
        <v>3</v>
      </c>
      <c r="O35" s="4">
        <v>2</v>
      </c>
      <c r="P35" s="4"/>
    </row>
    <row r="36" spans="1:16" x14ac:dyDescent="0.2">
      <c r="A36" s="4">
        <v>50</v>
      </c>
      <c r="B36" s="4">
        <v>0</v>
      </c>
      <c r="C36" s="4">
        <v>0</v>
      </c>
      <c r="D36" s="4">
        <v>1</v>
      </c>
      <c r="E36" s="4">
        <v>215</v>
      </c>
      <c r="F36" s="4">
        <v>0</v>
      </c>
      <c r="G36" s="4" t="s">
        <v>129</v>
      </c>
      <c r="H36" s="4" t="s">
        <v>130</v>
      </c>
      <c r="I36" s="4"/>
      <c r="J36" s="4"/>
      <c r="K36" s="4">
        <v>215</v>
      </c>
      <c r="L36" s="4">
        <v>17</v>
      </c>
      <c r="M36" s="4">
        <v>3</v>
      </c>
      <c r="N36" s="4" t="s">
        <v>3</v>
      </c>
      <c r="O36" s="4">
        <v>2</v>
      </c>
      <c r="P36" s="4"/>
    </row>
    <row r="37" spans="1:16" x14ac:dyDescent="0.2">
      <c r="A37" s="4">
        <v>50</v>
      </c>
      <c r="B37" s="4">
        <v>0</v>
      </c>
      <c r="C37" s="4">
        <v>0</v>
      </c>
      <c r="D37" s="4">
        <v>1</v>
      </c>
      <c r="E37" s="4">
        <v>217</v>
      </c>
      <c r="F37" s="4">
        <v>463499.61</v>
      </c>
      <c r="G37" s="4" t="s">
        <v>131</v>
      </c>
      <c r="H37" s="4" t="s">
        <v>132</v>
      </c>
      <c r="I37" s="4"/>
      <c r="J37" s="4"/>
      <c r="K37" s="4">
        <v>217</v>
      </c>
      <c r="L37" s="4">
        <v>18</v>
      </c>
      <c r="M37" s="4">
        <v>3</v>
      </c>
      <c r="N37" s="4" t="s">
        <v>3</v>
      </c>
      <c r="O37" s="4">
        <v>2</v>
      </c>
      <c r="P37" s="4"/>
    </row>
    <row r="38" spans="1:16" x14ac:dyDescent="0.2">
      <c r="A38" s="4">
        <v>50</v>
      </c>
      <c r="B38" s="4">
        <v>0</v>
      </c>
      <c r="C38" s="4">
        <v>0</v>
      </c>
      <c r="D38" s="4">
        <v>1</v>
      </c>
      <c r="E38" s="4">
        <v>230</v>
      </c>
      <c r="F38" s="4">
        <v>0</v>
      </c>
      <c r="G38" s="4" t="s">
        <v>133</v>
      </c>
      <c r="H38" s="4" t="s">
        <v>134</v>
      </c>
      <c r="I38" s="4"/>
      <c r="J38" s="4"/>
      <c r="K38" s="4">
        <v>230</v>
      </c>
      <c r="L38" s="4">
        <v>19</v>
      </c>
      <c r="M38" s="4">
        <v>3</v>
      </c>
      <c r="N38" s="4" t="s">
        <v>3</v>
      </c>
      <c r="O38" s="4">
        <v>2</v>
      </c>
      <c r="P38" s="4"/>
    </row>
    <row r="39" spans="1:16" x14ac:dyDescent="0.2">
      <c r="A39" s="4">
        <v>50</v>
      </c>
      <c r="B39" s="4">
        <v>0</v>
      </c>
      <c r="C39" s="4">
        <v>0</v>
      </c>
      <c r="D39" s="4">
        <v>1</v>
      </c>
      <c r="E39" s="4">
        <v>206</v>
      </c>
      <c r="F39" s="4">
        <v>0</v>
      </c>
      <c r="G39" s="4" t="s">
        <v>135</v>
      </c>
      <c r="H39" s="4" t="s">
        <v>136</v>
      </c>
      <c r="I39" s="4"/>
      <c r="J39" s="4"/>
      <c r="K39" s="4">
        <v>206</v>
      </c>
      <c r="L39" s="4">
        <v>20</v>
      </c>
      <c r="M39" s="4">
        <v>3</v>
      </c>
      <c r="N39" s="4" t="s">
        <v>3</v>
      </c>
      <c r="O39" s="4">
        <v>2</v>
      </c>
      <c r="P39" s="4"/>
    </row>
    <row r="40" spans="1:16" x14ac:dyDescent="0.2">
      <c r="A40" s="4">
        <v>50</v>
      </c>
      <c r="B40" s="4">
        <v>0</v>
      </c>
      <c r="C40" s="4">
        <v>0</v>
      </c>
      <c r="D40" s="4">
        <v>1</v>
      </c>
      <c r="E40" s="4">
        <v>207</v>
      </c>
      <c r="F40" s="4">
        <v>299.18309999999997</v>
      </c>
      <c r="G40" s="4" t="s">
        <v>137</v>
      </c>
      <c r="H40" s="4" t="s">
        <v>138</v>
      </c>
      <c r="I40" s="4"/>
      <c r="J40" s="4"/>
      <c r="K40" s="4">
        <v>207</v>
      </c>
      <c r="L40" s="4">
        <v>21</v>
      </c>
      <c r="M40" s="4">
        <v>3</v>
      </c>
      <c r="N40" s="4" t="s">
        <v>3</v>
      </c>
      <c r="O40" s="4">
        <v>-1</v>
      </c>
      <c r="P40" s="4"/>
    </row>
    <row r="41" spans="1:16" x14ac:dyDescent="0.2">
      <c r="A41" s="4">
        <v>50</v>
      </c>
      <c r="B41" s="4">
        <v>0</v>
      </c>
      <c r="C41" s="4">
        <v>0</v>
      </c>
      <c r="D41" s="4">
        <v>1</v>
      </c>
      <c r="E41" s="4">
        <v>208</v>
      </c>
      <c r="F41" s="4">
        <v>0</v>
      </c>
      <c r="G41" s="4" t="s">
        <v>139</v>
      </c>
      <c r="H41" s="4" t="s">
        <v>140</v>
      </c>
      <c r="I41" s="4"/>
      <c r="J41" s="4"/>
      <c r="K41" s="4">
        <v>208</v>
      </c>
      <c r="L41" s="4">
        <v>22</v>
      </c>
      <c r="M41" s="4">
        <v>3</v>
      </c>
      <c r="N41" s="4" t="s">
        <v>3</v>
      </c>
      <c r="O41" s="4">
        <v>-1</v>
      </c>
      <c r="P41" s="4"/>
    </row>
    <row r="42" spans="1:16" x14ac:dyDescent="0.2">
      <c r="A42" s="4">
        <v>50</v>
      </c>
      <c r="B42" s="4">
        <v>0</v>
      </c>
      <c r="C42" s="4">
        <v>0</v>
      </c>
      <c r="D42" s="4">
        <v>1</v>
      </c>
      <c r="E42" s="4">
        <v>209</v>
      </c>
      <c r="F42" s="4">
        <v>0</v>
      </c>
      <c r="G42" s="4" t="s">
        <v>141</v>
      </c>
      <c r="H42" s="4" t="s">
        <v>142</v>
      </c>
      <c r="I42" s="4"/>
      <c r="J42" s="4"/>
      <c r="K42" s="4">
        <v>209</v>
      </c>
      <c r="L42" s="4">
        <v>23</v>
      </c>
      <c r="M42" s="4">
        <v>3</v>
      </c>
      <c r="N42" s="4" t="s">
        <v>3</v>
      </c>
      <c r="O42" s="4">
        <v>2</v>
      </c>
      <c r="P42" s="4"/>
    </row>
    <row r="43" spans="1:16" x14ac:dyDescent="0.2">
      <c r="A43" s="4">
        <v>50</v>
      </c>
      <c r="B43" s="4">
        <v>0</v>
      </c>
      <c r="C43" s="4">
        <v>0</v>
      </c>
      <c r="D43" s="4">
        <v>1</v>
      </c>
      <c r="E43" s="4">
        <v>233</v>
      </c>
      <c r="F43" s="4">
        <v>0</v>
      </c>
      <c r="G43" s="4" t="s">
        <v>143</v>
      </c>
      <c r="H43" s="4" t="s">
        <v>144</v>
      </c>
      <c r="I43" s="4"/>
      <c r="J43" s="4"/>
      <c r="K43" s="4">
        <v>233</v>
      </c>
      <c r="L43" s="4">
        <v>24</v>
      </c>
      <c r="M43" s="4">
        <v>3</v>
      </c>
      <c r="N43" s="4" t="s">
        <v>3</v>
      </c>
      <c r="O43" s="4">
        <v>2</v>
      </c>
      <c r="P43" s="4"/>
    </row>
    <row r="44" spans="1:16" x14ac:dyDescent="0.2">
      <c r="A44" s="4">
        <v>50</v>
      </c>
      <c r="B44" s="4">
        <v>0</v>
      </c>
      <c r="C44" s="4">
        <v>0</v>
      </c>
      <c r="D44" s="4">
        <v>1</v>
      </c>
      <c r="E44" s="4">
        <v>210</v>
      </c>
      <c r="F44" s="4">
        <v>88165.18</v>
      </c>
      <c r="G44" s="4" t="s">
        <v>145</v>
      </c>
      <c r="H44" s="4" t="s">
        <v>146</v>
      </c>
      <c r="I44" s="4"/>
      <c r="J44" s="4"/>
      <c r="K44" s="4">
        <v>210</v>
      </c>
      <c r="L44" s="4">
        <v>25</v>
      </c>
      <c r="M44" s="4">
        <v>3</v>
      </c>
      <c r="N44" s="4" t="s">
        <v>3</v>
      </c>
      <c r="O44" s="4">
        <v>2</v>
      </c>
      <c r="P44" s="4"/>
    </row>
    <row r="45" spans="1:16" x14ac:dyDescent="0.2">
      <c r="A45" s="4">
        <v>50</v>
      </c>
      <c r="B45" s="4">
        <v>0</v>
      </c>
      <c r="C45" s="4">
        <v>0</v>
      </c>
      <c r="D45" s="4">
        <v>1</v>
      </c>
      <c r="E45" s="4">
        <v>211</v>
      </c>
      <c r="F45" s="4">
        <v>12595.03</v>
      </c>
      <c r="G45" s="4" t="s">
        <v>147</v>
      </c>
      <c r="H45" s="4" t="s">
        <v>148</v>
      </c>
      <c r="I45" s="4"/>
      <c r="J45" s="4"/>
      <c r="K45" s="4">
        <v>211</v>
      </c>
      <c r="L45" s="4">
        <v>26</v>
      </c>
      <c r="M45" s="4">
        <v>3</v>
      </c>
      <c r="N45" s="4" t="s">
        <v>3</v>
      </c>
      <c r="O45" s="4">
        <v>2</v>
      </c>
      <c r="P45" s="4"/>
    </row>
    <row r="46" spans="1:16" x14ac:dyDescent="0.2">
      <c r="A46" s="4">
        <v>50</v>
      </c>
      <c r="B46" s="4">
        <v>0</v>
      </c>
      <c r="C46" s="4">
        <v>0</v>
      </c>
      <c r="D46" s="4">
        <v>1</v>
      </c>
      <c r="E46" s="4">
        <v>224</v>
      </c>
      <c r="F46" s="4">
        <v>463499.61</v>
      </c>
      <c r="G46" s="4" t="s">
        <v>149</v>
      </c>
      <c r="H46" s="4" t="s">
        <v>150</v>
      </c>
      <c r="I46" s="4"/>
      <c r="J46" s="4"/>
      <c r="K46" s="4">
        <v>224</v>
      </c>
      <c r="L46" s="4">
        <v>27</v>
      </c>
      <c r="M46" s="4">
        <v>3</v>
      </c>
      <c r="N46" s="4" t="s">
        <v>3</v>
      </c>
      <c r="O46" s="4">
        <v>2</v>
      </c>
      <c r="P46" s="4"/>
    </row>
    <row r="47" spans="1:16" x14ac:dyDescent="0.2">
      <c r="A47" s="4">
        <v>50</v>
      </c>
      <c r="B47" s="4">
        <v>1</v>
      </c>
      <c r="C47" s="4">
        <v>0</v>
      </c>
      <c r="D47" s="4">
        <v>2</v>
      </c>
      <c r="E47" s="4">
        <v>0</v>
      </c>
      <c r="F47" s="4">
        <v>92699.92</v>
      </c>
      <c r="G47" s="4" t="s">
        <v>16</v>
      </c>
      <c r="H47" s="4" t="s">
        <v>247</v>
      </c>
      <c r="I47" s="4"/>
      <c r="J47" s="4"/>
      <c r="K47" s="4">
        <v>212</v>
      </c>
      <c r="L47" s="4">
        <v>28</v>
      </c>
      <c r="M47" s="4">
        <v>0</v>
      </c>
      <c r="N47" s="4" t="s">
        <v>3</v>
      </c>
      <c r="O47" s="4">
        <v>2</v>
      </c>
      <c r="P47" s="4"/>
    </row>
    <row r="48" spans="1:16" x14ac:dyDescent="0.2">
      <c r="A48" s="4">
        <v>50</v>
      </c>
      <c r="B48" s="4">
        <v>1</v>
      </c>
      <c r="C48" s="4">
        <v>0</v>
      </c>
      <c r="D48" s="4">
        <v>2</v>
      </c>
      <c r="E48" s="4">
        <v>0</v>
      </c>
      <c r="F48" s="4">
        <v>556199.53</v>
      </c>
      <c r="G48" s="4" t="s">
        <v>40</v>
      </c>
      <c r="H48" s="4" t="s">
        <v>248</v>
      </c>
      <c r="I48" s="4"/>
      <c r="J48" s="4"/>
      <c r="K48" s="4">
        <v>212</v>
      </c>
      <c r="L48" s="4">
        <v>29</v>
      </c>
      <c r="M48" s="4">
        <v>0</v>
      </c>
      <c r="N48" s="4" t="s">
        <v>3</v>
      </c>
      <c r="O48" s="4">
        <v>2</v>
      </c>
      <c r="P48" s="4"/>
    </row>
    <row r="50" spans="1:15" x14ac:dyDescent="0.2">
      <c r="A50">
        <v>-1</v>
      </c>
    </row>
    <row r="53" spans="1:15" x14ac:dyDescent="0.2">
      <c r="A53" s="3">
        <v>75</v>
      </c>
      <c r="B53" s="3" t="s">
        <v>252</v>
      </c>
      <c r="C53" s="3">
        <v>2025</v>
      </c>
      <c r="D53" s="3">
        <v>1</v>
      </c>
      <c r="E53" s="3">
        <v>0</v>
      </c>
      <c r="F53" s="3"/>
      <c r="G53" s="3">
        <v>0</v>
      </c>
      <c r="H53" s="3">
        <v>1</v>
      </c>
      <c r="I53" s="3">
        <v>0</v>
      </c>
      <c r="J53" s="3">
        <v>1</v>
      </c>
      <c r="K53" s="3">
        <v>95</v>
      </c>
      <c r="L53" s="3">
        <v>65</v>
      </c>
      <c r="M53" s="3">
        <v>0</v>
      </c>
      <c r="N53" s="3">
        <v>78131199</v>
      </c>
      <c r="O53" s="3">
        <v>1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O126"/>
  <sheetViews>
    <sheetView workbookViewId="0"/>
  </sheetViews>
  <sheetFormatPr defaultColWidth="9.140625" defaultRowHeight="12.75" x14ac:dyDescent="0.2"/>
  <cols>
    <col min="1" max="256" width="9.140625" customWidth="1"/>
  </cols>
  <sheetData>
    <row r="1" spans="1:119" x14ac:dyDescent="0.2">
      <c r="A1">
        <f>ROW(Source!A32)</f>
        <v>32</v>
      </c>
      <c r="B1">
        <v>78131199</v>
      </c>
      <c r="C1">
        <v>78130770</v>
      </c>
      <c r="D1">
        <v>77806460</v>
      </c>
      <c r="E1">
        <v>37</v>
      </c>
      <c r="F1">
        <v>1</v>
      </c>
      <c r="G1">
        <v>37</v>
      </c>
      <c r="H1">
        <v>1</v>
      </c>
      <c r="I1" t="s">
        <v>254</v>
      </c>
      <c r="J1" t="s">
        <v>3</v>
      </c>
      <c r="K1" t="s">
        <v>255</v>
      </c>
      <c r="L1">
        <v>1191</v>
      </c>
      <c r="N1">
        <v>1013</v>
      </c>
      <c r="O1" t="s">
        <v>256</v>
      </c>
      <c r="P1" t="s">
        <v>256</v>
      </c>
      <c r="Q1">
        <v>1</v>
      </c>
      <c r="W1">
        <v>0</v>
      </c>
      <c r="X1">
        <v>476480486</v>
      </c>
      <c r="Y1">
        <f>(AT1*0.2)</f>
        <v>37.72</v>
      </c>
      <c r="AA1">
        <v>0</v>
      </c>
      <c r="AB1">
        <v>0</v>
      </c>
      <c r="AC1">
        <v>0</v>
      </c>
      <c r="AD1">
        <v>0</v>
      </c>
      <c r="AE1">
        <v>0</v>
      </c>
      <c r="AF1">
        <v>0</v>
      </c>
      <c r="AG1">
        <v>0</v>
      </c>
      <c r="AH1">
        <v>0</v>
      </c>
      <c r="AI1">
        <v>1</v>
      </c>
      <c r="AJ1">
        <v>1</v>
      </c>
      <c r="AK1">
        <v>1</v>
      </c>
      <c r="AL1">
        <v>1</v>
      </c>
      <c r="AM1">
        <v>-2</v>
      </c>
      <c r="AN1">
        <v>0</v>
      </c>
      <c r="AO1">
        <v>1</v>
      </c>
      <c r="AP1">
        <v>1</v>
      </c>
      <c r="AQ1">
        <v>0</v>
      </c>
      <c r="AR1">
        <v>0</v>
      </c>
      <c r="AS1" t="s">
        <v>3</v>
      </c>
      <c r="AT1">
        <v>188.6</v>
      </c>
      <c r="AU1" t="s">
        <v>22</v>
      </c>
      <c r="AV1">
        <v>1</v>
      </c>
      <c r="AW1">
        <v>2</v>
      </c>
      <c r="AX1">
        <v>78131211</v>
      </c>
      <c r="AY1">
        <v>1</v>
      </c>
      <c r="AZ1">
        <v>0</v>
      </c>
      <c r="BA1">
        <v>1</v>
      </c>
      <c r="BB1">
        <v>0</v>
      </c>
      <c r="BC1">
        <v>0</v>
      </c>
      <c r="BD1">
        <v>0</v>
      </c>
      <c r="BE1">
        <v>0</v>
      </c>
      <c r="BF1">
        <v>0</v>
      </c>
      <c r="BG1">
        <v>0</v>
      </c>
      <c r="BH1">
        <v>0</v>
      </c>
      <c r="BI1">
        <v>0</v>
      </c>
      <c r="BJ1">
        <v>0</v>
      </c>
      <c r="BK1">
        <v>0</v>
      </c>
      <c r="BL1">
        <v>0</v>
      </c>
      <c r="BM1">
        <v>0</v>
      </c>
      <c r="BN1">
        <v>0</v>
      </c>
      <c r="BO1">
        <v>0</v>
      </c>
      <c r="BP1">
        <v>0</v>
      </c>
      <c r="BQ1">
        <v>0</v>
      </c>
      <c r="BR1">
        <v>0</v>
      </c>
      <c r="BS1">
        <v>0</v>
      </c>
      <c r="BT1">
        <v>0</v>
      </c>
      <c r="BU1">
        <v>0</v>
      </c>
      <c r="BV1">
        <v>0</v>
      </c>
      <c r="BW1">
        <v>0</v>
      </c>
      <c r="CU1">
        <f>ROUND(AT1*Source!I32*AH1*AL1,2)</f>
        <v>0</v>
      </c>
      <c r="CV1">
        <f>ROUND(Y1*Source!I32,9)</f>
        <v>0</v>
      </c>
      <c r="CW1">
        <v>0</v>
      </c>
      <c r="CX1">
        <f>ROUND(Y1*Source!I32,9)</f>
        <v>0</v>
      </c>
      <c r="CY1">
        <f>AD1</f>
        <v>0</v>
      </c>
      <c r="CZ1">
        <f>AH1</f>
        <v>0</v>
      </c>
      <c r="DA1">
        <f>AL1</f>
        <v>1</v>
      </c>
      <c r="DB1">
        <f>ROUND((ROUND(AT1*CZ1,2)*0.2),6)</f>
        <v>0</v>
      </c>
      <c r="DC1">
        <f>ROUND((ROUND(AT1*AG1,2)*0.2),6)</f>
        <v>0</v>
      </c>
      <c r="DD1" t="s">
        <v>3</v>
      </c>
      <c r="DE1" t="s">
        <v>3</v>
      </c>
      <c r="DF1">
        <f t="shared" ref="DF1:DF32" si="0">ROUND(ROUND(AE1,2)*CX1,2)</f>
        <v>0</v>
      </c>
      <c r="DG1">
        <f t="shared" ref="DG1:DG32" si="1">ROUND(ROUND(AF1,2)*CX1,2)</f>
        <v>0</v>
      </c>
      <c r="DH1">
        <f t="shared" ref="DH1:DH32" si="2">ROUND(ROUND(AG1,2)*CX1,2)</f>
        <v>0</v>
      </c>
      <c r="DI1">
        <f t="shared" ref="DI1:DI32" si="3">ROUND(ROUND(AH1,2)*CX1,2)</f>
        <v>0</v>
      </c>
      <c r="DJ1">
        <f>DI1</f>
        <v>0</v>
      </c>
      <c r="DK1">
        <v>0</v>
      </c>
      <c r="DL1" t="s">
        <v>3</v>
      </c>
      <c r="DM1">
        <v>0</v>
      </c>
      <c r="DN1" t="s">
        <v>3</v>
      </c>
      <c r="DO1">
        <v>0</v>
      </c>
    </row>
    <row r="2" spans="1:119" x14ac:dyDescent="0.2">
      <c r="A2">
        <f>ROW(Source!A32)</f>
        <v>32</v>
      </c>
      <c r="B2">
        <v>78131199</v>
      </c>
      <c r="C2">
        <v>78130770</v>
      </c>
      <c r="D2">
        <v>77807924</v>
      </c>
      <c r="E2">
        <v>1</v>
      </c>
      <c r="F2">
        <v>1</v>
      </c>
      <c r="G2">
        <v>37</v>
      </c>
      <c r="H2">
        <v>2</v>
      </c>
      <c r="I2" t="s">
        <v>257</v>
      </c>
      <c r="J2" t="s">
        <v>258</v>
      </c>
      <c r="K2" t="s">
        <v>259</v>
      </c>
      <c r="L2">
        <v>1368</v>
      </c>
      <c r="N2">
        <v>1011</v>
      </c>
      <c r="O2" t="s">
        <v>260</v>
      </c>
      <c r="P2" t="s">
        <v>260</v>
      </c>
      <c r="Q2">
        <v>1</v>
      </c>
      <c r="W2">
        <v>0</v>
      </c>
      <c r="X2">
        <v>1215981924</v>
      </c>
      <c r="Y2">
        <f>(AT2*0.2)</f>
        <v>2.8580000000000001</v>
      </c>
      <c r="AA2">
        <v>0</v>
      </c>
      <c r="AB2">
        <v>1369.82</v>
      </c>
      <c r="AC2">
        <v>1183.81</v>
      </c>
      <c r="AD2">
        <v>0</v>
      </c>
      <c r="AE2">
        <v>0</v>
      </c>
      <c r="AF2">
        <v>1369.82</v>
      </c>
      <c r="AG2">
        <v>1183.81</v>
      </c>
      <c r="AH2">
        <v>0</v>
      </c>
      <c r="AI2">
        <v>1</v>
      </c>
      <c r="AJ2">
        <v>1</v>
      </c>
      <c r="AK2">
        <v>1</v>
      </c>
      <c r="AL2">
        <v>1</v>
      </c>
      <c r="AM2">
        <v>-2</v>
      </c>
      <c r="AN2">
        <v>0</v>
      </c>
      <c r="AO2">
        <v>1</v>
      </c>
      <c r="AP2">
        <v>1</v>
      </c>
      <c r="AQ2">
        <v>0</v>
      </c>
      <c r="AR2">
        <v>0</v>
      </c>
      <c r="AS2" t="s">
        <v>3</v>
      </c>
      <c r="AT2">
        <v>14.29</v>
      </c>
      <c r="AU2" t="s">
        <v>22</v>
      </c>
      <c r="AV2">
        <v>0</v>
      </c>
      <c r="AW2">
        <v>2</v>
      </c>
      <c r="AX2">
        <v>78131212</v>
      </c>
      <c r="AY2">
        <v>1</v>
      </c>
      <c r="AZ2">
        <v>0</v>
      </c>
      <c r="BA2">
        <v>2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0</v>
      </c>
      <c r="BI2">
        <v>0</v>
      </c>
      <c r="BJ2">
        <v>0</v>
      </c>
      <c r="BK2">
        <v>0</v>
      </c>
      <c r="BL2">
        <v>0</v>
      </c>
      <c r="BM2">
        <v>0</v>
      </c>
      <c r="BN2">
        <v>0</v>
      </c>
      <c r="BO2">
        <v>0</v>
      </c>
      <c r="BP2">
        <v>0</v>
      </c>
      <c r="BQ2">
        <v>0</v>
      </c>
      <c r="BR2">
        <v>0</v>
      </c>
      <c r="BS2">
        <v>0</v>
      </c>
      <c r="BT2">
        <v>0</v>
      </c>
      <c r="BU2">
        <v>0</v>
      </c>
      <c r="BV2">
        <v>0</v>
      </c>
      <c r="BW2">
        <v>0</v>
      </c>
      <c r="CV2">
        <v>0</v>
      </c>
      <c r="CW2">
        <f>ROUND(Y2*Source!I32*DO2,9)</f>
        <v>0</v>
      </c>
      <c r="CX2">
        <f>ROUND(Y2*Source!I32,9)</f>
        <v>0</v>
      </c>
      <c r="CY2">
        <f>AB2</f>
        <v>1369.82</v>
      </c>
      <c r="CZ2">
        <f>AF2</f>
        <v>1369.82</v>
      </c>
      <c r="DA2">
        <f>AJ2</f>
        <v>1</v>
      </c>
      <c r="DB2">
        <f>ROUND((ROUND(AT2*CZ2,2)*0.2),6)</f>
        <v>3914.9459999999999</v>
      </c>
      <c r="DC2">
        <f>ROUND((ROUND(AT2*AG2,2)*0.2),6)</f>
        <v>3383.328</v>
      </c>
      <c r="DD2" t="s">
        <v>3</v>
      </c>
      <c r="DE2" t="s">
        <v>3</v>
      </c>
      <c r="DF2">
        <f t="shared" si="0"/>
        <v>0</v>
      </c>
      <c r="DG2">
        <f t="shared" si="1"/>
        <v>0</v>
      </c>
      <c r="DH2">
        <f t="shared" si="2"/>
        <v>0</v>
      </c>
      <c r="DI2">
        <f t="shared" si="3"/>
        <v>0</v>
      </c>
      <c r="DJ2">
        <f>DG2</f>
        <v>0</v>
      </c>
      <c r="DK2">
        <v>0</v>
      </c>
      <c r="DL2" t="s">
        <v>3</v>
      </c>
      <c r="DM2">
        <v>0</v>
      </c>
      <c r="DN2" t="s">
        <v>3</v>
      </c>
      <c r="DO2">
        <v>0</v>
      </c>
    </row>
    <row r="3" spans="1:119" x14ac:dyDescent="0.2">
      <c r="A3">
        <f>ROW(Source!A32)</f>
        <v>32</v>
      </c>
      <c r="B3">
        <v>78131199</v>
      </c>
      <c r="C3">
        <v>78130770</v>
      </c>
      <c r="D3">
        <v>77806721</v>
      </c>
      <c r="E3">
        <v>37</v>
      </c>
      <c r="F3">
        <v>1</v>
      </c>
      <c r="G3">
        <v>37</v>
      </c>
      <c r="H3">
        <v>3</v>
      </c>
      <c r="I3" t="s">
        <v>27</v>
      </c>
      <c r="J3" t="s">
        <v>3</v>
      </c>
      <c r="K3" t="s">
        <v>28</v>
      </c>
      <c r="L3">
        <v>1354</v>
      </c>
      <c r="N3">
        <v>1010</v>
      </c>
      <c r="O3" t="s">
        <v>29</v>
      </c>
      <c r="P3" t="s">
        <v>29</v>
      </c>
      <c r="Q3">
        <v>1</v>
      </c>
      <c r="W3">
        <v>0</v>
      </c>
      <c r="X3">
        <v>1960360122</v>
      </c>
      <c r="Y3">
        <f t="shared" ref="Y3:Y13" si="4">(AT3*0)</f>
        <v>0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  <c r="AG3">
        <v>0</v>
      </c>
      <c r="AH3">
        <v>0</v>
      </c>
      <c r="AI3">
        <v>1</v>
      </c>
      <c r="AJ3">
        <v>1</v>
      </c>
      <c r="AK3">
        <v>1</v>
      </c>
      <c r="AL3">
        <v>1</v>
      </c>
      <c r="AM3">
        <v>-2</v>
      </c>
      <c r="AN3">
        <v>0</v>
      </c>
      <c r="AO3">
        <v>0</v>
      </c>
      <c r="AP3">
        <v>1</v>
      </c>
      <c r="AQ3">
        <v>0</v>
      </c>
      <c r="AR3">
        <v>0</v>
      </c>
      <c r="AS3" t="s">
        <v>3</v>
      </c>
      <c r="AT3">
        <v>0</v>
      </c>
      <c r="AU3" t="s">
        <v>21</v>
      </c>
      <c r="AV3">
        <v>0</v>
      </c>
      <c r="AW3">
        <v>2</v>
      </c>
      <c r="AX3">
        <v>78131213</v>
      </c>
      <c r="AY3">
        <v>1</v>
      </c>
      <c r="AZ3">
        <v>0</v>
      </c>
      <c r="BA3">
        <v>3</v>
      </c>
      <c r="BB3">
        <v>0</v>
      </c>
      <c r="BC3">
        <v>0</v>
      </c>
      <c r="BD3">
        <v>0</v>
      </c>
      <c r="BE3">
        <v>0</v>
      </c>
      <c r="BF3">
        <v>0</v>
      </c>
      <c r="BG3">
        <v>0</v>
      </c>
      <c r="BH3">
        <v>0</v>
      </c>
      <c r="BI3">
        <v>0</v>
      </c>
      <c r="BJ3">
        <v>0</v>
      </c>
      <c r="BK3">
        <v>0</v>
      </c>
      <c r="BL3">
        <v>0</v>
      </c>
      <c r="BM3">
        <v>0</v>
      </c>
      <c r="BN3">
        <v>0</v>
      </c>
      <c r="BO3">
        <v>0</v>
      </c>
      <c r="BP3">
        <v>0</v>
      </c>
      <c r="BQ3">
        <v>0</v>
      </c>
      <c r="BR3">
        <v>0</v>
      </c>
      <c r="BS3">
        <v>0</v>
      </c>
      <c r="BT3">
        <v>0</v>
      </c>
      <c r="BU3">
        <v>0</v>
      </c>
      <c r="BV3">
        <v>0</v>
      </c>
      <c r="BW3">
        <v>0</v>
      </c>
      <c r="CV3">
        <v>0</v>
      </c>
      <c r="CW3">
        <v>0</v>
      </c>
      <c r="CX3">
        <f>ROUND(Y3*Source!I32,9)</f>
        <v>0</v>
      </c>
      <c r="CY3">
        <f t="shared" ref="CY3:CY13" si="5">AA3</f>
        <v>0</v>
      </c>
      <c r="CZ3">
        <f t="shared" ref="CZ3:CZ13" si="6">AE3</f>
        <v>0</v>
      </c>
      <c r="DA3">
        <f t="shared" ref="DA3:DA13" si="7">AI3</f>
        <v>1</v>
      </c>
      <c r="DB3">
        <f t="shared" ref="DB3:DB13" si="8">ROUND((ROUND(AT3*CZ3,2)*0),6)</f>
        <v>0</v>
      </c>
      <c r="DC3">
        <f t="shared" ref="DC3:DC13" si="9">ROUND((ROUND(AT3*AG3,2)*0),6)</f>
        <v>0</v>
      </c>
      <c r="DD3" t="s">
        <v>3</v>
      </c>
      <c r="DE3" t="s">
        <v>3</v>
      </c>
      <c r="DF3">
        <f t="shared" si="0"/>
        <v>0</v>
      </c>
      <c r="DG3">
        <f t="shared" si="1"/>
        <v>0</v>
      </c>
      <c r="DH3">
        <f t="shared" si="2"/>
        <v>0</v>
      </c>
      <c r="DI3">
        <f t="shared" si="3"/>
        <v>0</v>
      </c>
      <c r="DJ3">
        <f t="shared" ref="DJ3:DJ13" si="10">DF3</f>
        <v>0</v>
      </c>
      <c r="DK3">
        <v>0</v>
      </c>
      <c r="DL3" t="s">
        <v>3</v>
      </c>
      <c r="DM3">
        <v>0</v>
      </c>
      <c r="DN3" t="s">
        <v>3</v>
      </c>
      <c r="DO3">
        <v>0</v>
      </c>
    </row>
    <row r="4" spans="1:119" x14ac:dyDescent="0.2">
      <c r="A4">
        <f>ROW(Source!A32)</f>
        <v>32</v>
      </c>
      <c r="B4">
        <v>78131199</v>
      </c>
      <c r="C4">
        <v>78130770</v>
      </c>
      <c r="D4">
        <v>77809632</v>
      </c>
      <c r="E4">
        <v>1</v>
      </c>
      <c r="F4">
        <v>1</v>
      </c>
      <c r="G4">
        <v>37</v>
      </c>
      <c r="H4">
        <v>3</v>
      </c>
      <c r="I4" t="s">
        <v>261</v>
      </c>
      <c r="J4" t="s">
        <v>262</v>
      </c>
      <c r="K4" t="s">
        <v>263</v>
      </c>
      <c r="L4">
        <v>1346</v>
      </c>
      <c r="N4">
        <v>1009</v>
      </c>
      <c r="O4" t="s">
        <v>264</v>
      </c>
      <c r="P4" t="s">
        <v>264</v>
      </c>
      <c r="Q4">
        <v>1</v>
      </c>
      <c r="W4">
        <v>0</v>
      </c>
      <c r="X4">
        <v>-806813352</v>
      </c>
      <c r="Y4">
        <f t="shared" si="4"/>
        <v>0</v>
      </c>
      <c r="AA4">
        <v>261.27999999999997</v>
      </c>
      <c r="AB4">
        <v>0</v>
      </c>
      <c r="AC4">
        <v>0</v>
      </c>
      <c r="AD4">
        <v>0</v>
      </c>
      <c r="AE4">
        <v>261.27999999999997</v>
      </c>
      <c r="AF4">
        <v>0</v>
      </c>
      <c r="AG4">
        <v>0</v>
      </c>
      <c r="AH4">
        <v>0</v>
      </c>
      <c r="AI4">
        <v>1</v>
      </c>
      <c r="AJ4">
        <v>1</v>
      </c>
      <c r="AK4">
        <v>1</v>
      </c>
      <c r="AL4">
        <v>1</v>
      </c>
      <c r="AM4">
        <v>-2</v>
      </c>
      <c r="AN4">
        <v>0</v>
      </c>
      <c r="AO4">
        <v>1</v>
      </c>
      <c r="AP4">
        <v>1</v>
      </c>
      <c r="AQ4">
        <v>0</v>
      </c>
      <c r="AR4">
        <v>0</v>
      </c>
      <c r="AS4" t="s">
        <v>3</v>
      </c>
      <c r="AT4">
        <v>0.55000000000000004</v>
      </c>
      <c r="AU4" t="s">
        <v>21</v>
      </c>
      <c r="AV4">
        <v>0</v>
      </c>
      <c r="AW4">
        <v>2</v>
      </c>
      <c r="AX4">
        <v>78131214</v>
      </c>
      <c r="AY4">
        <v>1</v>
      </c>
      <c r="AZ4">
        <v>0</v>
      </c>
      <c r="BA4">
        <v>4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0</v>
      </c>
      <c r="BI4">
        <v>0</v>
      </c>
      <c r="BJ4">
        <v>0</v>
      </c>
      <c r="BK4">
        <v>0</v>
      </c>
      <c r="BL4">
        <v>0</v>
      </c>
      <c r="BM4">
        <v>0</v>
      </c>
      <c r="BN4">
        <v>0</v>
      </c>
      <c r="BO4">
        <v>0</v>
      </c>
      <c r="BP4">
        <v>0</v>
      </c>
      <c r="BQ4">
        <v>0</v>
      </c>
      <c r="BR4">
        <v>0</v>
      </c>
      <c r="BS4">
        <v>0</v>
      </c>
      <c r="BT4">
        <v>0</v>
      </c>
      <c r="BU4">
        <v>0</v>
      </c>
      <c r="BV4">
        <v>0</v>
      </c>
      <c r="BW4">
        <v>0</v>
      </c>
      <c r="CV4">
        <v>0</v>
      </c>
      <c r="CW4">
        <v>0</v>
      </c>
      <c r="CX4">
        <f>ROUND(Y4*Source!I32,9)</f>
        <v>0</v>
      </c>
      <c r="CY4">
        <f t="shared" si="5"/>
        <v>261.27999999999997</v>
      </c>
      <c r="CZ4">
        <f t="shared" si="6"/>
        <v>261.27999999999997</v>
      </c>
      <c r="DA4">
        <f t="shared" si="7"/>
        <v>1</v>
      </c>
      <c r="DB4">
        <f t="shared" si="8"/>
        <v>0</v>
      </c>
      <c r="DC4">
        <f t="shared" si="9"/>
        <v>0</v>
      </c>
      <c r="DD4" t="s">
        <v>3</v>
      </c>
      <c r="DE4" t="s">
        <v>3</v>
      </c>
      <c r="DF4">
        <f t="shared" si="0"/>
        <v>0</v>
      </c>
      <c r="DG4">
        <f t="shared" si="1"/>
        <v>0</v>
      </c>
      <c r="DH4">
        <f t="shared" si="2"/>
        <v>0</v>
      </c>
      <c r="DI4">
        <f t="shared" si="3"/>
        <v>0</v>
      </c>
      <c r="DJ4">
        <f t="shared" si="10"/>
        <v>0</v>
      </c>
      <c r="DK4">
        <v>0</v>
      </c>
      <c r="DL4" t="s">
        <v>3</v>
      </c>
      <c r="DM4">
        <v>0</v>
      </c>
      <c r="DN4" t="s">
        <v>3</v>
      </c>
      <c r="DO4">
        <v>0</v>
      </c>
    </row>
    <row r="5" spans="1:119" x14ac:dyDescent="0.2">
      <c r="A5">
        <f>ROW(Source!A32)</f>
        <v>32</v>
      </c>
      <c r="B5">
        <v>78131199</v>
      </c>
      <c r="C5">
        <v>78130770</v>
      </c>
      <c r="D5">
        <v>77809555</v>
      </c>
      <c r="E5">
        <v>1</v>
      </c>
      <c r="F5">
        <v>1</v>
      </c>
      <c r="G5">
        <v>37</v>
      </c>
      <c r="H5">
        <v>3</v>
      </c>
      <c r="I5" t="s">
        <v>265</v>
      </c>
      <c r="J5" t="s">
        <v>266</v>
      </c>
      <c r="K5" t="s">
        <v>267</v>
      </c>
      <c r="L5">
        <v>1348</v>
      </c>
      <c r="N5">
        <v>1009</v>
      </c>
      <c r="O5" t="s">
        <v>200</v>
      </c>
      <c r="P5" t="s">
        <v>200</v>
      </c>
      <c r="Q5">
        <v>1000</v>
      </c>
      <c r="W5">
        <v>0</v>
      </c>
      <c r="X5">
        <v>-479093135</v>
      </c>
      <c r="Y5">
        <f t="shared" si="4"/>
        <v>0</v>
      </c>
      <c r="AA5">
        <v>233970.16</v>
      </c>
      <c r="AB5">
        <v>0</v>
      </c>
      <c r="AC5">
        <v>0</v>
      </c>
      <c r="AD5">
        <v>0</v>
      </c>
      <c r="AE5">
        <v>233970.16</v>
      </c>
      <c r="AF5">
        <v>0</v>
      </c>
      <c r="AG5">
        <v>0</v>
      </c>
      <c r="AH5">
        <v>0</v>
      </c>
      <c r="AI5">
        <v>1</v>
      </c>
      <c r="AJ5">
        <v>1</v>
      </c>
      <c r="AK5">
        <v>1</v>
      </c>
      <c r="AL5">
        <v>1</v>
      </c>
      <c r="AM5">
        <v>-2</v>
      </c>
      <c r="AN5">
        <v>0</v>
      </c>
      <c r="AO5">
        <v>1</v>
      </c>
      <c r="AP5">
        <v>1</v>
      </c>
      <c r="AQ5">
        <v>0</v>
      </c>
      <c r="AR5">
        <v>0</v>
      </c>
      <c r="AS5" t="s">
        <v>3</v>
      </c>
      <c r="AT5">
        <v>8.4999999999999995E-4</v>
      </c>
      <c r="AU5" t="s">
        <v>21</v>
      </c>
      <c r="AV5">
        <v>0</v>
      </c>
      <c r="AW5">
        <v>2</v>
      </c>
      <c r="AX5">
        <v>78131215</v>
      </c>
      <c r="AY5">
        <v>1</v>
      </c>
      <c r="AZ5">
        <v>0</v>
      </c>
      <c r="BA5">
        <v>5</v>
      </c>
      <c r="BB5">
        <v>0</v>
      </c>
      <c r="BC5">
        <v>0</v>
      </c>
      <c r="BD5">
        <v>0</v>
      </c>
      <c r="BE5">
        <v>0</v>
      </c>
      <c r="BF5">
        <v>0</v>
      </c>
      <c r="BG5">
        <v>0</v>
      </c>
      <c r="BH5">
        <v>0</v>
      </c>
      <c r="BI5">
        <v>0</v>
      </c>
      <c r="BJ5">
        <v>0</v>
      </c>
      <c r="BK5">
        <v>0</v>
      </c>
      <c r="BL5">
        <v>0</v>
      </c>
      <c r="BM5">
        <v>0</v>
      </c>
      <c r="BN5">
        <v>0</v>
      </c>
      <c r="BO5">
        <v>0</v>
      </c>
      <c r="BP5">
        <v>0</v>
      </c>
      <c r="BQ5">
        <v>0</v>
      </c>
      <c r="BR5">
        <v>0</v>
      </c>
      <c r="BS5">
        <v>0</v>
      </c>
      <c r="BT5">
        <v>0</v>
      </c>
      <c r="BU5">
        <v>0</v>
      </c>
      <c r="BV5">
        <v>0</v>
      </c>
      <c r="BW5">
        <v>0</v>
      </c>
      <c r="CV5">
        <v>0</v>
      </c>
      <c r="CW5">
        <v>0</v>
      </c>
      <c r="CX5">
        <f>ROUND(Y5*Source!I32,9)</f>
        <v>0</v>
      </c>
      <c r="CY5">
        <f t="shared" si="5"/>
        <v>233970.16</v>
      </c>
      <c r="CZ5">
        <f t="shared" si="6"/>
        <v>233970.16</v>
      </c>
      <c r="DA5">
        <f t="shared" si="7"/>
        <v>1</v>
      </c>
      <c r="DB5">
        <f t="shared" si="8"/>
        <v>0</v>
      </c>
      <c r="DC5">
        <f t="shared" si="9"/>
        <v>0</v>
      </c>
      <c r="DD5" t="s">
        <v>3</v>
      </c>
      <c r="DE5" t="s">
        <v>3</v>
      </c>
      <c r="DF5">
        <f t="shared" si="0"/>
        <v>0</v>
      </c>
      <c r="DG5">
        <f t="shared" si="1"/>
        <v>0</v>
      </c>
      <c r="DH5">
        <f t="shared" si="2"/>
        <v>0</v>
      </c>
      <c r="DI5">
        <f t="shared" si="3"/>
        <v>0</v>
      </c>
      <c r="DJ5">
        <f t="shared" si="10"/>
        <v>0</v>
      </c>
      <c r="DK5">
        <v>0</v>
      </c>
      <c r="DL5" t="s">
        <v>3</v>
      </c>
      <c r="DM5">
        <v>0</v>
      </c>
      <c r="DN5" t="s">
        <v>3</v>
      </c>
      <c r="DO5">
        <v>0</v>
      </c>
    </row>
    <row r="6" spans="1:119" x14ac:dyDescent="0.2">
      <c r="A6">
        <f>ROW(Source!A32)</f>
        <v>32</v>
      </c>
      <c r="B6">
        <v>78131199</v>
      </c>
      <c r="C6">
        <v>78130770</v>
      </c>
      <c r="D6">
        <v>77809584</v>
      </c>
      <c r="E6">
        <v>1</v>
      </c>
      <c r="F6">
        <v>1</v>
      </c>
      <c r="G6">
        <v>37</v>
      </c>
      <c r="H6">
        <v>3</v>
      </c>
      <c r="I6" t="s">
        <v>268</v>
      </c>
      <c r="J6" t="s">
        <v>269</v>
      </c>
      <c r="K6" t="s">
        <v>270</v>
      </c>
      <c r="L6">
        <v>1355</v>
      </c>
      <c r="N6">
        <v>1010</v>
      </c>
      <c r="O6" t="s">
        <v>271</v>
      </c>
      <c r="P6" t="s">
        <v>271</v>
      </c>
      <c r="Q6">
        <v>100</v>
      </c>
      <c r="W6">
        <v>0</v>
      </c>
      <c r="X6">
        <v>421425427</v>
      </c>
      <c r="Y6">
        <f t="shared" si="4"/>
        <v>0</v>
      </c>
      <c r="AA6">
        <v>1151.6600000000001</v>
      </c>
      <c r="AB6">
        <v>0</v>
      </c>
      <c r="AC6">
        <v>0</v>
      </c>
      <c r="AD6">
        <v>0</v>
      </c>
      <c r="AE6">
        <v>1151.6600000000001</v>
      </c>
      <c r="AF6">
        <v>0</v>
      </c>
      <c r="AG6">
        <v>0</v>
      </c>
      <c r="AH6">
        <v>0</v>
      </c>
      <c r="AI6">
        <v>1</v>
      </c>
      <c r="AJ6">
        <v>1</v>
      </c>
      <c r="AK6">
        <v>1</v>
      </c>
      <c r="AL6">
        <v>1</v>
      </c>
      <c r="AM6">
        <v>-2</v>
      </c>
      <c r="AN6">
        <v>0</v>
      </c>
      <c r="AO6">
        <v>1</v>
      </c>
      <c r="AP6">
        <v>1</v>
      </c>
      <c r="AQ6">
        <v>0</v>
      </c>
      <c r="AR6">
        <v>0</v>
      </c>
      <c r="AS6" t="s">
        <v>3</v>
      </c>
      <c r="AT6">
        <v>1</v>
      </c>
      <c r="AU6" t="s">
        <v>21</v>
      </c>
      <c r="AV6">
        <v>0</v>
      </c>
      <c r="AW6">
        <v>2</v>
      </c>
      <c r="AX6">
        <v>78131216</v>
      </c>
      <c r="AY6">
        <v>1</v>
      </c>
      <c r="AZ6">
        <v>0</v>
      </c>
      <c r="BA6">
        <v>6</v>
      </c>
      <c r="BB6">
        <v>0</v>
      </c>
      <c r="BC6">
        <v>0</v>
      </c>
      <c r="BD6">
        <v>0</v>
      </c>
      <c r="BE6">
        <v>0</v>
      </c>
      <c r="BF6">
        <v>0</v>
      </c>
      <c r="BG6">
        <v>0</v>
      </c>
      <c r="BH6">
        <v>0</v>
      </c>
      <c r="BI6">
        <v>0</v>
      </c>
      <c r="BJ6">
        <v>0</v>
      </c>
      <c r="BK6">
        <v>0</v>
      </c>
      <c r="BL6">
        <v>0</v>
      </c>
      <c r="BM6">
        <v>0</v>
      </c>
      <c r="BN6">
        <v>0</v>
      </c>
      <c r="BO6">
        <v>0</v>
      </c>
      <c r="BP6">
        <v>0</v>
      </c>
      <c r="BQ6">
        <v>0</v>
      </c>
      <c r="BR6">
        <v>0</v>
      </c>
      <c r="BS6">
        <v>0</v>
      </c>
      <c r="BT6">
        <v>0</v>
      </c>
      <c r="BU6">
        <v>0</v>
      </c>
      <c r="BV6">
        <v>0</v>
      </c>
      <c r="BW6">
        <v>0</v>
      </c>
      <c r="CV6">
        <v>0</v>
      </c>
      <c r="CW6">
        <v>0</v>
      </c>
      <c r="CX6">
        <f>ROUND(Y6*Source!I32,9)</f>
        <v>0</v>
      </c>
      <c r="CY6">
        <f t="shared" si="5"/>
        <v>1151.6600000000001</v>
      </c>
      <c r="CZ6">
        <f t="shared" si="6"/>
        <v>1151.6600000000001</v>
      </c>
      <c r="DA6">
        <f t="shared" si="7"/>
        <v>1</v>
      </c>
      <c r="DB6">
        <f t="shared" si="8"/>
        <v>0</v>
      </c>
      <c r="DC6">
        <f t="shared" si="9"/>
        <v>0</v>
      </c>
      <c r="DD6" t="s">
        <v>3</v>
      </c>
      <c r="DE6" t="s">
        <v>3</v>
      </c>
      <c r="DF6">
        <f t="shared" si="0"/>
        <v>0</v>
      </c>
      <c r="DG6">
        <f t="shared" si="1"/>
        <v>0</v>
      </c>
      <c r="DH6">
        <f t="shared" si="2"/>
        <v>0</v>
      </c>
      <c r="DI6">
        <f t="shared" si="3"/>
        <v>0</v>
      </c>
      <c r="DJ6">
        <f t="shared" si="10"/>
        <v>0</v>
      </c>
      <c r="DK6">
        <v>0</v>
      </c>
      <c r="DL6" t="s">
        <v>3</v>
      </c>
      <c r="DM6">
        <v>0</v>
      </c>
      <c r="DN6" t="s">
        <v>3</v>
      </c>
      <c r="DO6">
        <v>0</v>
      </c>
    </row>
    <row r="7" spans="1:119" x14ac:dyDescent="0.2">
      <c r="A7">
        <f>ROW(Source!A32)</f>
        <v>32</v>
      </c>
      <c r="B7">
        <v>78131199</v>
      </c>
      <c r="C7">
        <v>78130770</v>
      </c>
      <c r="D7">
        <v>77810270</v>
      </c>
      <c r="E7">
        <v>1</v>
      </c>
      <c r="F7">
        <v>1</v>
      </c>
      <c r="G7">
        <v>37</v>
      </c>
      <c r="H7">
        <v>3</v>
      </c>
      <c r="I7" t="s">
        <v>272</v>
      </c>
      <c r="J7" t="s">
        <v>273</v>
      </c>
      <c r="K7" t="s">
        <v>274</v>
      </c>
      <c r="L7">
        <v>1346</v>
      </c>
      <c r="N7">
        <v>1009</v>
      </c>
      <c r="O7" t="s">
        <v>264</v>
      </c>
      <c r="P7" t="s">
        <v>264</v>
      </c>
      <c r="Q7">
        <v>1</v>
      </c>
      <c r="W7">
        <v>0</v>
      </c>
      <c r="X7">
        <v>812221846</v>
      </c>
      <c r="Y7">
        <f t="shared" si="4"/>
        <v>0</v>
      </c>
      <c r="AA7">
        <v>97.56</v>
      </c>
      <c r="AB7">
        <v>0</v>
      </c>
      <c r="AC7">
        <v>0</v>
      </c>
      <c r="AD7">
        <v>0</v>
      </c>
      <c r="AE7">
        <v>97.56</v>
      </c>
      <c r="AF7">
        <v>0</v>
      </c>
      <c r="AG7">
        <v>0</v>
      </c>
      <c r="AH7">
        <v>0</v>
      </c>
      <c r="AI7">
        <v>1</v>
      </c>
      <c r="AJ7">
        <v>1</v>
      </c>
      <c r="AK7">
        <v>1</v>
      </c>
      <c r="AL7">
        <v>1</v>
      </c>
      <c r="AM7">
        <v>-2</v>
      </c>
      <c r="AN7">
        <v>0</v>
      </c>
      <c r="AO7">
        <v>1</v>
      </c>
      <c r="AP7">
        <v>1</v>
      </c>
      <c r="AQ7">
        <v>0</v>
      </c>
      <c r="AR7">
        <v>0</v>
      </c>
      <c r="AS7" t="s">
        <v>3</v>
      </c>
      <c r="AT7">
        <v>0.25</v>
      </c>
      <c r="AU7" t="s">
        <v>21</v>
      </c>
      <c r="AV7">
        <v>0</v>
      </c>
      <c r="AW7">
        <v>2</v>
      </c>
      <c r="AX7">
        <v>78131217</v>
      </c>
      <c r="AY7">
        <v>1</v>
      </c>
      <c r="AZ7">
        <v>0</v>
      </c>
      <c r="BA7">
        <v>7</v>
      </c>
      <c r="BB7">
        <v>0</v>
      </c>
      <c r="BC7">
        <v>0</v>
      </c>
      <c r="BD7">
        <v>0</v>
      </c>
      <c r="BE7">
        <v>0</v>
      </c>
      <c r="BF7">
        <v>0</v>
      </c>
      <c r="BG7">
        <v>0</v>
      </c>
      <c r="BH7">
        <v>0</v>
      </c>
      <c r="BI7">
        <v>0</v>
      </c>
      <c r="BJ7">
        <v>0</v>
      </c>
      <c r="BK7">
        <v>0</v>
      </c>
      <c r="BL7">
        <v>0</v>
      </c>
      <c r="BM7">
        <v>0</v>
      </c>
      <c r="BN7">
        <v>0</v>
      </c>
      <c r="BO7">
        <v>0</v>
      </c>
      <c r="BP7">
        <v>0</v>
      </c>
      <c r="BQ7">
        <v>0</v>
      </c>
      <c r="BR7">
        <v>0</v>
      </c>
      <c r="BS7">
        <v>0</v>
      </c>
      <c r="BT7">
        <v>0</v>
      </c>
      <c r="BU7">
        <v>0</v>
      </c>
      <c r="BV7">
        <v>0</v>
      </c>
      <c r="BW7">
        <v>0</v>
      </c>
      <c r="CV7">
        <v>0</v>
      </c>
      <c r="CW7">
        <v>0</v>
      </c>
      <c r="CX7">
        <f>ROUND(Y7*Source!I32,9)</f>
        <v>0</v>
      </c>
      <c r="CY7">
        <f t="shared" si="5"/>
        <v>97.56</v>
      </c>
      <c r="CZ7">
        <f t="shared" si="6"/>
        <v>97.56</v>
      </c>
      <c r="DA7">
        <f t="shared" si="7"/>
        <v>1</v>
      </c>
      <c r="DB7">
        <f t="shared" si="8"/>
        <v>0</v>
      </c>
      <c r="DC7">
        <f t="shared" si="9"/>
        <v>0</v>
      </c>
      <c r="DD7" t="s">
        <v>3</v>
      </c>
      <c r="DE7" t="s">
        <v>3</v>
      </c>
      <c r="DF7">
        <f t="shared" si="0"/>
        <v>0</v>
      </c>
      <c r="DG7">
        <f t="shared" si="1"/>
        <v>0</v>
      </c>
      <c r="DH7">
        <f t="shared" si="2"/>
        <v>0</v>
      </c>
      <c r="DI7">
        <f t="shared" si="3"/>
        <v>0</v>
      </c>
      <c r="DJ7">
        <f t="shared" si="10"/>
        <v>0</v>
      </c>
      <c r="DK7">
        <v>0</v>
      </c>
      <c r="DL7" t="s">
        <v>3</v>
      </c>
      <c r="DM7">
        <v>0</v>
      </c>
      <c r="DN7" t="s">
        <v>3</v>
      </c>
      <c r="DO7">
        <v>0</v>
      </c>
    </row>
    <row r="8" spans="1:119" x14ac:dyDescent="0.2">
      <c r="A8">
        <f>ROW(Source!A32)</f>
        <v>32</v>
      </c>
      <c r="B8">
        <v>78131199</v>
      </c>
      <c r="C8">
        <v>78130770</v>
      </c>
      <c r="D8">
        <v>77796161</v>
      </c>
      <c r="E8">
        <v>37</v>
      </c>
      <c r="F8">
        <v>1</v>
      </c>
      <c r="G8">
        <v>37</v>
      </c>
      <c r="H8">
        <v>3</v>
      </c>
      <c r="I8" t="s">
        <v>275</v>
      </c>
      <c r="J8" t="s">
        <v>276</v>
      </c>
      <c r="K8" t="s">
        <v>277</v>
      </c>
      <c r="L8">
        <v>1348</v>
      </c>
      <c r="N8">
        <v>1009</v>
      </c>
      <c r="O8" t="s">
        <v>200</v>
      </c>
      <c r="P8" t="s">
        <v>200</v>
      </c>
      <c r="Q8">
        <v>1000</v>
      </c>
      <c r="W8">
        <v>0</v>
      </c>
      <c r="X8">
        <v>1022491451</v>
      </c>
      <c r="Y8">
        <f t="shared" si="4"/>
        <v>0</v>
      </c>
      <c r="AA8">
        <v>67221.42</v>
      </c>
      <c r="AB8">
        <v>0</v>
      </c>
      <c r="AC8">
        <v>0</v>
      </c>
      <c r="AD8">
        <v>0</v>
      </c>
      <c r="AE8">
        <v>67221.42</v>
      </c>
      <c r="AF8">
        <v>0</v>
      </c>
      <c r="AG8">
        <v>0</v>
      </c>
      <c r="AH8">
        <v>0</v>
      </c>
      <c r="AI8">
        <v>1</v>
      </c>
      <c r="AJ8">
        <v>1</v>
      </c>
      <c r="AK8">
        <v>1</v>
      </c>
      <c r="AL8">
        <v>1</v>
      </c>
      <c r="AM8">
        <v>-2</v>
      </c>
      <c r="AN8">
        <v>0</v>
      </c>
      <c r="AO8">
        <v>1</v>
      </c>
      <c r="AP8">
        <v>1</v>
      </c>
      <c r="AQ8">
        <v>0</v>
      </c>
      <c r="AR8">
        <v>0</v>
      </c>
      <c r="AS8" t="s">
        <v>3</v>
      </c>
      <c r="AT8">
        <v>1.6000000000000001E-6</v>
      </c>
      <c r="AU8" t="s">
        <v>21</v>
      </c>
      <c r="AV8">
        <v>0</v>
      </c>
      <c r="AW8">
        <v>2</v>
      </c>
      <c r="AX8">
        <v>78131220</v>
      </c>
      <c r="AY8">
        <v>2</v>
      </c>
      <c r="AZ8">
        <v>20480</v>
      </c>
      <c r="BA8">
        <v>8</v>
      </c>
      <c r="BB8">
        <v>0</v>
      </c>
      <c r="BC8">
        <v>0</v>
      </c>
      <c r="BD8">
        <v>0</v>
      </c>
      <c r="BE8">
        <v>0</v>
      </c>
      <c r="BF8">
        <v>0</v>
      </c>
      <c r="BG8">
        <v>0</v>
      </c>
      <c r="BH8">
        <v>0</v>
      </c>
      <c r="BI8">
        <v>0</v>
      </c>
      <c r="BJ8">
        <v>0</v>
      </c>
      <c r="BK8">
        <v>0</v>
      </c>
      <c r="BL8">
        <v>0</v>
      </c>
      <c r="BM8">
        <v>0</v>
      </c>
      <c r="BN8">
        <v>0</v>
      </c>
      <c r="BO8">
        <v>0</v>
      </c>
      <c r="BP8">
        <v>0</v>
      </c>
      <c r="BQ8">
        <v>0</v>
      </c>
      <c r="BR8">
        <v>0</v>
      </c>
      <c r="BS8">
        <v>0</v>
      </c>
      <c r="BT8">
        <v>0</v>
      </c>
      <c r="BU8">
        <v>0</v>
      </c>
      <c r="BV8">
        <v>0</v>
      </c>
      <c r="BW8">
        <v>0</v>
      </c>
      <c r="CV8">
        <v>0</v>
      </c>
      <c r="CW8">
        <v>0</v>
      </c>
      <c r="CX8">
        <f>ROUND(Y8*Source!I32,9)</f>
        <v>0</v>
      </c>
      <c r="CY8">
        <f t="shared" si="5"/>
        <v>67221.42</v>
      </c>
      <c r="CZ8">
        <f t="shared" si="6"/>
        <v>67221.42</v>
      </c>
      <c r="DA8">
        <f t="shared" si="7"/>
        <v>1</v>
      </c>
      <c r="DB8">
        <f t="shared" si="8"/>
        <v>0</v>
      </c>
      <c r="DC8">
        <f t="shared" si="9"/>
        <v>0</v>
      </c>
      <c r="DD8" t="s">
        <v>3</v>
      </c>
      <c r="DE8" t="s">
        <v>3</v>
      </c>
      <c r="DF8">
        <f t="shared" si="0"/>
        <v>0</v>
      </c>
      <c r="DG8">
        <f t="shared" si="1"/>
        <v>0</v>
      </c>
      <c r="DH8">
        <f t="shared" si="2"/>
        <v>0</v>
      </c>
      <c r="DI8">
        <f t="shared" si="3"/>
        <v>0</v>
      </c>
      <c r="DJ8">
        <f t="shared" si="10"/>
        <v>0</v>
      </c>
      <c r="DK8">
        <v>0</v>
      </c>
      <c r="DL8" t="s">
        <v>3</v>
      </c>
      <c r="DM8">
        <v>0</v>
      </c>
      <c r="DN8" t="s">
        <v>3</v>
      </c>
      <c r="DO8">
        <v>0</v>
      </c>
    </row>
    <row r="9" spans="1:119" x14ac:dyDescent="0.2">
      <c r="A9">
        <f>ROW(Source!A32)</f>
        <v>32</v>
      </c>
      <c r="B9">
        <v>78131199</v>
      </c>
      <c r="C9">
        <v>78130770</v>
      </c>
      <c r="D9">
        <v>77810520</v>
      </c>
      <c r="E9">
        <v>1</v>
      </c>
      <c r="F9">
        <v>1</v>
      </c>
      <c r="G9">
        <v>37</v>
      </c>
      <c r="H9">
        <v>3</v>
      </c>
      <c r="I9" t="s">
        <v>278</v>
      </c>
      <c r="J9" t="s">
        <v>279</v>
      </c>
      <c r="K9" t="s">
        <v>280</v>
      </c>
      <c r="L9">
        <v>1339</v>
      </c>
      <c r="N9">
        <v>1007</v>
      </c>
      <c r="O9" t="s">
        <v>281</v>
      </c>
      <c r="P9" t="s">
        <v>281</v>
      </c>
      <c r="Q9">
        <v>1</v>
      </c>
      <c r="W9">
        <v>0</v>
      </c>
      <c r="X9">
        <v>-1393929784</v>
      </c>
      <c r="Y9">
        <f t="shared" si="4"/>
        <v>0</v>
      </c>
      <c r="AA9">
        <v>49.83</v>
      </c>
      <c r="AB9">
        <v>0</v>
      </c>
      <c r="AC9">
        <v>0</v>
      </c>
      <c r="AD9">
        <v>0</v>
      </c>
      <c r="AE9">
        <v>49.83</v>
      </c>
      <c r="AF9">
        <v>0</v>
      </c>
      <c r="AG9">
        <v>0</v>
      </c>
      <c r="AH9">
        <v>0</v>
      </c>
      <c r="AI9">
        <v>1</v>
      </c>
      <c r="AJ9">
        <v>1</v>
      </c>
      <c r="AK9">
        <v>1</v>
      </c>
      <c r="AL9">
        <v>1</v>
      </c>
      <c r="AM9">
        <v>-2</v>
      </c>
      <c r="AN9">
        <v>0</v>
      </c>
      <c r="AO9">
        <v>1</v>
      </c>
      <c r="AP9">
        <v>1</v>
      </c>
      <c r="AQ9">
        <v>0</v>
      </c>
      <c r="AR9">
        <v>0</v>
      </c>
      <c r="AS9" t="s">
        <v>3</v>
      </c>
      <c r="AT9">
        <v>0.47</v>
      </c>
      <c r="AU9" t="s">
        <v>21</v>
      </c>
      <c r="AV9">
        <v>0</v>
      </c>
      <c r="AW9">
        <v>2</v>
      </c>
      <c r="AX9">
        <v>78131218</v>
      </c>
      <c r="AY9">
        <v>1</v>
      </c>
      <c r="AZ9">
        <v>0</v>
      </c>
      <c r="BA9">
        <v>9</v>
      </c>
      <c r="BB9">
        <v>0</v>
      </c>
      <c r="BC9">
        <v>0</v>
      </c>
      <c r="BD9">
        <v>0</v>
      </c>
      <c r="BE9">
        <v>0</v>
      </c>
      <c r="BF9">
        <v>0</v>
      </c>
      <c r="BG9">
        <v>0</v>
      </c>
      <c r="BH9">
        <v>0</v>
      </c>
      <c r="BI9">
        <v>0</v>
      </c>
      <c r="BJ9">
        <v>0</v>
      </c>
      <c r="BK9">
        <v>0</v>
      </c>
      <c r="BL9">
        <v>0</v>
      </c>
      <c r="BM9">
        <v>0</v>
      </c>
      <c r="BN9">
        <v>0</v>
      </c>
      <c r="BO9">
        <v>0</v>
      </c>
      <c r="BP9">
        <v>0</v>
      </c>
      <c r="BQ9">
        <v>0</v>
      </c>
      <c r="BR9">
        <v>0</v>
      </c>
      <c r="BS9">
        <v>0</v>
      </c>
      <c r="BT9">
        <v>0</v>
      </c>
      <c r="BU9">
        <v>0</v>
      </c>
      <c r="BV9">
        <v>0</v>
      </c>
      <c r="BW9">
        <v>0</v>
      </c>
      <c r="CV9">
        <v>0</v>
      </c>
      <c r="CW9">
        <v>0</v>
      </c>
      <c r="CX9">
        <f>ROUND(Y9*Source!I32,9)</f>
        <v>0</v>
      </c>
      <c r="CY9">
        <f t="shared" si="5"/>
        <v>49.83</v>
      </c>
      <c r="CZ9">
        <f t="shared" si="6"/>
        <v>49.83</v>
      </c>
      <c r="DA9">
        <f t="shared" si="7"/>
        <v>1</v>
      </c>
      <c r="DB9">
        <f t="shared" si="8"/>
        <v>0</v>
      </c>
      <c r="DC9">
        <f t="shared" si="9"/>
        <v>0</v>
      </c>
      <c r="DD9" t="s">
        <v>3</v>
      </c>
      <c r="DE9" t="s">
        <v>3</v>
      </c>
      <c r="DF9">
        <f t="shared" si="0"/>
        <v>0</v>
      </c>
      <c r="DG9">
        <f t="shared" si="1"/>
        <v>0</v>
      </c>
      <c r="DH9">
        <f t="shared" si="2"/>
        <v>0</v>
      </c>
      <c r="DI9">
        <f t="shared" si="3"/>
        <v>0</v>
      </c>
      <c r="DJ9">
        <f t="shared" si="10"/>
        <v>0</v>
      </c>
      <c r="DK9">
        <v>0</v>
      </c>
      <c r="DL9" t="s">
        <v>3</v>
      </c>
      <c r="DM9">
        <v>0</v>
      </c>
      <c r="DN9" t="s">
        <v>3</v>
      </c>
      <c r="DO9">
        <v>0</v>
      </c>
    </row>
    <row r="10" spans="1:119" x14ac:dyDescent="0.2">
      <c r="A10">
        <f>ROW(Source!A32)</f>
        <v>32</v>
      </c>
      <c r="B10">
        <v>78131199</v>
      </c>
      <c r="C10">
        <v>78130770</v>
      </c>
      <c r="D10">
        <v>77810577</v>
      </c>
      <c r="E10">
        <v>1</v>
      </c>
      <c r="F10">
        <v>1</v>
      </c>
      <c r="G10">
        <v>37</v>
      </c>
      <c r="H10">
        <v>3</v>
      </c>
      <c r="I10" t="s">
        <v>282</v>
      </c>
      <c r="J10" t="s">
        <v>283</v>
      </c>
      <c r="K10" t="s">
        <v>284</v>
      </c>
      <c r="L10">
        <v>1346</v>
      </c>
      <c r="N10">
        <v>1009</v>
      </c>
      <c r="O10" t="s">
        <v>264</v>
      </c>
      <c r="P10" t="s">
        <v>264</v>
      </c>
      <c r="Q10">
        <v>1</v>
      </c>
      <c r="W10">
        <v>0</v>
      </c>
      <c r="X10">
        <v>-900515407</v>
      </c>
      <c r="Y10">
        <f t="shared" si="4"/>
        <v>0</v>
      </c>
      <c r="AA10">
        <v>495.12</v>
      </c>
      <c r="AB10">
        <v>0</v>
      </c>
      <c r="AC10">
        <v>0</v>
      </c>
      <c r="AD10">
        <v>0</v>
      </c>
      <c r="AE10">
        <v>495.12</v>
      </c>
      <c r="AF10">
        <v>0</v>
      </c>
      <c r="AG10">
        <v>0</v>
      </c>
      <c r="AH10">
        <v>0</v>
      </c>
      <c r="AI10">
        <v>1</v>
      </c>
      <c r="AJ10">
        <v>1</v>
      </c>
      <c r="AK10">
        <v>1</v>
      </c>
      <c r="AL10">
        <v>1</v>
      </c>
      <c r="AM10">
        <v>-2</v>
      </c>
      <c r="AN10">
        <v>0</v>
      </c>
      <c r="AO10">
        <v>1</v>
      </c>
      <c r="AP10">
        <v>1</v>
      </c>
      <c r="AQ10">
        <v>0</v>
      </c>
      <c r="AR10">
        <v>0</v>
      </c>
      <c r="AS10" t="s">
        <v>3</v>
      </c>
      <c r="AT10">
        <v>0.25</v>
      </c>
      <c r="AU10" t="s">
        <v>21</v>
      </c>
      <c r="AV10">
        <v>0</v>
      </c>
      <c r="AW10">
        <v>2</v>
      </c>
      <c r="AX10">
        <v>78131219</v>
      </c>
      <c r="AY10">
        <v>1</v>
      </c>
      <c r="AZ10">
        <v>0</v>
      </c>
      <c r="BA10">
        <v>10</v>
      </c>
      <c r="BB10">
        <v>0</v>
      </c>
      <c r="BC10">
        <v>0</v>
      </c>
      <c r="BD10">
        <v>0</v>
      </c>
      <c r="BE10">
        <v>0</v>
      </c>
      <c r="BF10">
        <v>0</v>
      </c>
      <c r="BG10">
        <v>0</v>
      </c>
      <c r="BH10">
        <v>0</v>
      </c>
      <c r="BI10">
        <v>0</v>
      </c>
      <c r="BJ10">
        <v>0</v>
      </c>
      <c r="BK10">
        <v>0</v>
      </c>
      <c r="BL10">
        <v>0</v>
      </c>
      <c r="BM10">
        <v>0</v>
      </c>
      <c r="BN10">
        <v>0</v>
      </c>
      <c r="BO10">
        <v>0</v>
      </c>
      <c r="BP10">
        <v>0</v>
      </c>
      <c r="BQ10">
        <v>0</v>
      </c>
      <c r="BR10">
        <v>0</v>
      </c>
      <c r="BS10">
        <v>0</v>
      </c>
      <c r="BT10">
        <v>0</v>
      </c>
      <c r="BU10">
        <v>0</v>
      </c>
      <c r="BV10">
        <v>0</v>
      </c>
      <c r="BW10">
        <v>0</v>
      </c>
      <c r="CV10">
        <v>0</v>
      </c>
      <c r="CW10">
        <v>0</v>
      </c>
      <c r="CX10">
        <f>ROUND(Y10*Source!I32,9)</f>
        <v>0</v>
      </c>
      <c r="CY10">
        <f t="shared" si="5"/>
        <v>495.12</v>
      </c>
      <c r="CZ10">
        <f t="shared" si="6"/>
        <v>495.12</v>
      </c>
      <c r="DA10">
        <f t="shared" si="7"/>
        <v>1</v>
      </c>
      <c r="DB10">
        <f t="shared" si="8"/>
        <v>0</v>
      </c>
      <c r="DC10">
        <f t="shared" si="9"/>
        <v>0</v>
      </c>
      <c r="DD10" t="s">
        <v>3</v>
      </c>
      <c r="DE10" t="s">
        <v>3</v>
      </c>
      <c r="DF10">
        <f t="shared" si="0"/>
        <v>0</v>
      </c>
      <c r="DG10">
        <f t="shared" si="1"/>
        <v>0</v>
      </c>
      <c r="DH10">
        <f t="shared" si="2"/>
        <v>0</v>
      </c>
      <c r="DI10">
        <f t="shared" si="3"/>
        <v>0</v>
      </c>
      <c r="DJ10">
        <f t="shared" si="10"/>
        <v>0</v>
      </c>
      <c r="DK10">
        <v>0</v>
      </c>
      <c r="DL10" t="s">
        <v>3</v>
      </c>
      <c r="DM10">
        <v>0</v>
      </c>
      <c r="DN10" t="s">
        <v>3</v>
      </c>
      <c r="DO10">
        <v>0</v>
      </c>
    </row>
    <row r="11" spans="1:119" x14ac:dyDescent="0.2">
      <c r="A11">
        <f>ROW(Source!A32)</f>
        <v>32</v>
      </c>
      <c r="B11">
        <v>78131199</v>
      </c>
      <c r="C11">
        <v>78130770</v>
      </c>
      <c r="D11">
        <v>77806722</v>
      </c>
      <c r="E11">
        <v>37</v>
      </c>
      <c r="F11">
        <v>1</v>
      </c>
      <c r="G11">
        <v>37</v>
      </c>
      <c r="H11">
        <v>3</v>
      </c>
      <c r="I11" t="s">
        <v>31</v>
      </c>
      <c r="J11" t="s">
        <v>3</v>
      </c>
      <c r="K11" t="s">
        <v>32</v>
      </c>
      <c r="L11">
        <v>1301</v>
      </c>
      <c r="N11">
        <v>1003</v>
      </c>
      <c r="O11" t="s">
        <v>33</v>
      </c>
      <c r="P11" t="s">
        <v>33</v>
      </c>
      <c r="Q11">
        <v>1</v>
      </c>
      <c r="W11">
        <v>0</v>
      </c>
      <c r="X11">
        <v>-602450138</v>
      </c>
      <c r="Y11">
        <f t="shared" si="4"/>
        <v>0</v>
      </c>
      <c r="AA11">
        <v>0</v>
      </c>
      <c r="AB11">
        <v>0</v>
      </c>
      <c r="AC11">
        <v>0</v>
      </c>
      <c r="AD11">
        <v>0</v>
      </c>
      <c r="AE11">
        <v>0</v>
      </c>
      <c r="AF11">
        <v>0</v>
      </c>
      <c r="AG11">
        <v>0</v>
      </c>
      <c r="AH11">
        <v>0</v>
      </c>
      <c r="AI11">
        <v>1</v>
      </c>
      <c r="AJ11">
        <v>1</v>
      </c>
      <c r="AK11">
        <v>1</v>
      </c>
      <c r="AL11">
        <v>1</v>
      </c>
      <c r="AM11">
        <v>-2</v>
      </c>
      <c r="AN11">
        <v>0</v>
      </c>
      <c r="AO11">
        <v>0</v>
      </c>
      <c r="AP11">
        <v>1</v>
      </c>
      <c r="AQ11">
        <v>0</v>
      </c>
      <c r="AR11">
        <v>0</v>
      </c>
      <c r="AS11" t="s">
        <v>3</v>
      </c>
      <c r="AT11">
        <v>89.9</v>
      </c>
      <c r="AU11" t="s">
        <v>21</v>
      </c>
      <c r="AV11">
        <v>0</v>
      </c>
      <c r="AW11">
        <v>2</v>
      </c>
      <c r="AX11">
        <v>78131221</v>
      </c>
      <c r="AY11">
        <v>1</v>
      </c>
      <c r="AZ11">
        <v>0</v>
      </c>
      <c r="BA11">
        <v>11</v>
      </c>
      <c r="BB11">
        <v>0</v>
      </c>
      <c r="BC11">
        <v>0</v>
      </c>
      <c r="BD11">
        <v>0</v>
      </c>
      <c r="BE11">
        <v>0</v>
      </c>
      <c r="BF11">
        <v>0</v>
      </c>
      <c r="BG11">
        <v>0</v>
      </c>
      <c r="BH11">
        <v>0</v>
      </c>
      <c r="BI11">
        <v>0</v>
      </c>
      <c r="BJ11">
        <v>0</v>
      </c>
      <c r="BK11">
        <v>0</v>
      </c>
      <c r="BL11">
        <v>0</v>
      </c>
      <c r="BM11">
        <v>0</v>
      </c>
      <c r="BN11">
        <v>0</v>
      </c>
      <c r="BO11">
        <v>0</v>
      </c>
      <c r="BP11">
        <v>0</v>
      </c>
      <c r="BQ11">
        <v>0</v>
      </c>
      <c r="BR11">
        <v>0</v>
      </c>
      <c r="BS11">
        <v>0</v>
      </c>
      <c r="BT11">
        <v>0</v>
      </c>
      <c r="BU11">
        <v>0</v>
      </c>
      <c r="BV11">
        <v>0</v>
      </c>
      <c r="BW11">
        <v>0</v>
      </c>
      <c r="CV11">
        <v>0</v>
      </c>
      <c r="CW11">
        <v>0</v>
      </c>
      <c r="CX11">
        <f>ROUND(Y11*Source!I32,9)</f>
        <v>0</v>
      </c>
      <c r="CY11">
        <f t="shared" si="5"/>
        <v>0</v>
      </c>
      <c r="CZ11">
        <f t="shared" si="6"/>
        <v>0</v>
      </c>
      <c r="DA11">
        <f t="shared" si="7"/>
        <v>1</v>
      </c>
      <c r="DB11">
        <f t="shared" si="8"/>
        <v>0</v>
      </c>
      <c r="DC11">
        <f t="shared" si="9"/>
        <v>0</v>
      </c>
      <c r="DD11" t="s">
        <v>3</v>
      </c>
      <c r="DE11" t="s">
        <v>3</v>
      </c>
      <c r="DF11">
        <f t="shared" si="0"/>
        <v>0</v>
      </c>
      <c r="DG11">
        <f t="shared" si="1"/>
        <v>0</v>
      </c>
      <c r="DH11">
        <f t="shared" si="2"/>
        <v>0</v>
      </c>
      <c r="DI11">
        <f t="shared" si="3"/>
        <v>0</v>
      </c>
      <c r="DJ11">
        <f t="shared" si="10"/>
        <v>0</v>
      </c>
      <c r="DK11">
        <v>0</v>
      </c>
      <c r="DL11" t="s">
        <v>3</v>
      </c>
      <c r="DM11">
        <v>0</v>
      </c>
      <c r="DN11" t="s">
        <v>3</v>
      </c>
      <c r="DO11">
        <v>0</v>
      </c>
    </row>
    <row r="12" spans="1:119" x14ac:dyDescent="0.2">
      <c r="A12">
        <f>ROW(Source!A32)</f>
        <v>32</v>
      </c>
      <c r="B12">
        <v>78131199</v>
      </c>
      <c r="C12">
        <v>78130770</v>
      </c>
      <c r="D12">
        <v>77807095</v>
      </c>
      <c r="E12">
        <v>37</v>
      </c>
      <c r="F12">
        <v>1</v>
      </c>
      <c r="G12">
        <v>37</v>
      </c>
      <c r="H12">
        <v>3</v>
      </c>
      <c r="I12" t="s">
        <v>35</v>
      </c>
      <c r="J12" t="s">
        <v>3</v>
      </c>
      <c r="K12" t="s">
        <v>36</v>
      </c>
      <c r="L12">
        <v>1354</v>
      </c>
      <c r="N12">
        <v>1010</v>
      </c>
      <c r="O12" t="s">
        <v>29</v>
      </c>
      <c r="P12" t="s">
        <v>29</v>
      </c>
      <c r="Q12">
        <v>1</v>
      </c>
      <c r="W12">
        <v>0</v>
      </c>
      <c r="X12">
        <v>1569462797</v>
      </c>
      <c r="Y12">
        <f t="shared" si="4"/>
        <v>0</v>
      </c>
      <c r="AA12">
        <v>0</v>
      </c>
      <c r="AB12">
        <v>0</v>
      </c>
      <c r="AC12">
        <v>0</v>
      </c>
      <c r="AD12">
        <v>0</v>
      </c>
      <c r="AE12">
        <v>0</v>
      </c>
      <c r="AF12">
        <v>0</v>
      </c>
      <c r="AG12">
        <v>0</v>
      </c>
      <c r="AH12">
        <v>0</v>
      </c>
      <c r="AI12">
        <v>1</v>
      </c>
      <c r="AJ12">
        <v>1</v>
      </c>
      <c r="AK12">
        <v>1</v>
      </c>
      <c r="AL12">
        <v>1</v>
      </c>
      <c r="AM12">
        <v>-2</v>
      </c>
      <c r="AN12">
        <v>0</v>
      </c>
      <c r="AO12">
        <v>0</v>
      </c>
      <c r="AP12">
        <v>1</v>
      </c>
      <c r="AQ12">
        <v>0</v>
      </c>
      <c r="AR12">
        <v>0</v>
      </c>
      <c r="AS12" t="s">
        <v>3</v>
      </c>
      <c r="AT12">
        <v>0</v>
      </c>
      <c r="AU12" t="s">
        <v>21</v>
      </c>
      <c r="AV12">
        <v>0</v>
      </c>
      <c r="AW12">
        <v>2</v>
      </c>
      <c r="AX12">
        <v>78131222</v>
      </c>
      <c r="AY12">
        <v>1</v>
      </c>
      <c r="AZ12">
        <v>0</v>
      </c>
      <c r="BA12">
        <v>12</v>
      </c>
      <c r="BB12">
        <v>0</v>
      </c>
      <c r="BC12">
        <v>0</v>
      </c>
      <c r="BD12">
        <v>0</v>
      </c>
      <c r="BE12">
        <v>0</v>
      </c>
      <c r="BF12">
        <v>0</v>
      </c>
      <c r="BG12">
        <v>0</v>
      </c>
      <c r="BH12">
        <v>0</v>
      </c>
      <c r="BI12">
        <v>0</v>
      </c>
      <c r="BJ12">
        <v>0</v>
      </c>
      <c r="BK12">
        <v>0</v>
      </c>
      <c r="BL12">
        <v>0</v>
      </c>
      <c r="BM12">
        <v>0</v>
      </c>
      <c r="BN12">
        <v>0</v>
      </c>
      <c r="BO12">
        <v>0</v>
      </c>
      <c r="BP12">
        <v>0</v>
      </c>
      <c r="BQ12">
        <v>0</v>
      </c>
      <c r="BR12">
        <v>0</v>
      </c>
      <c r="BS12">
        <v>0</v>
      </c>
      <c r="BT12">
        <v>0</v>
      </c>
      <c r="BU12">
        <v>0</v>
      </c>
      <c r="BV12">
        <v>0</v>
      </c>
      <c r="BW12">
        <v>0</v>
      </c>
      <c r="CV12">
        <v>0</v>
      </c>
      <c r="CW12">
        <v>0</v>
      </c>
      <c r="CX12">
        <f>ROUND(Y12*Source!I32,9)</f>
        <v>0</v>
      </c>
      <c r="CY12">
        <f t="shared" si="5"/>
        <v>0</v>
      </c>
      <c r="CZ12">
        <f t="shared" si="6"/>
        <v>0</v>
      </c>
      <c r="DA12">
        <f t="shared" si="7"/>
        <v>1</v>
      </c>
      <c r="DB12">
        <f t="shared" si="8"/>
        <v>0</v>
      </c>
      <c r="DC12">
        <f t="shared" si="9"/>
        <v>0</v>
      </c>
      <c r="DD12" t="s">
        <v>3</v>
      </c>
      <c r="DE12" t="s">
        <v>3</v>
      </c>
      <c r="DF12">
        <f t="shared" si="0"/>
        <v>0</v>
      </c>
      <c r="DG12">
        <f t="shared" si="1"/>
        <v>0</v>
      </c>
      <c r="DH12">
        <f t="shared" si="2"/>
        <v>0</v>
      </c>
      <c r="DI12">
        <f t="shared" si="3"/>
        <v>0</v>
      </c>
      <c r="DJ12">
        <f t="shared" si="10"/>
        <v>0</v>
      </c>
      <c r="DK12">
        <v>0</v>
      </c>
      <c r="DL12" t="s">
        <v>3</v>
      </c>
      <c r="DM12">
        <v>0</v>
      </c>
      <c r="DN12" t="s">
        <v>3</v>
      </c>
      <c r="DO12">
        <v>0</v>
      </c>
    </row>
    <row r="13" spans="1:119" x14ac:dyDescent="0.2">
      <c r="A13">
        <f>ROW(Source!A32)</f>
        <v>32</v>
      </c>
      <c r="B13">
        <v>78131199</v>
      </c>
      <c r="C13">
        <v>78130770</v>
      </c>
      <c r="D13">
        <v>77806715</v>
      </c>
      <c r="E13">
        <v>37</v>
      </c>
      <c r="F13">
        <v>1</v>
      </c>
      <c r="G13">
        <v>37</v>
      </c>
      <c r="H13">
        <v>3</v>
      </c>
      <c r="I13" t="s">
        <v>38</v>
      </c>
      <c r="J13" t="s">
        <v>3</v>
      </c>
      <c r="K13" t="s">
        <v>39</v>
      </c>
      <c r="L13">
        <v>1354</v>
      </c>
      <c r="N13">
        <v>1010</v>
      </c>
      <c r="O13" t="s">
        <v>29</v>
      </c>
      <c r="P13" t="s">
        <v>29</v>
      </c>
      <c r="Q13">
        <v>1</v>
      </c>
      <c r="W13">
        <v>0</v>
      </c>
      <c r="X13">
        <v>-1590809106</v>
      </c>
      <c r="Y13">
        <f t="shared" si="4"/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0</v>
      </c>
      <c r="AH13">
        <v>0</v>
      </c>
      <c r="AI13">
        <v>1</v>
      </c>
      <c r="AJ13">
        <v>1</v>
      </c>
      <c r="AK13">
        <v>1</v>
      </c>
      <c r="AL13">
        <v>1</v>
      </c>
      <c r="AM13">
        <v>-2</v>
      </c>
      <c r="AN13">
        <v>0</v>
      </c>
      <c r="AO13">
        <v>0</v>
      </c>
      <c r="AP13">
        <v>1</v>
      </c>
      <c r="AQ13">
        <v>0</v>
      </c>
      <c r="AR13">
        <v>0</v>
      </c>
      <c r="AS13" t="s">
        <v>3</v>
      </c>
      <c r="AT13">
        <v>0</v>
      </c>
      <c r="AU13" t="s">
        <v>21</v>
      </c>
      <c r="AV13">
        <v>0</v>
      </c>
      <c r="AW13">
        <v>2</v>
      </c>
      <c r="AX13">
        <v>78131223</v>
      </c>
      <c r="AY13">
        <v>1</v>
      </c>
      <c r="AZ13">
        <v>0</v>
      </c>
      <c r="BA13">
        <v>13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0</v>
      </c>
      <c r="BI13">
        <v>0</v>
      </c>
      <c r="BJ13">
        <v>0</v>
      </c>
      <c r="BK13">
        <v>0</v>
      </c>
      <c r="BL13">
        <v>0</v>
      </c>
      <c r="BM13">
        <v>0</v>
      </c>
      <c r="BN13">
        <v>0</v>
      </c>
      <c r="BO13">
        <v>0</v>
      </c>
      <c r="BP13">
        <v>0</v>
      </c>
      <c r="BQ13">
        <v>0</v>
      </c>
      <c r="BR13">
        <v>0</v>
      </c>
      <c r="BS13">
        <v>0</v>
      </c>
      <c r="BT13">
        <v>0</v>
      </c>
      <c r="BU13">
        <v>0</v>
      </c>
      <c r="BV13">
        <v>0</v>
      </c>
      <c r="BW13">
        <v>0</v>
      </c>
      <c r="CV13">
        <v>0</v>
      </c>
      <c r="CW13">
        <v>0</v>
      </c>
      <c r="CX13">
        <f>ROUND(Y13*Source!I32,9)</f>
        <v>0</v>
      </c>
      <c r="CY13">
        <f t="shared" si="5"/>
        <v>0</v>
      </c>
      <c r="CZ13">
        <f t="shared" si="6"/>
        <v>0</v>
      </c>
      <c r="DA13">
        <f t="shared" si="7"/>
        <v>1</v>
      </c>
      <c r="DB13">
        <f t="shared" si="8"/>
        <v>0</v>
      </c>
      <c r="DC13">
        <f t="shared" si="9"/>
        <v>0</v>
      </c>
      <c r="DD13" t="s">
        <v>3</v>
      </c>
      <c r="DE13" t="s">
        <v>3</v>
      </c>
      <c r="DF13">
        <f t="shared" si="0"/>
        <v>0</v>
      </c>
      <c r="DG13">
        <f t="shared" si="1"/>
        <v>0</v>
      </c>
      <c r="DH13">
        <f t="shared" si="2"/>
        <v>0</v>
      </c>
      <c r="DI13">
        <f t="shared" si="3"/>
        <v>0</v>
      </c>
      <c r="DJ13">
        <f t="shared" si="10"/>
        <v>0</v>
      </c>
      <c r="DK13">
        <v>0</v>
      </c>
      <c r="DL13" t="s">
        <v>3</v>
      </c>
      <c r="DM13">
        <v>0</v>
      </c>
      <c r="DN13" t="s">
        <v>3</v>
      </c>
      <c r="DO13">
        <v>0</v>
      </c>
    </row>
    <row r="14" spans="1:119" x14ac:dyDescent="0.2">
      <c r="A14">
        <f>ROW(Source!A37)</f>
        <v>37</v>
      </c>
      <c r="B14">
        <v>78131199</v>
      </c>
      <c r="C14">
        <v>78130801</v>
      </c>
      <c r="D14">
        <v>77806460</v>
      </c>
      <c r="E14">
        <v>37</v>
      </c>
      <c r="F14">
        <v>1</v>
      </c>
      <c r="G14">
        <v>37</v>
      </c>
      <c r="H14">
        <v>1</v>
      </c>
      <c r="I14" t="s">
        <v>254</v>
      </c>
      <c r="J14" t="s">
        <v>3</v>
      </c>
      <c r="K14" t="s">
        <v>255</v>
      </c>
      <c r="L14">
        <v>1191</v>
      </c>
      <c r="N14">
        <v>1013</v>
      </c>
      <c r="O14" t="s">
        <v>256</v>
      </c>
      <c r="P14" t="s">
        <v>256</v>
      </c>
      <c r="Q14">
        <v>1</v>
      </c>
      <c r="W14">
        <v>0</v>
      </c>
      <c r="X14">
        <v>476480486</v>
      </c>
      <c r="Y14">
        <f t="shared" ref="Y14:Y42" si="11">AT14</f>
        <v>38.76</v>
      </c>
      <c r="AA14">
        <v>0</v>
      </c>
      <c r="AB14">
        <v>0</v>
      </c>
      <c r="AC14">
        <v>0</v>
      </c>
      <c r="AD14">
        <v>0</v>
      </c>
      <c r="AE14">
        <v>0</v>
      </c>
      <c r="AF14">
        <v>0</v>
      </c>
      <c r="AG14">
        <v>0</v>
      </c>
      <c r="AH14">
        <v>0</v>
      </c>
      <c r="AI14">
        <v>1</v>
      </c>
      <c r="AJ14">
        <v>1</v>
      </c>
      <c r="AK14">
        <v>1</v>
      </c>
      <c r="AL14">
        <v>1</v>
      </c>
      <c r="AM14">
        <v>-2</v>
      </c>
      <c r="AN14">
        <v>0</v>
      </c>
      <c r="AO14">
        <v>1</v>
      </c>
      <c r="AP14">
        <v>0</v>
      </c>
      <c r="AQ14">
        <v>0</v>
      </c>
      <c r="AR14">
        <v>0</v>
      </c>
      <c r="AS14" t="s">
        <v>3</v>
      </c>
      <c r="AT14">
        <v>38.76</v>
      </c>
      <c r="AU14" t="s">
        <v>3</v>
      </c>
      <c r="AV14">
        <v>1</v>
      </c>
      <c r="AW14">
        <v>2</v>
      </c>
      <c r="AX14">
        <v>78130814</v>
      </c>
      <c r="AY14">
        <v>1</v>
      </c>
      <c r="AZ14">
        <v>0</v>
      </c>
      <c r="BA14">
        <v>14</v>
      </c>
      <c r="BB14">
        <v>0</v>
      </c>
      <c r="BC14">
        <v>0</v>
      </c>
      <c r="BD14">
        <v>0</v>
      </c>
      <c r="BE14">
        <v>0</v>
      </c>
      <c r="BF14">
        <v>0</v>
      </c>
      <c r="BG14">
        <v>0</v>
      </c>
      <c r="BH14">
        <v>0</v>
      </c>
      <c r="BI14">
        <v>0</v>
      </c>
      <c r="BJ14">
        <v>0</v>
      </c>
      <c r="BK14">
        <v>0</v>
      </c>
      <c r="BL14">
        <v>0</v>
      </c>
      <c r="BM14">
        <v>0</v>
      </c>
      <c r="BN14">
        <v>0</v>
      </c>
      <c r="BO14">
        <v>0</v>
      </c>
      <c r="BP14">
        <v>0</v>
      </c>
      <c r="BQ14">
        <v>0</v>
      </c>
      <c r="BR14">
        <v>0</v>
      </c>
      <c r="BS14">
        <v>0</v>
      </c>
      <c r="BT14">
        <v>0</v>
      </c>
      <c r="BU14">
        <v>0</v>
      </c>
      <c r="BV14">
        <v>0</v>
      </c>
      <c r="BW14">
        <v>0</v>
      </c>
      <c r="CU14">
        <f>ROUND(AT14*Source!I37*AH14*AL14,2)</f>
        <v>0</v>
      </c>
      <c r="CV14">
        <f>ROUND(Y14*Source!I37,9)</f>
        <v>0</v>
      </c>
      <c r="CW14">
        <v>0</v>
      </c>
      <c r="CX14">
        <f>ROUND(Y14*Source!I37,9)</f>
        <v>0</v>
      </c>
      <c r="CY14">
        <f>AD14</f>
        <v>0</v>
      </c>
      <c r="CZ14">
        <f>AH14</f>
        <v>0</v>
      </c>
      <c r="DA14">
        <f>AL14</f>
        <v>1</v>
      </c>
      <c r="DB14">
        <f t="shared" ref="DB14:DB42" si="12">ROUND(ROUND(AT14*CZ14,2),6)</f>
        <v>0</v>
      </c>
      <c r="DC14">
        <f t="shared" ref="DC14:DC42" si="13">ROUND(ROUND(AT14*AG14,2),6)</f>
        <v>0</v>
      </c>
      <c r="DD14" t="s">
        <v>3</v>
      </c>
      <c r="DE14" t="s">
        <v>3</v>
      </c>
      <c r="DF14">
        <f t="shared" si="0"/>
        <v>0</v>
      </c>
      <c r="DG14">
        <f t="shared" si="1"/>
        <v>0</v>
      </c>
      <c r="DH14">
        <f t="shared" si="2"/>
        <v>0</v>
      </c>
      <c r="DI14">
        <f t="shared" si="3"/>
        <v>0</v>
      </c>
      <c r="DJ14">
        <f>DI14</f>
        <v>0</v>
      </c>
      <c r="DK14">
        <v>0</v>
      </c>
      <c r="DL14" t="s">
        <v>3</v>
      </c>
      <c r="DM14">
        <v>0</v>
      </c>
      <c r="DN14" t="s">
        <v>3</v>
      </c>
      <c r="DO14">
        <v>0</v>
      </c>
    </row>
    <row r="15" spans="1:119" x14ac:dyDescent="0.2">
      <c r="A15">
        <f>ROW(Source!A37)</f>
        <v>37</v>
      </c>
      <c r="B15">
        <v>78131199</v>
      </c>
      <c r="C15">
        <v>78130801</v>
      </c>
      <c r="D15">
        <v>77807921</v>
      </c>
      <c r="E15">
        <v>1</v>
      </c>
      <c r="F15">
        <v>1</v>
      </c>
      <c r="G15">
        <v>37</v>
      </c>
      <c r="H15">
        <v>2</v>
      </c>
      <c r="I15" t="s">
        <v>285</v>
      </c>
      <c r="J15" t="s">
        <v>286</v>
      </c>
      <c r="K15" t="s">
        <v>287</v>
      </c>
      <c r="L15">
        <v>1368</v>
      </c>
      <c r="N15">
        <v>1011</v>
      </c>
      <c r="O15" t="s">
        <v>260</v>
      </c>
      <c r="P15" t="s">
        <v>260</v>
      </c>
      <c r="Q15">
        <v>1</v>
      </c>
      <c r="W15">
        <v>0</v>
      </c>
      <c r="X15">
        <v>1399152527</v>
      </c>
      <c r="Y15">
        <f t="shared" si="11"/>
        <v>1.49</v>
      </c>
      <c r="AA15">
        <v>0</v>
      </c>
      <c r="AB15">
        <v>68.260000000000005</v>
      </c>
      <c r="AC15">
        <v>0.09</v>
      </c>
      <c r="AD15">
        <v>0</v>
      </c>
      <c r="AE15">
        <v>0</v>
      </c>
      <c r="AF15">
        <v>68.260000000000005</v>
      </c>
      <c r="AG15">
        <v>0.09</v>
      </c>
      <c r="AH15">
        <v>0</v>
      </c>
      <c r="AI15">
        <v>1</v>
      </c>
      <c r="AJ15">
        <v>1</v>
      </c>
      <c r="AK15">
        <v>1</v>
      </c>
      <c r="AL15">
        <v>1</v>
      </c>
      <c r="AM15">
        <v>-2</v>
      </c>
      <c r="AN15">
        <v>0</v>
      </c>
      <c r="AO15">
        <v>1</v>
      </c>
      <c r="AP15">
        <v>0</v>
      </c>
      <c r="AQ15">
        <v>0</v>
      </c>
      <c r="AR15">
        <v>0</v>
      </c>
      <c r="AS15" t="s">
        <v>3</v>
      </c>
      <c r="AT15">
        <v>1.49</v>
      </c>
      <c r="AU15" t="s">
        <v>3</v>
      </c>
      <c r="AV15">
        <v>0</v>
      </c>
      <c r="AW15">
        <v>2</v>
      </c>
      <c r="AX15">
        <v>78130815</v>
      </c>
      <c r="AY15">
        <v>2</v>
      </c>
      <c r="AZ15">
        <v>98304</v>
      </c>
      <c r="BA15">
        <v>15</v>
      </c>
      <c r="BB15">
        <v>0</v>
      </c>
      <c r="BC15">
        <v>0</v>
      </c>
      <c r="BD15">
        <v>0</v>
      </c>
      <c r="BE15">
        <v>0</v>
      </c>
      <c r="BF15">
        <v>0</v>
      </c>
      <c r="BG15">
        <v>0</v>
      </c>
      <c r="BH15">
        <v>0</v>
      </c>
      <c r="BI15">
        <v>0</v>
      </c>
      <c r="BJ15">
        <v>0</v>
      </c>
      <c r="BK15">
        <v>0</v>
      </c>
      <c r="BL15">
        <v>0</v>
      </c>
      <c r="BM15">
        <v>0</v>
      </c>
      <c r="BN15">
        <v>0</v>
      </c>
      <c r="BO15">
        <v>0</v>
      </c>
      <c r="BP15">
        <v>0</v>
      </c>
      <c r="BQ15">
        <v>0</v>
      </c>
      <c r="BR15">
        <v>0</v>
      </c>
      <c r="BS15">
        <v>0</v>
      </c>
      <c r="BT15">
        <v>0</v>
      </c>
      <c r="BU15">
        <v>0</v>
      </c>
      <c r="BV15">
        <v>0</v>
      </c>
      <c r="BW15">
        <v>0</v>
      </c>
      <c r="CV15">
        <v>0</v>
      </c>
      <c r="CW15">
        <f>ROUND(Y15*Source!I37*DO15,9)</f>
        <v>0</v>
      </c>
      <c r="CX15">
        <f>ROUND(Y15*Source!I37,9)</f>
        <v>0</v>
      </c>
      <c r="CY15">
        <f>AB15</f>
        <v>68.260000000000005</v>
      </c>
      <c r="CZ15">
        <f>AF15</f>
        <v>68.260000000000005</v>
      </c>
      <c r="DA15">
        <f>AJ15</f>
        <v>1</v>
      </c>
      <c r="DB15">
        <f t="shared" si="12"/>
        <v>101.71</v>
      </c>
      <c r="DC15">
        <f t="shared" si="13"/>
        <v>0.13</v>
      </c>
      <c r="DD15" t="s">
        <v>3</v>
      </c>
      <c r="DE15" t="s">
        <v>3</v>
      </c>
      <c r="DF15">
        <f t="shared" si="0"/>
        <v>0</v>
      </c>
      <c r="DG15">
        <f t="shared" si="1"/>
        <v>0</v>
      </c>
      <c r="DH15">
        <f t="shared" si="2"/>
        <v>0</v>
      </c>
      <c r="DI15">
        <f t="shared" si="3"/>
        <v>0</v>
      </c>
      <c r="DJ15">
        <f>DG15</f>
        <v>0</v>
      </c>
      <c r="DK15">
        <v>0</v>
      </c>
      <c r="DL15" t="s">
        <v>3</v>
      </c>
      <c r="DM15">
        <v>0</v>
      </c>
      <c r="DN15" t="s">
        <v>3</v>
      </c>
      <c r="DO15">
        <v>0</v>
      </c>
    </row>
    <row r="16" spans="1:119" x14ac:dyDescent="0.2">
      <c r="A16">
        <f>ROW(Source!A37)</f>
        <v>37</v>
      </c>
      <c r="B16">
        <v>78131199</v>
      </c>
      <c r="C16">
        <v>78130801</v>
      </c>
      <c r="D16">
        <v>77796161</v>
      </c>
      <c r="E16">
        <v>37</v>
      </c>
      <c r="F16">
        <v>1</v>
      </c>
      <c r="G16">
        <v>37</v>
      </c>
      <c r="H16">
        <v>3</v>
      </c>
      <c r="I16" t="s">
        <v>275</v>
      </c>
      <c r="J16" t="s">
        <v>276</v>
      </c>
      <c r="K16" t="s">
        <v>277</v>
      </c>
      <c r="L16">
        <v>1348</v>
      </c>
      <c r="N16">
        <v>1009</v>
      </c>
      <c r="O16" t="s">
        <v>200</v>
      </c>
      <c r="P16" t="s">
        <v>200</v>
      </c>
      <c r="Q16">
        <v>1000</v>
      </c>
      <c r="W16">
        <v>0</v>
      </c>
      <c r="X16">
        <v>1022491451</v>
      </c>
      <c r="Y16">
        <f t="shared" si="11"/>
        <v>1.6000000000000001E-6</v>
      </c>
      <c r="AA16">
        <v>67221.42</v>
      </c>
      <c r="AB16">
        <v>0</v>
      </c>
      <c r="AC16">
        <v>0</v>
      </c>
      <c r="AD16">
        <v>0</v>
      </c>
      <c r="AE16">
        <v>67221.42</v>
      </c>
      <c r="AF16">
        <v>0</v>
      </c>
      <c r="AG16">
        <v>0</v>
      </c>
      <c r="AH16">
        <v>0</v>
      </c>
      <c r="AI16">
        <v>1</v>
      </c>
      <c r="AJ16">
        <v>1</v>
      </c>
      <c r="AK16">
        <v>1</v>
      </c>
      <c r="AL16">
        <v>1</v>
      </c>
      <c r="AM16">
        <v>-2</v>
      </c>
      <c r="AN16">
        <v>0</v>
      </c>
      <c r="AO16">
        <v>1</v>
      </c>
      <c r="AP16">
        <v>0</v>
      </c>
      <c r="AQ16">
        <v>0</v>
      </c>
      <c r="AR16">
        <v>0</v>
      </c>
      <c r="AS16" t="s">
        <v>3</v>
      </c>
      <c r="AT16">
        <v>1.6000000000000001E-6</v>
      </c>
      <c r="AU16" t="s">
        <v>3</v>
      </c>
      <c r="AV16">
        <v>0</v>
      </c>
      <c r="AW16">
        <v>2</v>
      </c>
      <c r="AX16">
        <v>78130825</v>
      </c>
      <c r="AY16">
        <v>2</v>
      </c>
      <c r="AZ16">
        <v>22528</v>
      </c>
      <c r="BA16">
        <v>16</v>
      </c>
      <c r="BB16">
        <v>0</v>
      </c>
      <c r="BC16">
        <v>0</v>
      </c>
      <c r="BD16">
        <v>0</v>
      </c>
      <c r="BE16">
        <v>0</v>
      </c>
      <c r="BF16">
        <v>0</v>
      </c>
      <c r="BG16">
        <v>0</v>
      </c>
      <c r="BH16">
        <v>0</v>
      </c>
      <c r="BI16">
        <v>0</v>
      </c>
      <c r="BJ16">
        <v>0</v>
      </c>
      <c r="BK16">
        <v>0</v>
      </c>
      <c r="BL16">
        <v>0</v>
      </c>
      <c r="BM16">
        <v>0</v>
      </c>
      <c r="BN16">
        <v>0</v>
      </c>
      <c r="BO16">
        <v>0</v>
      </c>
      <c r="BP16">
        <v>0</v>
      </c>
      <c r="BQ16">
        <v>0</v>
      </c>
      <c r="BR16">
        <v>0</v>
      </c>
      <c r="BS16">
        <v>0</v>
      </c>
      <c r="BT16">
        <v>0</v>
      </c>
      <c r="BU16">
        <v>0</v>
      </c>
      <c r="BV16">
        <v>0</v>
      </c>
      <c r="BW16">
        <v>0</v>
      </c>
      <c r="CV16">
        <v>0</v>
      </c>
      <c r="CW16">
        <v>0</v>
      </c>
      <c r="CX16">
        <f>ROUND(Y16*Source!I37,9)</f>
        <v>0</v>
      </c>
      <c r="CY16">
        <f t="shared" ref="CY16:CY26" si="14">AA16</f>
        <v>67221.42</v>
      </c>
      <c r="CZ16">
        <f t="shared" ref="CZ16:CZ26" si="15">AE16</f>
        <v>67221.42</v>
      </c>
      <c r="DA16">
        <f t="shared" ref="DA16:DA26" si="16">AI16</f>
        <v>1</v>
      </c>
      <c r="DB16">
        <f t="shared" si="12"/>
        <v>0.11</v>
      </c>
      <c r="DC16">
        <f t="shared" si="13"/>
        <v>0</v>
      </c>
      <c r="DD16" t="s">
        <v>3</v>
      </c>
      <c r="DE16" t="s">
        <v>3</v>
      </c>
      <c r="DF16">
        <f t="shared" si="0"/>
        <v>0</v>
      </c>
      <c r="DG16">
        <f t="shared" si="1"/>
        <v>0</v>
      </c>
      <c r="DH16">
        <f t="shared" si="2"/>
        <v>0</v>
      </c>
      <c r="DI16">
        <f t="shared" si="3"/>
        <v>0</v>
      </c>
      <c r="DJ16">
        <f t="shared" ref="DJ16:DJ26" si="17">DF16</f>
        <v>0</v>
      </c>
      <c r="DK16">
        <v>0</v>
      </c>
      <c r="DL16" t="s">
        <v>3</v>
      </c>
      <c r="DM16">
        <v>0</v>
      </c>
      <c r="DN16" t="s">
        <v>3</v>
      </c>
      <c r="DO16">
        <v>0</v>
      </c>
    </row>
    <row r="17" spans="1:119" x14ac:dyDescent="0.2">
      <c r="A17">
        <f>ROW(Source!A37)</f>
        <v>37</v>
      </c>
      <c r="B17">
        <v>78131199</v>
      </c>
      <c r="C17">
        <v>78130801</v>
      </c>
      <c r="D17">
        <v>77815464</v>
      </c>
      <c r="E17">
        <v>1</v>
      </c>
      <c r="F17">
        <v>1</v>
      </c>
      <c r="G17">
        <v>37</v>
      </c>
      <c r="H17">
        <v>3</v>
      </c>
      <c r="I17" t="s">
        <v>288</v>
      </c>
      <c r="J17" t="s">
        <v>289</v>
      </c>
      <c r="K17" t="s">
        <v>290</v>
      </c>
      <c r="L17">
        <v>1356</v>
      </c>
      <c r="N17">
        <v>1010</v>
      </c>
      <c r="O17" t="s">
        <v>291</v>
      </c>
      <c r="P17" t="s">
        <v>291</v>
      </c>
      <c r="Q17">
        <v>1000</v>
      </c>
      <c r="W17">
        <v>0</v>
      </c>
      <c r="X17">
        <v>570745553</v>
      </c>
      <c r="Y17">
        <f t="shared" si="11"/>
        <v>0.03</v>
      </c>
      <c r="AA17">
        <v>43480.06</v>
      </c>
      <c r="AB17">
        <v>0</v>
      </c>
      <c r="AC17">
        <v>0</v>
      </c>
      <c r="AD17">
        <v>0</v>
      </c>
      <c r="AE17">
        <v>43480.06</v>
      </c>
      <c r="AF17">
        <v>0</v>
      </c>
      <c r="AG17">
        <v>0</v>
      </c>
      <c r="AH17">
        <v>0</v>
      </c>
      <c r="AI17">
        <v>1</v>
      </c>
      <c r="AJ17">
        <v>1</v>
      </c>
      <c r="AK17">
        <v>1</v>
      </c>
      <c r="AL17">
        <v>1</v>
      </c>
      <c r="AM17">
        <v>-2</v>
      </c>
      <c r="AN17">
        <v>0</v>
      </c>
      <c r="AO17">
        <v>1</v>
      </c>
      <c r="AP17">
        <v>0</v>
      </c>
      <c r="AQ17">
        <v>0</v>
      </c>
      <c r="AR17">
        <v>0</v>
      </c>
      <c r="AS17" t="s">
        <v>3</v>
      </c>
      <c r="AT17">
        <v>0.03</v>
      </c>
      <c r="AU17" t="s">
        <v>3</v>
      </c>
      <c r="AV17">
        <v>0</v>
      </c>
      <c r="AW17">
        <v>2</v>
      </c>
      <c r="AX17">
        <v>78130824</v>
      </c>
      <c r="AY17">
        <v>2</v>
      </c>
      <c r="AZ17">
        <v>16384</v>
      </c>
      <c r="BA17">
        <v>17</v>
      </c>
      <c r="BB17">
        <v>0</v>
      </c>
      <c r="BC17">
        <v>0</v>
      </c>
      <c r="BD17">
        <v>0</v>
      </c>
      <c r="BE17">
        <v>0</v>
      </c>
      <c r="BF17">
        <v>0</v>
      </c>
      <c r="BG17">
        <v>0</v>
      </c>
      <c r="BH17">
        <v>0</v>
      </c>
      <c r="BI17">
        <v>0</v>
      </c>
      <c r="BJ17">
        <v>0</v>
      </c>
      <c r="BK17">
        <v>0</v>
      </c>
      <c r="BL17">
        <v>0</v>
      </c>
      <c r="BM17">
        <v>0</v>
      </c>
      <c r="BN17">
        <v>0</v>
      </c>
      <c r="BO17">
        <v>0</v>
      </c>
      <c r="BP17">
        <v>0</v>
      </c>
      <c r="BQ17">
        <v>0</v>
      </c>
      <c r="BR17">
        <v>0</v>
      </c>
      <c r="BS17">
        <v>0</v>
      </c>
      <c r="BT17">
        <v>0</v>
      </c>
      <c r="BU17">
        <v>0</v>
      </c>
      <c r="BV17">
        <v>0</v>
      </c>
      <c r="BW17">
        <v>0</v>
      </c>
      <c r="CV17">
        <v>0</v>
      </c>
      <c r="CW17">
        <v>0</v>
      </c>
      <c r="CX17">
        <f>ROUND(Y17*Source!I37,9)</f>
        <v>0</v>
      </c>
      <c r="CY17">
        <f t="shared" si="14"/>
        <v>43480.06</v>
      </c>
      <c r="CZ17">
        <f t="shared" si="15"/>
        <v>43480.06</v>
      </c>
      <c r="DA17">
        <f t="shared" si="16"/>
        <v>1</v>
      </c>
      <c r="DB17">
        <f t="shared" si="12"/>
        <v>1304.4000000000001</v>
      </c>
      <c r="DC17">
        <f t="shared" si="13"/>
        <v>0</v>
      </c>
      <c r="DD17" t="s">
        <v>3</v>
      </c>
      <c r="DE17" t="s">
        <v>3</v>
      </c>
      <c r="DF17">
        <f t="shared" si="0"/>
        <v>0</v>
      </c>
      <c r="DG17">
        <f t="shared" si="1"/>
        <v>0</v>
      </c>
      <c r="DH17">
        <f t="shared" si="2"/>
        <v>0</v>
      </c>
      <c r="DI17">
        <f t="shared" si="3"/>
        <v>0</v>
      </c>
      <c r="DJ17">
        <f t="shared" si="17"/>
        <v>0</v>
      </c>
      <c r="DK17">
        <v>0</v>
      </c>
      <c r="DL17" t="s">
        <v>3</v>
      </c>
      <c r="DM17">
        <v>0</v>
      </c>
      <c r="DN17" t="s">
        <v>3</v>
      </c>
      <c r="DO17">
        <v>0</v>
      </c>
    </row>
    <row r="18" spans="1:119" x14ac:dyDescent="0.2">
      <c r="A18">
        <f>ROW(Source!A37)</f>
        <v>37</v>
      </c>
      <c r="B18">
        <v>78131199</v>
      </c>
      <c r="C18">
        <v>78130801</v>
      </c>
      <c r="D18">
        <v>77814369</v>
      </c>
      <c r="E18">
        <v>1</v>
      </c>
      <c r="F18">
        <v>1</v>
      </c>
      <c r="G18">
        <v>37</v>
      </c>
      <c r="H18">
        <v>3</v>
      </c>
      <c r="I18" t="s">
        <v>292</v>
      </c>
      <c r="J18" t="s">
        <v>293</v>
      </c>
      <c r="K18" t="s">
        <v>294</v>
      </c>
      <c r="L18">
        <v>1301</v>
      </c>
      <c r="N18">
        <v>1003</v>
      </c>
      <c r="O18" t="s">
        <v>33</v>
      </c>
      <c r="P18" t="s">
        <v>33</v>
      </c>
      <c r="Q18">
        <v>1</v>
      </c>
      <c r="W18">
        <v>0</v>
      </c>
      <c r="X18">
        <v>-1653856298</v>
      </c>
      <c r="Y18">
        <f t="shared" si="11"/>
        <v>100</v>
      </c>
      <c r="AA18">
        <v>425.36</v>
      </c>
      <c r="AB18">
        <v>0</v>
      </c>
      <c r="AC18">
        <v>0</v>
      </c>
      <c r="AD18">
        <v>0</v>
      </c>
      <c r="AE18">
        <v>425.36</v>
      </c>
      <c r="AF18">
        <v>0</v>
      </c>
      <c r="AG18">
        <v>0</v>
      </c>
      <c r="AH18">
        <v>0</v>
      </c>
      <c r="AI18">
        <v>1</v>
      </c>
      <c r="AJ18">
        <v>1</v>
      </c>
      <c r="AK18">
        <v>1</v>
      </c>
      <c r="AL18">
        <v>1</v>
      </c>
      <c r="AM18">
        <v>-2</v>
      </c>
      <c r="AN18">
        <v>0</v>
      </c>
      <c r="AO18">
        <v>1</v>
      </c>
      <c r="AP18">
        <v>0</v>
      </c>
      <c r="AQ18">
        <v>0</v>
      </c>
      <c r="AR18">
        <v>0</v>
      </c>
      <c r="AS18" t="s">
        <v>3</v>
      </c>
      <c r="AT18">
        <v>100</v>
      </c>
      <c r="AU18" t="s">
        <v>3</v>
      </c>
      <c r="AV18">
        <v>0</v>
      </c>
      <c r="AW18">
        <v>2</v>
      </c>
      <c r="AX18">
        <v>78130823</v>
      </c>
      <c r="AY18">
        <v>2</v>
      </c>
      <c r="AZ18">
        <v>16384</v>
      </c>
      <c r="BA18">
        <v>18</v>
      </c>
      <c r="BB18">
        <v>0</v>
      </c>
      <c r="BC18">
        <v>0</v>
      </c>
      <c r="BD18">
        <v>0</v>
      </c>
      <c r="BE18">
        <v>0</v>
      </c>
      <c r="BF18">
        <v>0</v>
      </c>
      <c r="BG18">
        <v>0</v>
      </c>
      <c r="BH18">
        <v>0</v>
      </c>
      <c r="BI18">
        <v>0</v>
      </c>
      <c r="BJ18">
        <v>0</v>
      </c>
      <c r="BK18">
        <v>0</v>
      </c>
      <c r="BL18">
        <v>0</v>
      </c>
      <c r="BM18">
        <v>0</v>
      </c>
      <c r="BN18">
        <v>0</v>
      </c>
      <c r="BO18">
        <v>0</v>
      </c>
      <c r="BP18">
        <v>0</v>
      </c>
      <c r="BQ18">
        <v>0</v>
      </c>
      <c r="BR18">
        <v>0</v>
      </c>
      <c r="BS18">
        <v>0</v>
      </c>
      <c r="BT18">
        <v>0</v>
      </c>
      <c r="BU18">
        <v>0</v>
      </c>
      <c r="BV18">
        <v>0</v>
      </c>
      <c r="BW18">
        <v>0</v>
      </c>
      <c r="CV18">
        <v>0</v>
      </c>
      <c r="CW18">
        <v>0</v>
      </c>
      <c r="CX18">
        <f>ROUND(Y18*Source!I37,9)</f>
        <v>0</v>
      </c>
      <c r="CY18">
        <f t="shared" si="14"/>
        <v>425.36</v>
      </c>
      <c r="CZ18">
        <f t="shared" si="15"/>
        <v>425.36</v>
      </c>
      <c r="DA18">
        <f t="shared" si="16"/>
        <v>1</v>
      </c>
      <c r="DB18">
        <f t="shared" si="12"/>
        <v>42536</v>
      </c>
      <c r="DC18">
        <f t="shared" si="13"/>
        <v>0</v>
      </c>
      <c r="DD18" t="s">
        <v>3</v>
      </c>
      <c r="DE18" t="s">
        <v>3</v>
      </c>
      <c r="DF18">
        <f t="shared" si="0"/>
        <v>0</v>
      </c>
      <c r="DG18">
        <f t="shared" si="1"/>
        <v>0</v>
      </c>
      <c r="DH18">
        <f t="shared" si="2"/>
        <v>0</v>
      </c>
      <c r="DI18">
        <f t="shared" si="3"/>
        <v>0</v>
      </c>
      <c r="DJ18">
        <f t="shared" si="17"/>
        <v>0</v>
      </c>
      <c r="DK18">
        <v>0</v>
      </c>
      <c r="DL18" t="s">
        <v>3</v>
      </c>
      <c r="DM18">
        <v>0</v>
      </c>
      <c r="DN18" t="s">
        <v>3</v>
      </c>
      <c r="DO18">
        <v>0</v>
      </c>
    </row>
    <row r="19" spans="1:119" x14ac:dyDescent="0.2">
      <c r="A19">
        <f>ROW(Source!A37)</f>
        <v>37</v>
      </c>
      <c r="B19">
        <v>78131199</v>
      </c>
      <c r="C19">
        <v>78130801</v>
      </c>
      <c r="D19">
        <v>77810392</v>
      </c>
      <c r="E19">
        <v>1</v>
      </c>
      <c r="F19">
        <v>1</v>
      </c>
      <c r="G19">
        <v>37</v>
      </c>
      <c r="H19">
        <v>3</v>
      </c>
      <c r="I19" t="s">
        <v>295</v>
      </c>
      <c r="J19" t="s">
        <v>296</v>
      </c>
      <c r="K19" t="s">
        <v>297</v>
      </c>
      <c r="L19">
        <v>1348</v>
      </c>
      <c r="N19">
        <v>1009</v>
      </c>
      <c r="O19" t="s">
        <v>200</v>
      </c>
      <c r="P19" t="s">
        <v>200</v>
      </c>
      <c r="Q19">
        <v>1000</v>
      </c>
      <c r="W19">
        <v>0</v>
      </c>
      <c r="X19">
        <v>555747395</v>
      </c>
      <c r="Y19">
        <f t="shared" si="11"/>
        <v>4.0000000000000002E-4</v>
      </c>
      <c r="AA19">
        <v>107698.04</v>
      </c>
      <c r="AB19">
        <v>0</v>
      </c>
      <c r="AC19">
        <v>0</v>
      </c>
      <c r="AD19">
        <v>0</v>
      </c>
      <c r="AE19">
        <v>107698.04</v>
      </c>
      <c r="AF19">
        <v>0</v>
      </c>
      <c r="AG19">
        <v>0</v>
      </c>
      <c r="AH19">
        <v>0</v>
      </c>
      <c r="AI19">
        <v>1</v>
      </c>
      <c r="AJ19">
        <v>1</v>
      </c>
      <c r="AK19">
        <v>1</v>
      </c>
      <c r="AL19">
        <v>1</v>
      </c>
      <c r="AM19">
        <v>-2</v>
      </c>
      <c r="AN19">
        <v>0</v>
      </c>
      <c r="AO19">
        <v>1</v>
      </c>
      <c r="AP19">
        <v>0</v>
      </c>
      <c r="AQ19">
        <v>0</v>
      </c>
      <c r="AR19">
        <v>0</v>
      </c>
      <c r="AS19" t="s">
        <v>3</v>
      </c>
      <c r="AT19">
        <v>4.0000000000000002E-4</v>
      </c>
      <c r="AU19" t="s">
        <v>3</v>
      </c>
      <c r="AV19">
        <v>0</v>
      </c>
      <c r="AW19">
        <v>2</v>
      </c>
      <c r="AX19">
        <v>78130816</v>
      </c>
      <c r="AY19">
        <v>2</v>
      </c>
      <c r="AZ19">
        <v>16384</v>
      </c>
      <c r="BA19">
        <v>19</v>
      </c>
      <c r="BB19">
        <v>0</v>
      </c>
      <c r="BC19">
        <v>0</v>
      </c>
      <c r="BD19">
        <v>0</v>
      </c>
      <c r="BE19">
        <v>0</v>
      </c>
      <c r="BF19">
        <v>0</v>
      </c>
      <c r="BG19">
        <v>0</v>
      </c>
      <c r="BH19">
        <v>0</v>
      </c>
      <c r="BI19">
        <v>0</v>
      </c>
      <c r="BJ19">
        <v>0</v>
      </c>
      <c r="BK19">
        <v>0</v>
      </c>
      <c r="BL19">
        <v>0</v>
      </c>
      <c r="BM19">
        <v>0</v>
      </c>
      <c r="BN19">
        <v>0</v>
      </c>
      <c r="BO19">
        <v>0</v>
      </c>
      <c r="BP19">
        <v>0</v>
      </c>
      <c r="BQ19">
        <v>0</v>
      </c>
      <c r="BR19">
        <v>0</v>
      </c>
      <c r="BS19">
        <v>0</v>
      </c>
      <c r="BT19">
        <v>0</v>
      </c>
      <c r="BU19">
        <v>0</v>
      </c>
      <c r="BV19">
        <v>0</v>
      </c>
      <c r="BW19">
        <v>0</v>
      </c>
      <c r="CV19">
        <v>0</v>
      </c>
      <c r="CW19">
        <v>0</v>
      </c>
      <c r="CX19">
        <f>ROUND(Y19*Source!I37,9)</f>
        <v>0</v>
      </c>
      <c r="CY19">
        <f t="shared" si="14"/>
        <v>107698.04</v>
      </c>
      <c r="CZ19">
        <f t="shared" si="15"/>
        <v>107698.04</v>
      </c>
      <c r="DA19">
        <f t="shared" si="16"/>
        <v>1</v>
      </c>
      <c r="DB19">
        <f t="shared" si="12"/>
        <v>43.08</v>
      </c>
      <c r="DC19">
        <f t="shared" si="13"/>
        <v>0</v>
      </c>
      <c r="DD19" t="s">
        <v>3</v>
      </c>
      <c r="DE19" t="s">
        <v>3</v>
      </c>
      <c r="DF19">
        <f t="shared" si="0"/>
        <v>0</v>
      </c>
      <c r="DG19">
        <f t="shared" si="1"/>
        <v>0</v>
      </c>
      <c r="DH19">
        <f t="shared" si="2"/>
        <v>0</v>
      </c>
      <c r="DI19">
        <f t="shared" si="3"/>
        <v>0</v>
      </c>
      <c r="DJ19">
        <f t="shared" si="17"/>
        <v>0</v>
      </c>
      <c r="DK19">
        <v>0</v>
      </c>
      <c r="DL19" t="s">
        <v>3</v>
      </c>
      <c r="DM19">
        <v>0</v>
      </c>
      <c r="DN19" t="s">
        <v>3</v>
      </c>
      <c r="DO19">
        <v>0</v>
      </c>
    </row>
    <row r="20" spans="1:119" x14ac:dyDescent="0.2">
      <c r="A20">
        <f>ROW(Source!A37)</f>
        <v>37</v>
      </c>
      <c r="B20">
        <v>78131199</v>
      </c>
      <c r="C20">
        <v>78130801</v>
      </c>
      <c r="D20">
        <v>77810520</v>
      </c>
      <c r="E20">
        <v>1</v>
      </c>
      <c r="F20">
        <v>1</v>
      </c>
      <c r="G20">
        <v>37</v>
      </c>
      <c r="H20">
        <v>3</v>
      </c>
      <c r="I20" t="s">
        <v>278</v>
      </c>
      <c r="J20" t="s">
        <v>279</v>
      </c>
      <c r="K20" t="s">
        <v>280</v>
      </c>
      <c r="L20">
        <v>1339</v>
      </c>
      <c r="N20">
        <v>1007</v>
      </c>
      <c r="O20" t="s">
        <v>281</v>
      </c>
      <c r="P20" t="s">
        <v>281</v>
      </c>
      <c r="Q20">
        <v>1</v>
      </c>
      <c r="W20">
        <v>0</v>
      </c>
      <c r="X20">
        <v>-1393929784</v>
      </c>
      <c r="Y20">
        <f t="shared" si="11"/>
        <v>0.44</v>
      </c>
      <c r="AA20">
        <v>49.83</v>
      </c>
      <c r="AB20">
        <v>0</v>
      </c>
      <c r="AC20">
        <v>0</v>
      </c>
      <c r="AD20">
        <v>0</v>
      </c>
      <c r="AE20">
        <v>49.83</v>
      </c>
      <c r="AF20">
        <v>0</v>
      </c>
      <c r="AG20">
        <v>0</v>
      </c>
      <c r="AH20">
        <v>0</v>
      </c>
      <c r="AI20">
        <v>1</v>
      </c>
      <c r="AJ20">
        <v>1</v>
      </c>
      <c r="AK20">
        <v>1</v>
      </c>
      <c r="AL20">
        <v>1</v>
      </c>
      <c r="AM20">
        <v>-2</v>
      </c>
      <c r="AN20">
        <v>0</v>
      </c>
      <c r="AO20">
        <v>1</v>
      </c>
      <c r="AP20">
        <v>0</v>
      </c>
      <c r="AQ20">
        <v>0</v>
      </c>
      <c r="AR20">
        <v>0</v>
      </c>
      <c r="AS20" t="s">
        <v>3</v>
      </c>
      <c r="AT20">
        <v>0.44</v>
      </c>
      <c r="AU20" t="s">
        <v>3</v>
      </c>
      <c r="AV20">
        <v>0</v>
      </c>
      <c r="AW20">
        <v>2</v>
      </c>
      <c r="AX20">
        <v>78130817</v>
      </c>
      <c r="AY20">
        <v>2</v>
      </c>
      <c r="AZ20">
        <v>16384</v>
      </c>
      <c r="BA20">
        <v>20</v>
      </c>
      <c r="BB20">
        <v>0</v>
      </c>
      <c r="BC20">
        <v>0</v>
      </c>
      <c r="BD20">
        <v>0</v>
      </c>
      <c r="BE20">
        <v>0</v>
      </c>
      <c r="BF20">
        <v>0</v>
      </c>
      <c r="BG20">
        <v>0</v>
      </c>
      <c r="BH20">
        <v>0</v>
      </c>
      <c r="BI20">
        <v>0</v>
      </c>
      <c r="BJ20">
        <v>0</v>
      </c>
      <c r="BK20">
        <v>0</v>
      </c>
      <c r="BL20">
        <v>0</v>
      </c>
      <c r="BM20">
        <v>0</v>
      </c>
      <c r="BN20">
        <v>0</v>
      </c>
      <c r="BO20">
        <v>0</v>
      </c>
      <c r="BP20">
        <v>0</v>
      </c>
      <c r="BQ20">
        <v>0</v>
      </c>
      <c r="BR20">
        <v>0</v>
      </c>
      <c r="BS20">
        <v>0</v>
      </c>
      <c r="BT20">
        <v>0</v>
      </c>
      <c r="BU20">
        <v>0</v>
      </c>
      <c r="BV20">
        <v>0</v>
      </c>
      <c r="BW20">
        <v>0</v>
      </c>
      <c r="CV20">
        <v>0</v>
      </c>
      <c r="CW20">
        <v>0</v>
      </c>
      <c r="CX20">
        <f>ROUND(Y20*Source!I37,9)</f>
        <v>0</v>
      </c>
      <c r="CY20">
        <f t="shared" si="14"/>
        <v>49.83</v>
      </c>
      <c r="CZ20">
        <f t="shared" si="15"/>
        <v>49.83</v>
      </c>
      <c r="DA20">
        <f t="shared" si="16"/>
        <v>1</v>
      </c>
      <c r="DB20">
        <f t="shared" si="12"/>
        <v>21.93</v>
      </c>
      <c r="DC20">
        <f t="shared" si="13"/>
        <v>0</v>
      </c>
      <c r="DD20" t="s">
        <v>3</v>
      </c>
      <c r="DE20" t="s">
        <v>3</v>
      </c>
      <c r="DF20">
        <f t="shared" si="0"/>
        <v>0</v>
      </c>
      <c r="DG20">
        <f t="shared" si="1"/>
        <v>0</v>
      </c>
      <c r="DH20">
        <f t="shared" si="2"/>
        <v>0</v>
      </c>
      <c r="DI20">
        <f t="shared" si="3"/>
        <v>0</v>
      </c>
      <c r="DJ20">
        <f t="shared" si="17"/>
        <v>0</v>
      </c>
      <c r="DK20">
        <v>0</v>
      </c>
      <c r="DL20" t="s">
        <v>3</v>
      </c>
      <c r="DM20">
        <v>0</v>
      </c>
      <c r="DN20" t="s">
        <v>3</v>
      </c>
      <c r="DO20">
        <v>0</v>
      </c>
    </row>
    <row r="21" spans="1:119" x14ac:dyDescent="0.2">
      <c r="A21">
        <f>ROW(Source!A37)</f>
        <v>37</v>
      </c>
      <c r="B21">
        <v>78131199</v>
      </c>
      <c r="C21">
        <v>78130801</v>
      </c>
      <c r="D21">
        <v>77810523</v>
      </c>
      <c r="E21">
        <v>1</v>
      </c>
      <c r="F21">
        <v>1</v>
      </c>
      <c r="G21">
        <v>37</v>
      </c>
      <c r="H21">
        <v>3</v>
      </c>
      <c r="I21" t="s">
        <v>298</v>
      </c>
      <c r="J21" t="s">
        <v>299</v>
      </c>
      <c r="K21" t="s">
        <v>300</v>
      </c>
      <c r="L21">
        <v>1346</v>
      </c>
      <c r="N21">
        <v>1009</v>
      </c>
      <c r="O21" t="s">
        <v>264</v>
      </c>
      <c r="P21" t="s">
        <v>264</v>
      </c>
      <c r="Q21">
        <v>1</v>
      </c>
      <c r="W21">
        <v>0</v>
      </c>
      <c r="X21">
        <v>1013639029</v>
      </c>
      <c r="Y21">
        <f t="shared" si="11"/>
        <v>0.05</v>
      </c>
      <c r="AA21">
        <v>745.17</v>
      </c>
      <c r="AB21">
        <v>0</v>
      </c>
      <c r="AC21">
        <v>0</v>
      </c>
      <c r="AD21">
        <v>0</v>
      </c>
      <c r="AE21">
        <v>745.17</v>
      </c>
      <c r="AF21">
        <v>0</v>
      </c>
      <c r="AG21">
        <v>0</v>
      </c>
      <c r="AH21">
        <v>0</v>
      </c>
      <c r="AI21">
        <v>1</v>
      </c>
      <c r="AJ21">
        <v>1</v>
      </c>
      <c r="AK21">
        <v>1</v>
      </c>
      <c r="AL21">
        <v>1</v>
      </c>
      <c r="AM21">
        <v>-2</v>
      </c>
      <c r="AN21">
        <v>0</v>
      </c>
      <c r="AO21">
        <v>1</v>
      </c>
      <c r="AP21">
        <v>0</v>
      </c>
      <c r="AQ21">
        <v>0</v>
      </c>
      <c r="AR21">
        <v>0</v>
      </c>
      <c r="AS21" t="s">
        <v>3</v>
      </c>
      <c r="AT21">
        <v>0.05</v>
      </c>
      <c r="AU21" t="s">
        <v>3</v>
      </c>
      <c r="AV21">
        <v>0</v>
      </c>
      <c r="AW21">
        <v>2</v>
      </c>
      <c r="AX21">
        <v>78130818</v>
      </c>
      <c r="AY21">
        <v>2</v>
      </c>
      <c r="AZ21">
        <v>16384</v>
      </c>
      <c r="BA21">
        <v>21</v>
      </c>
      <c r="BB21">
        <v>0</v>
      </c>
      <c r="BC21">
        <v>0</v>
      </c>
      <c r="BD21">
        <v>0</v>
      </c>
      <c r="BE21">
        <v>0</v>
      </c>
      <c r="BF21">
        <v>0</v>
      </c>
      <c r="BG21">
        <v>0</v>
      </c>
      <c r="BH21">
        <v>0</v>
      </c>
      <c r="BI21">
        <v>0</v>
      </c>
      <c r="BJ21">
        <v>0</v>
      </c>
      <c r="BK21">
        <v>0</v>
      </c>
      <c r="BL21">
        <v>0</v>
      </c>
      <c r="BM21">
        <v>0</v>
      </c>
      <c r="BN21">
        <v>0</v>
      </c>
      <c r="BO21">
        <v>0</v>
      </c>
      <c r="BP21">
        <v>0</v>
      </c>
      <c r="BQ21">
        <v>0</v>
      </c>
      <c r="BR21">
        <v>0</v>
      </c>
      <c r="BS21">
        <v>0</v>
      </c>
      <c r="BT21">
        <v>0</v>
      </c>
      <c r="BU21">
        <v>0</v>
      </c>
      <c r="BV21">
        <v>0</v>
      </c>
      <c r="BW21">
        <v>0</v>
      </c>
      <c r="CV21">
        <v>0</v>
      </c>
      <c r="CW21">
        <v>0</v>
      </c>
      <c r="CX21">
        <f>ROUND(Y21*Source!I37,9)</f>
        <v>0</v>
      </c>
      <c r="CY21">
        <f t="shared" si="14"/>
        <v>745.17</v>
      </c>
      <c r="CZ21">
        <f t="shared" si="15"/>
        <v>745.17</v>
      </c>
      <c r="DA21">
        <f t="shared" si="16"/>
        <v>1</v>
      </c>
      <c r="DB21">
        <f t="shared" si="12"/>
        <v>37.26</v>
      </c>
      <c r="DC21">
        <f t="shared" si="13"/>
        <v>0</v>
      </c>
      <c r="DD21" t="s">
        <v>3</v>
      </c>
      <c r="DE21" t="s">
        <v>3</v>
      </c>
      <c r="DF21">
        <f t="shared" si="0"/>
        <v>0</v>
      </c>
      <c r="DG21">
        <f t="shared" si="1"/>
        <v>0</v>
      </c>
      <c r="DH21">
        <f t="shared" si="2"/>
        <v>0</v>
      </c>
      <c r="DI21">
        <f t="shared" si="3"/>
        <v>0</v>
      </c>
      <c r="DJ21">
        <f t="shared" si="17"/>
        <v>0</v>
      </c>
      <c r="DK21">
        <v>0</v>
      </c>
      <c r="DL21" t="s">
        <v>3</v>
      </c>
      <c r="DM21">
        <v>0</v>
      </c>
      <c r="DN21" t="s">
        <v>3</v>
      </c>
      <c r="DO21">
        <v>0</v>
      </c>
    </row>
    <row r="22" spans="1:119" x14ac:dyDescent="0.2">
      <c r="A22">
        <f>ROW(Source!A37)</f>
        <v>37</v>
      </c>
      <c r="B22">
        <v>78131199</v>
      </c>
      <c r="C22">
        <v>78130801</v>
      </c>
      <c r="D22">
        <v>77815831</v>
      </c>
      <c r="E22">
        <v>1</v>
      </c>
      <c r="F22">
        <v>1</v>
      </c>
      <c r="G22">
        <v>37</v>
      </c>
      <c r="H22">
        <v>3</v>
      </c>
      <c r="I22" t="s">
        <v>45</v>
      </c>
      <c r="J22" t="s">
        <v>47</v>
      </c>
      <c r="K22" t="s">
        <v>46</v>
      </c>
      <c r="L22">
        <v>1354</v>
      </c>
      <c r="N22">
        <v>1010</v>
      </c>
      <c r="O22" t="s">
        <v>29</v>
      </c>
      <c r="P22" t="s">
        <v>29</v>
      </c>
      <c r="Q22">
        <v>1</v>
      </c>
      <c r="W22">
        <v>0</v>
      </c>
      <c r="X22">
        <v>1965755675</v>
      </c>
      <c r="Y22">
        <f t="shared" si="11"/>
        <v>7.1428570000000002</v>
      </c>
      <c r="AA22">
        <v>148.13999999999999</v>
      </c>
      <c r="AB22">
        <v>0</v>
      </c>
      <c r="AC22">
        <v>0</v>
      </c>
      <c r="AD22">
        <v>0</v>
      </c>
      <c r="AE22">
        <v>148.13999999999999</v>
      </c>
      <c r="AF22">
        <v>0</v>
      </c>
      <c r="AG22">
        <v>0</v>
      </c>
      <c r="AH22">
        <v>0</v>
      </c>
      <c r="AI22">
        <v>1</v>
      </c>
      <c r="AJ22">
        <v>1</v>
      </c>
      <c r="AK22">
        <v>1</v>
      </c>
      <c r="AL22">
        <v>1</v>
      </c>
      <c r="AM22">
        <v>-2</v>
      </c>
      <c r="AN22">
        <v>0</v>
      </c>
      <c r="AO22">
        <v>0</v>
      </c>
      <c r="AP22">
        <v>1</v>
      </c>
      <c r="AQ22">
        <v>0</v>
      </c>
      <c r="AR22">
        <v>0</v>
      </c>
      <c r="AS22" t="s">
        <v>3</v>
      </c>
      <c r="AT22">
        <v>7.1428570000000002</v>
      </c>
      <c r="AU22" t="s">
        <v>3</v>
      </c>
      <c r="AV22">
        <v>0</v>
      </c>
      <c r="AW22">
        <v>1</v>
      </c>
      <c r="AX22">
        <v>-1</v>
      </c>
      <c r="AY22">
        <v>0</v>
      </c>
      <c r="AZ22">
        <v>0</v>
      </c>
      <c r="BA22" t="s">
        <v>3</v>
      </c>
      <c r="BB22">
        <v>0</v>
      </c>
      <c r="BC22">
        <v>0</v>
      </c>
      <c r="BD22">
        <v>0</v>
      </c>
      <c r="BE22">
        <v>0</v>
      </c>
      <c r="BF22">
        <v>0</v>
      </c>
      <c r="BG22">
        <v>0</v>
      </c>
      <c r="BH22">
        <v>0</v>
      </c>
      <c r="BI22">
        <v>0</v>
      </c>
      <c r="BJ22">
        <v>0</v>
      </c>
      <c r="BK22">
        <v>0</v>
      </c>
      <c r="BL22">
        <v>0</v>
      </c>
      <c r="BM22">
        <v>0</v>
      </c>
      <c r="BN22">
        <v>0</v>
      </c>
      <c r="BO22">
        <v>0</v>
      </c>
      <c r="BP22">
        <v>0</v>
      </c>
      <c r="BQ22">
        <v>0</v>
      </c>
      <c r="BR22">
        <v>0</v>
      </c>
      <c r="BS22">
        <v>0</v>
      </c>
      <c r="BT22">
        <v>0</v>
      </c>
      <c r="BU22">
        <v>0</v>
      </c>
      <c r="BV22">
        <v>0</v>
      </c>
      <c r="BW22">
        <v>0</v>
      </c>
      <c r="CV22">
        <v>0</v>
      </c>
      <c r="CW22">
        <v>0</v>
      </c>
      <c r="CX22">
        <f>ROUND(Y22*Source!I37,9)</f>
        <v>0</v>
      </c>
      <c r="CY22">
        <f t="shared" si="14"/>
        <v>148.13999999999999</v>
      </c>
      <c r="CZ22">
        <f t="shared" si="15"/>
        <v>148.13999999999999</v>
      </c>
      <c r="DA22">
        <f t="shared" si="16"/>
        <v>1</v>
      </c>
      <c r="DB22">
        <f t="shared" si="12"/>
        <v>1058.1400000000001</v>
      </c>
      <c r="DC22">
        <f t="shared" si="13"/>
        <v>0</v>
      </c>
      <c r="DD22" t="s">
        <v>3</v>
      </c>
      <c r="DE22" t="s">
        <v>3</v>
      </c>
      <c r="DF22">
        <f t="shared" si="0"/>
        <v>0</v>
      </c>
      <c r="DG22">
        <f t="shared" si="1"/>
        <v>0</v>
      </c>
      <c r="DH22">
        <f t="shared" si="2"/>
        <v>0</v>
      </c>
      <c r="DI22">
        <f t="shared" si="3"/>
        <v>0</v>
      </c>
      <c r="DJ22">
        <f t="shared" si="17"/>
        <v>0</v>
      </c>
      <c r="DK22">
        <v>0</v>
      </c>
      <c r="DL22" t="s">
        <v>3</v>
      </c>
      <c r="DM22">
        <v>0</v>
      </c>
      <c r="DN22" t="s">
        <v>3</v>
      </c>
      <c r="DO22">
        <v>0</v>
      </c>
    </row>
    <row r="23" spans="1:119" x14ac:dyDescent="0.2">
      <c r="A23">
        <f>ROW(Source!A37)</f>
        <v>37</v>
      </c>
      <c r="B23">
        <v>78131199</v>
      </c>
      <c r="C23">
        <v>78130801</v>
      </c>
      <c r="D23">
        <v>77808724</v>
      </c>
      <c r="E23">
        <v>1</v>
      </c>
      <c r="F23">
        <v>1</v>
      </c>
      <c r="G23">
        <v>37</v>
      </c>
      <c r="H23">
        <v>3</v>
      </c>
      <c r="I23" t="s">
        <v>301</v>
      </c>
      <c r="J23" t="s">
        <v>302</v>
      </c>
      <c r="K23" t="s">
        <v>303</v>
      </c>
      <c r="L23">
        <v>1339</v>
      </c>
      <c r="N23">
        <v>1007</v>
      </c>
      <c r="O23" t="s">
        <v>281</v>
      </c>
      <c r="P23" t="s">
        <v>281</v>
      </c>
      <c r="Q23">
        <v>1</v>
      </c>
      <c r="W23">
        <v>0</v>
      </c>
      <c r="X23">
        <v>622145326</v>
      </c>
      <c r="Y23">
        <f t="shared" si="11"/>
        <v>0.34200000000000003</v>
      </c>
      <c r="AA23">
        <v>89.3</v>
      </c>
      <c r="AB23">
        <v>0</v>
      </c>
      <c r="AC23">
        <v>0</v>
      </c>
      <c r="AD23">
        <v>0</v>
      </c>
      <c r="AE23">
        <v>89.3</v>
      </c>
      <c r="AF23">
        <v>0</v>
      </c>
      <c r="AG23">
        <v>0</v>
      </c>
      <c r="AH23">
        <v>0</v>
      </c>
      <c r="AI23">
        <v>1</v>
      </c>
      <c r="AJ23">
        <v>1</v>
      </c>
      <c r="AK23">
        <v>1</v>
      </c>
      <c r="AL23">
        <v>1</v>
      </c>
      <c r="AM23">
        <v>-2</v>
      </c>
      <c r="AN23">
        <v>0</v>
      </c>
      <c r="AO23">
        <v>1</v>
      </c>
      <c r="AP23">
        <v>0</v>
      </c>
      <c r="AQ23">
        <v>0</v>
      </c>
      <c r="AR23">
        <v>0</v>
      </c>
      <c r="AS23" t="s">
        <v>3</v>
      </c>
      <c r="AT23">
        <v>0.34200000000000003</v>
      </c>
      <c r="AU23" t="s">
        <v>3</v>
      </c>
      <c r="AV23">
        <v>0</v>
      </c>
      <c r="AW23">
        <v>2</v>
      </c>
      <c r="AX23">
        <v>78130819</v>
      </c>
      <c r="AY23">
        <v>2</v>
      </c>
      <c r="AZ23">
        <v>16384</v>
      </c>
      <c r="BA23">
        <v>22</v>
      </c>
      <c r="BB23">
        <v>0</v>
      </c>
      <c r="BC23">
        <v>0</v>
      </c>
      <c r="BD23">
        <v>0</v>
      </c>
      <c r="BE23">
        <v>0</v>
      </c>
      <c r="BF23">
        <v>0</v>
      </c>
      <c r="BG23">
        <v>0</v>
      </c>
      <c r="BH23">
        <v>0</v>
      </c>
      <c r="BI23">
        <v>0</v>
      </c>
      <c r="BJ23">
        <v>0</v>
      </c>
      <c r="BK23">
        <v>0</v>
      </c>
      <c r="BL23">
        <v>0</v>
      </c>
      <c r="BM23">
        <v>0</v>
      </c>
      <c r="BN23">
        <v>0</v>
      </c>
      <c r="BO23">
        <v>0</v>
      </c>
      <c r="BP23">
        <v>0</v>
      </c>
      <c r="BQ23">
        <v>0</v>
      </c>
      <c r="BR23">
        <v>0</v>
      </c>
      <c r="BS23">
        <v>0</v>
      </c>
      <c r="BT23">
        <v>0</v>
      </c>
      <c r="BU23">
        <v>0</v>
      </c>
      <c r="BV23">
        <v>0</v>
      </c>
      <c r="BW23">
        <v>0</v>
      </c>
      <c r="CV23">
        <v>0</v>
      </c>
      <c r="CW23">
        <v>0</v>
      </c>
      <c r="CX23">
        <f>ROUND(Y23*Source!I37,9)</f>
        <v>0</v>
      </c>
      <c r="CY23">
        <f t="shared" si="14"/>
        <v>89.3</v>
      </c>
      <c r="CZ23">
        <f t="shared" si="15"/>
        <v>89.3</v>
      </c>
      <c r="DA23">
        <f t="shared" si="16"/>
        <v>1</v>
      </c>
      <c r="DB23">
        <f t="shared" si="12"/>
        <v>30.54</v>
      </c>
      <c r="DC23">
        <f t="shared" si="13"/>
        <v>0</v>
      </c>
      <c r="DD23" t="s">
        <v>3</v>
      </c>
      <c r="DE23" t="s">
        <v>3</v>
      </c>
      <c r="DF23">
        <f t="shared" si="0"/>
        <v>0</v>
      </c>
      <c r="DG23">
        <f t="shared" si="1"/>
        <v>0</v>
      </c>
      <c r="DH23">
        <f t="shared" si="2"/>
        <v>0</v>
      </c>
      <c r="DI23">
        <f t="shared" si="3"/>
        <v>0</v>
      </c>
      <c r="DJ23">
        <f t="shared" si="17"/>
        <v>0</v>
      </c>
      <c r="DK23">
        <v>0</v>
      </c>
      <c r="DL23" t="s">
        <v>3</v>
      </c>
      <c r="DM23">
        <v>0</v>
      </c>
      <c r="DN23" t="s">
        <v>3</v>
      </c>
      <c r="DO23">
        <v>0</v>
      </c>
    </row>
    <row r="24" spans="1:119" x14ac:dyDescent="0.2">
      <c r="A24">
        <f>ROW(Source!A37)</f>
        <v>37</v>
      </c>
      <c r="B24">
        <v>78131199</v>
      </c>
      <c r="C24">
        <v>78130801</v>
      </c>
      <c r="D24">
        <v>77808716</v>
      </c>
      <c r="E24">
        <v>1</v>
      </c>
      <c r="F24">
        <v>1</v>
      </c>
      <c r="G24">
        <v>37</v>
      </c>
      <c r="H24">
        <v>3</v>
      </c>
      <c r="I24" t="s">
        <v>304</v>
      </c>
      <c r="J24" t="s">
        <v>305</v>
      </c>
      <c r="K24" t="s">
        <v>306</v>
      </c>
      <c r="L24">
        <v>1339</v>
      </c>
      <c r="N24">
        <v>1007</v>
      </c>
      <c r="O24" t="s">
        <v>281</v>
      </c>
      <c r="P24" t="s">
        <v>281</v>
      </c>
      <c r="Q24">
        <v>1</v>
      </c>
      <c r="W24">
        <v>0</v>
      </c>
      <c r="X24">
        <v>1431951903</v>
      </c>
      <c r="Y24">
        <f t="shared" si="11"/>
        <v>0.19</v>
      </c>
      <c r="AA24">
        <v>698.15</v>
      </c>
      <c r="AB24">
        <v>0</v>
      </c>
      <c r="AC24">
        <v>0</v>
      </c>
      <c r="AD24">
        <v>0</v>
      </c>
      <c r="AE24">
        <v>698.15</v>
      </c>
      <c r="AF24">
        <v>0</v>
      </c>
      <c r="AG24">
        <v>0</v>
      </c>
      <c r="AH24">
        <v>0</v>
      </c>
      <c r="AI24">
        <v>1</v>
      </c>
      <c r="AJ24">
        <v>1</v>
      </c>
      <c r="AK24">
        <v>1</v>
      </c>
      <c r="AL24">
        <v>1</v>
      </c>
      <c r="AM24">
        <v>-2</v>
      </c>
      <c r="AN24">
        <v>0</v>
      </c>
      <c r="AO24">
        <v>1</v>
      </c>
      <c r="AP24">
        <v>0</v>
      </c>
      <c r="AQ24">
        <v>0</v>
      </c>
      <c r="AR24">
        <v>0</v>
      </c>
      <c r="AS24" t="s">
        <v>3</v>
      </c>
      <c r="AT24">
        <v>0.19</v>
      </c>
      <c r="AU24" t="s">
        <v>3</v>
      </c>
      <c r="AV24">
        <v>0</v>
      </c>
      <c r="AW24">
        <v>2</v>
      </c>
      <c r="AX24">
        <v>78130820</v>
      </c>
      <c r="AY24">
        <v>2</v>
      </c>
      <c r="AZ24">
        <v>16384</v>
      </c>
      <c r="BA24">
        <v>23</v>
      </c>
      <c r="BB24">
        <v>0</v>
      </c>
      <c r="BC24">
        <v>0</v>
      </c>
      <c r="BD24">
        <v>0</v>
      </c>
      <c r="BE24">
        <v>0</v>
      </c>
      <c r="BF24">
        <v>0</v>
      </c>
      <c r="BG24">
        <v>0</v>
      </c>
      <c r="BH24">
        <v>0</v>
      </c>
      <c r="BI24">
        <v>0</v>
      </c>
      <c r="BJ24">
        <v>0</v>
      </c>
      <c r="BK24">
        <v>0</v>
      </c>
      <c r="BL24">
        <v>0</v>
      </c>
      <c r="BM24">
        <v>0</v>
      </c>
      <c r="BN24">
        <v>0</v>
      </c>
      <c r="BO24">
        <v>0</v>
      </c>
      <c r="BP24">
        <v>0</v>
      </c>
      <c r="BQ24">
        <v>0</v>
      </c>
      <c r="BR24">
        <v>0</v>
      </c>
      <c r="BS24">
        <v>0</v>
      </c>
      <c r="BT24">
        <v>0</v>
      </c>
      <c r="BU24">
        <v>0</v>
      </c>
      <c r="BV24">
        <v>0</v>
      </c>
      <c r="BW24">
        <v>0</v>
      </c>
      <c r="CV24">
        <v>0</v>
      </c>
      <c r="CW24">
        <v>0</v>
      </c>
      <c r="CX24">
        <f>ROUND(Y24*Source!I37,9)</f>
        <v>0</v>
      </c>
      <c r="CY24">
        <f t="shared" si="14"/>
        <v>698.15</v>
      </c>
      <c r="CZ24">
        <f t="shared" si="15"/>
        <v>698.15</v>
      </c>
      <c r="DA24">
        <f t="shared" si="16"/>
        <v>1</v>
      </c>
      <c r="DB24">
        <f t="shared" si="12"/>
        <v>132.65</v>
      </c>
      <c r="DC24">
        <f t="shared" si="13"/>
        <v>0</v>
      </c>
      <c r="DD24" t="s">
        <v>3</v>
      </c>
      <c r="DE24" t="s">
        <v>3</v>
      </c>
      <c r="DF24">
        <f t="shared" si="0"/>
        <v>0</v>
      </c>
      <c r="DG24">
        <f t="shared" si="1"/>
        <v>0</v>
      </c>
      <c r="DH24">
        <f t="shared" si="2"/>
        <v>0</v>
      </c>
      <c r="DI24">
        <f t="shared" si="3"/>
        <v>0</v>
      </c>
      <c r="DJ24">
        <f t="shared" si="17"/>
        <v>0</v>
      </c>
      <c r="DK24">
        <v>0</v>
      </c>
      <c r="DL24" t="s">
        <v>3</v>
      </c>
      <c r="DM24">
        <v>0</v>
      </c>
      <c r="DN24" t="s">
        <v>3</v>
      </c>
      <c r="DO24">
        <v>0</v>
      </c>
    </row>
    <row r="25" spans="1:119" x14ac:dyDescent="0.2">
      <c r="A25">
        <f>ROW(Source!A37)</f>
        <v>37</v>
      </c>
      <c r="B25">
        <v>78131199</v>
      </c>
      <c r="C25">
        <v>78130801</v>
      </c>
      <c r="D25">
        <v>77808904</v>
      </c>
      <c r="E25">
        <v>1</v>
      </c>
      <c r="F25">
        <v>1</v>
      </c>
      <c r="G25">
        <v>37</v>
      </c>
      <c r="H25">
        <v>3</v>
      </c>
      <c r="I25" t="s">
        <v>307</v>
      </c>
      <c r="J25" t="s">
        <v>308</v>
      </c>
      <c r="K25" t="s">
        <v>309</v>
      </c>
      <c r="L25">
        <v>1348</v>
      </c>
      <c r="N25">
        <v>1009</v>
      </c>
      <c r="O25" t="s">
        <v>200</v>
      </c>
      <c r="P25" t="s">
        <v>200</v>
      </c>
      <c r="Q25">
        <v>1000</v>
      </c>
      <c r="W25">
        <v>0</v>
      </c>
      <c r="X25">
        <v>-377825509</v>
      </c>
      <c r="Y25">
        <f t="shared" si="11"/>
        <v>4.4000000000000002E-4</v>
      </c>
      <c r="AA25">
        <v>115885.91</v>
      </c>
      <c r="AB25">
        <v>0</v>
      </c>
      <c r="AC25">
        <v>0</v>
      </c>
      <c r="AD25">
        <v>0</v>
      </c>
      <c r="AE25">
        <v>115885.91</v>
      </c>
      <c r="AF25">
        <v>0</v>
      </c>
      <c r="AG25">
        <v>0</v>
      </c>
      <c r="AH25">
        <v>0</v>
      </c>
      <c r="AI25">
        <v>1</v>
      </c>
      <c r="AJ25">
        <v>1</v>
      </c>
      <c r="AK25">
        <v>1</v>
      </c>
      <c r="AL25">
        <v>1</v>
      </c>
      <c r="AM25">
        <v>-2</v>
      </c>
      <c r="AN25">
        <v>0</v>
      </c>
      <c r="AO25">
        <v>1</v>
      </c>
      <c r="AP25">
        <v>0</v>
      </c>
      <c r="AQ25">
        <v>0</v>
      </c>
      <c r="AR25">
        <v>0</v>
      </c>
      <c r="AS25" t="s">
        <v>3</v>
      </c>
      <c r="AT25">
        <v>4.4000000000000002E-4</v>
      </c>
      <c r="AU25" t="s">
        <v>3</v>
      </c>
      <c r="AV25">
        <v>0</v>
      </c>
      <c r="AW25">
        <v>2</v>
      </c>
      <c r="AX25">
        <v>78130821</v>
      </c>
      <c r="AY25">
        <v>2</v>
      </c>
      <c r="AZ25">
        <v>16384</v>
      </c>
      <c r="BA25">
        <v>24</v>
      </c>
      <c r="BB25">
        <v>0</v>
      </c>
      <c r="BC25">
        <v>0</v>
      </c>
      <c r="BD25">
        <v>0</v>
      </c>
      <c r="BE25">
        <v>0</v>
      </c>
      <c r="BF25">
        <v>0</v>
      </c>
      <c r="BG25">
        <v>0</v>
      </c>
      <c r="BH25">
        <v>0</v>
      </c>
      <c r="BI25">
        <v>0</v>
      </c>
      <c r="BJ25">
        <v>0</v>
      </c>
      <c r="BK25">
        <v>0</v>
      </c>
      <c r="BL25">
        <v>0</v>
      </c>
      <c r="BM25">
        <v>0</v>
      </c>
      <c r="BN25">
        <v>0</v>
      </c>
      <c r="BO25">
        <v>0</v>
      </c>
      <c r="BP25">
        <v>0</v>
      </c>
      <c r="BQ25">
        <v>0</v>
      </c>
      <c r="BR25">
        <v>0</v>
      </c>
      <c r="BS25">
        <v>0</v>
      </c>
      <c r="BT25">
        <v>0</v>
      </c>
      <c r="BU25">
        <v>0</v>
      </c>
      <c r="BV25">
        <v>0</v>
      </c>
      <c r="BW25">
        <v>0</v>
      </c>
      <c r="CV25">
        <v>0</v>
      </c>
      <c r="CW25">
        <v>0</v>
      </c>
      <c r="CX25">
        <f>ROUND(Y25*Source!I37,9)</f>
        <v>0</v>
      </c>
      <c r="CY25">
        <f t="shared" si="14"/>
        <v>115885.91</v>
      </c>
      <c r="CZ25">
        <f t="shared" si="15"/>
        <v>115885.91</v>
      </c>
      <c r="DA25">
        <f t="shared" si="16"/>
        <v>1</v>
      </c>
      <c r="DB25">
        <f t="shared" si="12"/>
        <v>50.99</v>
      </c>
      <c r="DC25">
        <f t="shared" si="13"/>
        <v>0</v>
      </c>
      <c r="DD25" t="s">
        <v>3</v>
      </c>
      <c r="DE25" t="s">
        <v>3</v>
      </c>
      <c r="DF25">
        <f t="shared" si="0"/>
        <v>0</v>
      </c>
      <c r="DG25">
        <f t="shared" si="1"/>
        <v>0</v>
      </c>
      <c r="DH25">
        <f t="shared" si="2"/>
        <v>0</v>
      </c>
      <c r="DI25">
        <f t="shared" si="3"/>
        <v>0</v>
      </c>
      <c r="DJ25">
        <f t="shared" si="17"/>
        <v>0</v>
      </c>
      <c r="DK25">
        <v>0</v>
      </c>
      <c r="DL25" t="s">
        <v>3</v>
      </c>
      <c r="DM25">
        <v>0</v>
      </c>
      <c r="DN25" t="s">
        <v>3</v>
      </c>
      <c r="DO25">
        <v>0</v>
      </c>
    </row>
    <row r="26" spans="1:119" x14ac:dyDescent="0.2">
      <c r="A26">
        <f>ROW(Source!A37)</f>
        <v>37</v>
      </c>
      <c r="B26">
        <v>78131199</v>
      </c>
      <c r="C26">
        <v>78130801</v>
      </c>
      <c r="D26">
        <v>77808945</v>
      </c>
      <c r="E26">
        <v>1</v>
      </c>
      <c r="F26">
        <v>1</v>
      </c>
      <c r="G26">
        <v>37</v>
      </c>
      <c r="H26">
        <v>3</v>
      </c>
      <c r="I26" t="s">
        <v>310</v>
      </c>
      <c r="J26" t="s">
        <v>311</v>
      </c>
      <c r="K26" t="s">
        <v>312</v>
      </c>
      <c r="L26">
        <v>1346</v>
      </c>
      <c r="N26">
        <v>1009</v>
      </c>
      <c r="O26" t="s">
        <v>264</v>
      </c>
      <c r="P26" t="s">
        <v>264</v>
      </c>
      <c r="Q26">
        <v>1</v>
      </c>
      <c r="W26">
        <v>0</v>
      </c>
      <c r="X26">
        <v>-911552969</v>
      </c>
      <c r="Y26">
        <f t="shared" si="11"/>
        <v>0.53</v>
      </c>
      <c r="AA26">
        <v>92.85</v>
      </c>
      <c r="AB26">
        <v>0</v>
      </c>
      <c r="AC26">
        <v>0</v>
      </c>
      <c r="AD26">
        <v>0</v>
      </c>
      <c r="AE26">
        <v>92.85</v>
      </c>
      <c r="AF26">
        <v>0</v>
      </c>
      <c r="AG26">
        <v>0</v>
      </c>
      <c r="AH26">
        <v>0</v>
      </c>
      <c r="AI26">
        <v>1</v>
      </c>
      <c r="AJ26">
        <v>1</v>
      </c>
      <c r="AK26">
        <v>1</v>
      </c>
      <c r="AL26">
        <v>1</v>
      </c>
      <c r="AM26">
        <v>-2</v>
      </c>
      <c r="AN26">
        <v>0</v>
      </c>
      <c r="AO26">
        <v>1</v>
      </c>
      <c r="AP26">
        <v>0</v>
      </c>
      <c r="AQ26">
        <v>0</v>
      </c>
      <c r="AR26">
        <v>0</v>
      </c>
      <c r="AS26" t="s">
        <v>3</v>
      </c>
      <c r="AT26">
        <v>0.53</v>
      </c>
      <c r="AU26" t="s">
        <v>3</v>
      </c>
      <c r="AV26">
        <v>0</v>
      </c>
      <c r="AW26">
        <v>2</v>
      </c>
      <c r="AX26">
        <v>78130822</v>
      </c>
      <c r="AY26">
        <v>2</v>
      </c>
      <c r="AZ26">
        <v>16384</v>
      </c>
      <c r="BA26">
        <v>25</v>
      </c>
      <c r="BB26">
        <v>0</v>
      </c>
      <c r="BC26">
        <v>0</v>
      </c>
      <c r="BD26">
        <v>0</v>
      </c>
      <c r="BE26">
        <v>0</v>
      </c>
      <c r="BF26">
        <v>0</v>
      </c>
      <c r="BG26">
        <v>0</v>
      </c>
      <c r="BH26">
        <v>0</v>
      </c>
      <c r="BI26">
        <v>0</v>
      </c>
      <c r="BJ26">
        <v>0</v>
      </c>
      <c r="BK26">
        <v>0</v>
      </c>
      <c r="BL26">
        <v>0</v>
      </c>
      <c r="BM26">
        <v>0</v>
      </c>
      <c r="BN26">
        <v>0</v>
      </c>
      <c r="BO26">
        <v>0</v>
      </c>
      <c r="BP26">
        <v>0</v>
      </c>
      <c r="BQ26">
        <v>0</v>
      </c>
      <c r="BR26">
        <v>0</v>
      </c>
      <c r="BS26">
        <v>0</v>
      </c>
      <c r="BT26">
        <v>0</v>
      </c>
      <c r="BU26">
        <v>0</v>
      </c>
      <c r="BV26">
        <v>0</v>
      </c>
      <c r="BW26">
        <v>0</v>
      </c>
      <c r="CV26">
        <v>0</v>
      </c>
      <c r="CW26">
        <v>0</v>
      </c>
      <c r="CX26">
        <f>ROUND(Y26*Source!I37,9)</f>
        <v>0</v>
      </c>
      <c r="CY26">
        <f t="shared" si="14"/>
        <v>92.85</v>
      </c>
      <c r="CZ26">
        <f t="shared" si="15"/>
        <v>92.85</v>
      </c>
      <c r="DA26">
        <f t="shared" si="16"/>
        <v>1</v>
      </c>
      <c r="DB26">
        <f t="shared" si="12"/>
        <v>49.21</v>
      </c>
      <c r="DC26">
        <f t="shared" si="13"/>
        <v>0</v>
      </c>
      <c r="DD26" t="s">
        <v>3</v>
      </c>
      <c r="DE26" t="s">
        <v>3</v>
      </c>
      <c r="DF26">
        <f t="shared" si="0"/>
        <v>0</v>
      </c>
      <c r="DG26">
        <f t="shared" si="1"/>
        <v>0</v>
      </c>
      <c r="DH26">
        <f t="shared" si="2"/>
        <v>0</v>
      </c>
      <c r="DI26">
        <f t="shared" si="3"/>
        <v>0</v>
      </c>
      <c r="DJ26">
        <f t="shared" si="17"/>
        <v>0</v>
      </c>
      <c r="DK26">
        <v>0</v>
      </c>
      <c r="DL26" t="s">
        <v>3</v>
      </c>
      <c r="DM26">
        <v>0</v>
      </c>
      <c r="DN26" t="s">
        <v>3</v>
      </c>
      <c r="DO26">
        <v>0</v>
      </c>
    </row>
    <row r="27" spans="1:119" x14ac:dyDescent="0.2">
      <c r="A27">
        <f>ROW(Source!A39)</f>
        <v>39</v>
      </c>
      <c r="B27">
        <v>78131199</v>
      </c>
      <c r="C27">
        <v>78130828</v>
      </c>
      <c r="D27">
        <v>77806460</v>
      </c>
      <c r="E27">
        <v>37</v>
      </c>
      <c r="F27">
        <v>1</v>
      </c>
      <c r="G27">
        <v>37</v>
      </c>
      <c r="H27">
        <v>1</v>
      </c>
      <c r="I27" t="s">
        <v>254</v>
      </c>
      <c r="J27" t="s">
        <v>3</v>
      </c>
      <c r="K27" t="s">
        <v>255</v>
      </c>
      <c r="L27">
        <v>1191</v>
      </c>
      <c r="N27">
        <v>1013</v>
      </c>
      <c r="O27" t="s">
        <v>256</v>
      </c>
      <c r="P27" t="s">
        <v>256</v>
      </c>
      <c r="Q27">
        <v>1</v>
      </c>
      <c r="W27">
        <v>0</v>
      </c>
      <c r="X27">
        <v>476480486</v>
      </c>
      <c r="Y27">
        <f t="shared" si="11"/>
        <v>188.6</v>
      </c>
      <c r="AA27">
        <v>0</v>
      </c>
      <c r="AB27">
        <v>0</v>
      </c>
      <c r="AC27">
        <v>0</v>
      </c>
      <c r="AD27">
        <v>0</v>
      </c>
      <c r="AE27">
        <v>0</v>
      </c>
      <c r="AF27">
        <v>0</v>
      </c>
      <c r="AG27">
        <v>0</v>
      </c>
      <c r="AH27">
        <v>0</v>
      </c>
      <c r="AI27">
        <v>1</v>
      </c>
      <c r="AJ27">
        <v>1</v>
      </c>
      <c r="AK27">
        <v>1</v>
      </c>
      <c r="AL27">
        <v>1</v>
      </c>
      <c r="AM27">
        <v>-2</v>
      </c>
      <c r="AN27">
        <v>0</v>
      </c>
      <c r="AO27">
        <v>1</v>
      </c>
      <c r="AP27">
        <v>0</v>
      </c>
      <c r="AQ27">
        <v>0</v>
      </c>
      <c r="AR27">
        <v>0</v>
      </c>
      <c r="AS27" t="s">
        <v>3</v>
      </c>
      <c r="AT27">
        <v>188.6</v>
      </c>
      <c r="AU27" t="s">
        <v>3</v>
      </c>
      <c r="AV27">
        <v>1</v>
      </c>
      <c r="AW27">
        <v>2</v>
      </c>
      <c r="AX27">
        <v>78131224</v>
      </c>
      <c r="AY27">
        <v>1</v>
      </c>
      <c r="AZ27">
        <v>0</v>
      </c>
      <c r="BA27">
        <v>26</v>
      </c>
      <c r="BB27">
        <v>0</v>
      </c>
      <c r="BC27">
        <v>0</v>
      </c>
      <c r="BD27">
        <v>0</v>
      </c>
      <c r="BE27">
        <v>0</v>
      </c>
      <c r="BF27">
        <v>0</v>
      </c>
      <c r="BG27">
        <v>0</v>
      </c>
      <c r="BH27">
        <v>0</v>
      </c>
      <c r="BI27">
        <v>0</v>
      </c>
      <c r="BJ27">
        <v>0</v>
      </c>
      <c r="BK27">
        <v>0</v>
      </c>
      <c r="BL27">
        <v>0</v>
      </c>
      <c r="BM27">
        <v>0</v>
      </c>
      <c r="BN27">
        <v>0</v>
      </c>
      <c r="BO27">
        <v>0</v>
      </c>
      <c r="BP27">
        <v>0</v>
      </c>
      <c r="BQ27">
        <v>0</v>
      </c>
      <c r="BR27">
        <v>0</v>
      </c>
      <c r="BS27">
        <v>0</v>
      </c>
      <c r="BT27">
        <v>0</v>
      </c>
      <c r="BU27">
        <v>0</v>
      </c>
      <c r="BV27">
        <v>0</v>
      </c>
      <c r="BW27">
        <v>0</v>
      </c>
      <c r="CU27">
        <f>ROUND(AT27*Source!I39*AH27*AL27,2)</f>
        <v>0</v>
      </c>
      <c r="CV27">
        <f>ROUND(Y27*Source!I39,9)</f>
        <v>0</v>
      </c>
      <c r="CW27">
        <v>0</v>
      </c>
      <c r="CX27">
        <f>ROUND(Y27*Source!I39,9)</f>
        <v>0</v>
      </c>
      <c r="CY27">
        <f>AD27</f>
        <v>0</v>
      </c>
      <c r="CZ27">
        <f>AH27</f>
        <v>0</v>
      </c>
      <c r="DA27">
        <f>AL27</f>
        <v>1</v>
      </c>
      <c r="DB27">
        <f t="shared" si="12"/>
        <v>0</v>
      </c>
      <c r="DC27">
        <f t="shared" si="13"/>
        <v>0</v>
      </c>
      <c r="DD27" t="s">
        <v>3</v>
      </c>
      <c r="DE27" t="s">
        <v>3</v>
      </c>
      <c r="DF27">
        <f t="shared" si="0"/>
        <v>0</v>
      </c>
      <c r="DG27">
        <f t="shared" si="1"/>
        <v>0</v>
      </c>
      <c r="DH27">
        <f t="shared" si="2"/>
        <v>0</v>
      </c>
      <c r="DI27">
        <f t="shared" si="3"/>
        <v>0</v>
      </c>
      <c r="DJ27">
        <f>DI27</f>
        <v>0</v>
      </c>
      <c r="DK27">
        <v>0</v>
      </c>
      <c r="DL27" t="s">
        <v>3</v>
      </c>
      <c r="DM27">
        <v>0</v>
      </c>
      <c r="DN27" t="s">
        <v>3</v>
      </c>
      <c r="DO27">
        <v>0</v>
      </c>
    </row>
    <row r="28" spans="1:119" x14ac:dyDescent="0.2">
      <c r="A28">
        <f>ROW(Source!A39)</f>
        <v>39</v>
      </c>
      <c r="B28">
        <v>78131199</v>
      </c>
      <c r="C28">
        <v>78130828</v>
      </c>
      <c r="D28">
        <v>77807924</v>
      </c>
      <c r="E28">
        <v>1</v>
      </c>
      <c r="F28">
        <v>1</v>
      </c>
      <c r="G28">
        <v>37</v>
      </c>
      <c r="H28">
        <v>2</v>
      </c>
      <c r="I28" t="s">
        <v>257</v>
      </c>
      <c r="J28" t="s">
        <v>258</v>
      </c>
      <c r="K28" t="s">
        <v>259</v>
      </c>
      <c r="L28">
        <v>1368</v>
      </c>
      <c r="N28">
        <v>1011</v>
      </c>
      <c r="O28" t="s">
        <v>260</v>
      </c>
      <c r="P28" t="s">
        <v>260</v>
      </c>
      <c r="Q28">
        <v>1</v>
      </c>
      <c r="W28">
        <v>0</v>
      </c>
      <c r="X28">
        <v>1215981924</v>
      </c>
      <c r="Y28">
        <f t="shared" si="11"/>
        <v>14.29</v>
      </c>
      <c r="AA28">
        <v>0</v>
      </c>
      <c r="AB28">
        <v>1369.82</v>
      </c>
      <c r="AC28">
        <v>1183.81</v>
      </c>
      <c r="AD28">
        <v>0</v>
      </c>
      <c r="AE28">
        <v>0</v>
      </c>
      <c r="AF28">
        <v>1369.82</v>
      </c>
      <c r="AG28">
        <v>1183.81</v>
      </c>
      <c r="AH28">
        <v>0</v>
      </c>
      <c r="AI28">
        <v>1</v>
      </c>
      <c r="AJ28">
        <v>1</v>
      </c>
      <c r="AK28">
        <v>1</v>
      </c>
      <c r="AL28">
        <v>1</v>
      </c>
      <c r="AM28">
        <v>-2</v>
      </c>
      <c r="AN28">
        <v>0</v>
      </c>
      <c r="AO28">
        <v>1</v>
      </c>
      <c r="AP28">
        <v>0</v>
      </c>
      <c r="AQ28">
        <v>0</v>
      </c>
      <c r="AR28">
        <v>0</v>
      </c>
      <c r="AS28" t="s">
        <v>3</v>
      </c>
      <c r="AT28">
        <v>14.29</v>
      </c>
      <c r="AU28" t="s">
        <v>3</v>
      </c>
      <c r="AV28">
        <v>0</v>
      </c>
      <c r="AW28">
        <v>2</v>
      </c>
      <c r="AX28">
        <v>78131225</v>
      </c>
      <c r="AY28">
        <v>1</v>
      </c>
      <c r="AZ28">
        <v>0</v>
      </c>
      <c r="BA28">
        <v>27</v>
      </c>
      <c r="BB28">
        <v>0</v>
      </c>
      <c r="BC28">
        <v>0</v>
      </c>
      <c r="BD28">
        <v>0</v>
      </c>
      <c r="BE28">
        <v>0</v>
      </c>
      <c r="BF28">
        <v>0</v>
      </c>
      <c r="BG28">
        <v>0</v>
      </c>
      <c r="BH28">
        <v>0</v>
      </c>
      <c r="BI28">
        <v>0</v>
      </c>
      <c r="BJ28">
        <v>0</v>
      </c>
      <c r="BK28">
        <v>0</v>
      </c>
      <c r="BL28">
        <v>0</v>
      </c>
      <c r="BM28">
        <v>0</v>
      </c>
      <c r="BN28">
        <v>0</v>
      </c>
      <c r="BO28">
        <v>0</v>
      </c>
      <c r="BP28">
        <v>0</v>
      </c>
      <c r="BQ28">
        <v>0</v>
      </c>
      <c r="BR28">
        <v>0</v>
      </c>
      <c r="BS28">
        <v>0</v>
      </c>
      <c r="BT28">
        <v>0</v>
      </c>
      <c r="BU28">
        <v>0</v>
      </c>
      <c r="BV28">
        <v>0</v>
      </c>
      <c r="BW28">
        <v>0</v>
      </c>
      <c r="CV28">
        <v>0</v>
      </c>
      <c r="CW28">
        <f>ROUND(Y28*Source!I39*DO28,9)</f>
        <v>0</v>
      </c>
      <c r="CX28">
        <f>ROUND(Y28*Source!I39,9)</f>
        <v>0</v>
      </c>
      <c r="CY28">
        <f>AB28</f>
        <v>1369.82</v>
      </c>
      <c r="CZ28">
        <f>AF28</f>
        <v>1369.82</v>
      </c>
      <c r="DA28">
        <f>AJ28</f>
        <v>1</v>
      </c>
      <c r="DB28">
        <f t="shared" si="12"/>
        <v>19574.73</v>
      </c>
      <c r="DC28">
        <f t="shared" si="13"/>
        <v>16916.64</v>
      </c>
      <c r="DD28" t="s">
        <v>3</v>
      </c>
      <c r="DE28" t="s">
        <v>3</v>
      </c>
      <c r="DF28">
        <f t="shared" si="0"/>
        <v>0</v>
      </c>
      <c r="DG28">
        <f t="shared" si="1"/>
        <v>0</v>
      </c>
      <c r="DH28">
        <f t="shared" si="2"/>
        <v>0</v>
      </c>
      <c r="DI28">
        <f t="shared" si="3"/>
        <v>0</v>
      </c>
      <c r="DJ28">
        <f>DG28</f>
        <v>0</v>
      </c>
      <c r="DK28">
        <v>0</v>
      </c>
      <c r="DL28" t="s">
        <v>3</v>
      </c>
      <c r="DM28">
        <v>0</v>
      </c>
      <c r="DN28" t="s">
        <v>3</v>
      </c>
      <c r="DO28">
        <v>0</v>
      </c>
    </row>
    <row r="29" spans="1:119" x14ac:dyDescent="0.2">
      <c r="A29">
        <f>ROW(Source!A39)</f>
        <v>39</v>
      </c>
      <c r="B29">
        <v>78131199</v>
      </c>
      <c r="C29">
        <v>78130828</v>
      </c>
      <c r="D29">
        <v>77806721</v>
      </c>
      <c r="E29">
        <v>37</v>
      </c>
      <c r="F29">
        <v>1</v>
      </c>
      <c r="G29">
        <v>37</v>
      </c>
      <c r="H29">
        <v>3</v>
      </c>
      <c r="I29" t="s">
        <v>27</v>
      </c>
      <c r="J29" t="s">
        <v>3</v>
      </c>
      <c r="K29" t="s">
        <v>28</v>
      </c>
      <c r="L29">
        <v>1354</v>
      </c>
      <c r="N29">
        <v>1010</v>
      </c>
      <c r="O29" t="s">
        <v>29</v>
      </c>
      <c r="P29" t="s">
        <v>29</v>
      </c>
      <c r="Q29">
        <v>1</v>
      </c>
      <c r="W29">
        <v>0</v>
      </c>
      <c r="X29">
        <v>1960360122</v>
      </c>
      <c r="Y29">
        <f t="shared" si="11"/>
        <v>0</v>
      </c>
      <c r="AA29">
        <v>0</v>
      </c>
      <c r="AB29">
        <v>0</v>
      </c>
      <c r="AC29">
        <v>0</v>
      </c>
      <c r="AD29">
        <v>0</v>
      </c>
      <c r="AE29">
        <v>0</v>
      </c>
      <c r="AF29">
        <v>0</v>
      </c>
      <c r="AG29">
        <v>0</v>
      </c>
      <c r="AH29">
        <v>0</v>
      </c>
      <c r="AI29">
        <v>1</v>
      </c>
      <c r="AJ29">
        <v>1</v>
      </c>
      <c r="AK29">
        <v>1</v>
      </c>
      <c r="AL29">
        <v>1</v>
      </c>
      <c r="AM29">
        <v>-2</v>
      </c>
      <c r="AN29">
        <v>0</v>
      </c>
      <c r="AO29">
        <v>0</v>
      </c>
      <c r="AP29">
        <v>1</v>
      </c>
      <c r="AQ29">
        <v>0</v>
      </c>
      <c r="AR29">
        <v>0</v>
      </c>
      <c r="AS29" t="s">
        <v>3</v>
      </c>
      <c r="AT29">
        <v>0</v>
      </c>
      <c r="AU29" t="s">
        <v>3</v>
      </c>
      <c r="AV29">
        <v>0</v>
      </c>
      <c r="AW29">
        <v>2</v>
      </c>
      <c r="AX29">
        <v>78131226</v>
      </c>
      <c r="AY29">
        <v>1</v>
      </c>
      <c r="AZ29">
        <v>0</v>
      </c>
      <c r="BA29">
        <v>28</v>
      </c>
      <c r="BB29">
        <v>0</v>
      </c>
      <c r="BC29">
        <v>0</v>
      </c>
      <c r="BD29">
        <v>0</v>
      </c>
      <c r="BE29">
        <v>0</v>
      </c>
      <c r="BF29">
        <v>0</v>
      </c>
      <c r="BG29">
        <v>0</v>
      </c>
      <c r="BH29">
        <v>0</v>
      </c>
      <c r="BI29">
        <v>0</v>
      </c>
      <c r="BJ29">
        <v>0</v>
      </c>
      <c r="BK29">
        <v>0</v>
      </c>
      <c r="BL29">
        <v>0</v>
      </c>
      <c r="BM29">
        <v>0</v>
      </c>
      <c r="BN29">
        <v>0</v>
      </c>
      <c r="BO29">
        <v>0</v>
      </c>
      <c r="BP29">
        <v>0</v>
      </c>
      <c r="BQ29">
        <v>0</v>
      </c>
      <c r="BR29">
        <v>0</v>
      </c>
      <c r="BS29">
        <v>0</v>
      </c>
      <c r="BT29">
        <v>0</v>
      </c>
      <c r="BU29">
        <v>0</v>
      </c>
      <c r="BV29">
        <v>0</v>
      </c>
      <c r="BW29">
        <v>0</v>
      </c>
      <c r="CV29">
        <v>0</v>
      </c>
      <c r="CW29">
        <v>0</v>
      </c>
      <c r="CX29">
        <f>ROUND(Y29*Source!I39,9)</f>
        <v>0</v>
      </c>
      <c r="CY29">
        <f t="shared" ref="CY29:CY42" si="18">AA29</f>
        <v>0</v>
      </c>
      <c r="CZ29">
        <f t="shared" ref="CZ29:CZ42" si="19">AE29</f>
        <v>0</v>
      </c>
      <c r="DA29">
        <f t="shared" ref="DA29:DA42" si="20">AI29</f>
        <v>1</v>
      </c>
      <c r="DB29">
        <f t="shared" si="12"/>
        <v>0</v>
      </c>
      <c r="DC29">
        <f t="shared" si="13"/>
        <v>0</v>
      </c>
      <c r="DD29" t="s">
        <v>3</v>
      </c>
      <c r="DE29" t="s">
        <v>3</v>
      </c>
      <c r="DF29">
        <f t="shared" si="0"/>
        <v>0</v>
      </c>
      <c r="DG29">
        <f t="shared" si="1"/>
        <v>0</v>
      </c>
      <c r="DH29">
        <f t="shared" si="2"/>
        <v>0</v>
      </c>
      <c r="DI29">
        <f t="shared" si="3"/>
        <v>0</v>
      </c>
      <c r="DJ29">
        <f t="shared" ref="DJ29:DJ42" si="21">DF29</f>
        <v>0</v>
      </c>
      <c r="DK29">
        <v>0</v>
      </c>
      <c r="DL29" t="s">
        <v>3</v>
      </c>
      <c r="DM29">
        <v>0</v>
      </c>
      <c r="DN29" t="s">
        <v>3</v>
      </c>
      <c r="DO29">
        <v>0</v>
      </c>
    </row>
    <row r="30" spans="1:119" x14ac:dyDescent="0.2">
      <c r="A30">
        <f>ROW(Source!A39)</f>
        <v>39</v>
      </c>
      <c r="B30">
        <v>78131199</v>
      </c>
      <c r="C30">
        <v>78130828</v>
      </c>
      <c r="D30">
        <v>77809632</v>
      </c>
      <c r="E30">
        <v>1</v>
      </c>
      <c r="F30">
        <v>1</v>
      </c>
      <c r="G30">
        <v>37</v>
      </c>
      <c r="H30">
        <v>3</v>
      </c>
      <c r="I30" t="s">
        <v>261</v>
      </c>
      <c r="J30" t="s">
        <v>262</v>
      </c>
      <c r="K30" t="s">
        <v>263</v>
      </c>
      <c r="L30">
        <v>1346</v>
      </c>
      <c r="N30">
        <v>1009</v>
      </c>
      <c r="O30" t="s">
        <v>264</v>
      </c>
      <c r="P30" t="s">
        <v>264</v>
      </c>
      <c r="Q30">
        <v>1</v>
      </c>
      <c r="W30">
        <v>0</v>
      </c>
      <c r="X30">
        <v>-806813352</v>
      </c>
      <c r="Y30">
        <f t="shared" si="11"/>
        <v>0.55000000000000004</v>
      </c>
      <c r="AA30">
        <v>261.27999999999997</v>
      </c>
      <c r="AB30">
        <v>0</v>
      </c>
      <c r="AC30">
        <v>0</v>
      </c>
      <c r="AD30">
        <v>0</v>
      </c>
      <c r="AE30">
        <v>261.27999999999997</v>
      </c>
      <c r="AF30">
        <v>0</v>
      </c>
      <c r="AG30">
        <v>0</v>
      </c>
      <c r="AH30">
        <v>0</v>
      </c>
      <c r="AI30">
        <v>1</v>
      </c>
      <c r="AJ30">
        <v>1</v>
      </c>
      <c r="AK30">
        <v>1</v>
      </c>
      <c r="AL30">
        <v>1</v>
      </c>
      <c r="AM30">
        <v>-2</v>
      </c>
      <c r="AN30">
        <v>0</v>
      </c>
      <c r="AO30">
        <v>1</v>
      </c>
      <c r="AP30">
        <v>0</v>
      </c>
      <c r="AQ30">
        <v>0</v>
      </c>
      <c r="AR30">
        <v>0</v>
      </c>
      <c r="AS30" t="s">
        <v>3</v>
      </c>
      <c r="AT30">
        <v>0.55000000000000004</v>
      </c>
      <c r="AU30" t="s">
        <v>3</v>
      </c>
      <c r="AV30">
        <v>0</v>
      </c>
      <c r="AW30">
        <v>2</v>
      </c>
      <c r="AX30">
        <v>78131227</v>
      </c>
      <c r="AY30">
        <v>1</v>
      </c>
      <c r="AZ30">
        <v>0</v>
      </c>
      <c r="BA30">
        <v>29</v>
      </c>
      <c r="BB30">
        <v>0</v>
      </c>
      <c r="BC30">
        <v>0</v>
      </c>
      <c r="BD30">
        <v>0</v>
      </c>
      <c r="BE30">
        <v>0</v>
      </c>
      <c r="BF30">
        <v>0</v>
      </c>
      <c r="BG30">
        <v>0</v>
      </c>
      <c r="BH30">
        <v>0</v>
      </c>
      <c r="BI30">
        <v>0</v>
      </c>
      <c r="BJ30">
        <v>0</v>
      </c>
      <c r="BK30">
        <v>0</v>
      </c>
      <c r="BL30">
        <v>0</v>
      </c>
      <c r="BM30">
        <v>0</v>
      </c>
      <c r="BN30">
        <v>0</v>
      </c>
      <c r="BO30">
        <v>0</v>
      </c>
      <c r="BP30">
        <v>0</v>
      </c>
      <c r="BQ30">
        <v>0</v>
      </c>
      <c r="BR30">
        <v>0</v>
      </c>
      <c r="BS30">
        <v>0</v>
      </c>
      <c r="BT30">
        <v>0</v>
      </c>
      <c r="BU30">
        <v>0</v>
      </c>
      <c r="BV30">
        <v>0</v>
      </c>
      <c r="BW30">
        <v>0</v>
      </c>
      <c r="CV30">
        <v>0</v>
      </c>
      <c r="CW30">
        <v>0</v>
      </c>
      <c r="CX30">
        <f>ROUND(Y30*Source!I39,9)</f>
        <v>0</v>
      </c>
      <c r="CY30">
        <f t="shared" si="18"/>
        <v>261.27999999999997</v>
      </c>
      <c r="CZ30">
        <f t="shared" si="19"/>
        <v>261.27999999999997</v>
      </c>
      <c r="DA30">
        <f t="shared" si="20"/>
        <v>1</v>
      </c>
      <c r="DB30">
        <f t="shared" si="12"/>
        <v>143.69999999999999</v>
      </c>
      <c r="DC30">
        <f t="shared" si="13"/>
        <v>0</v>
      </c>
      <c r="DD30" t="s">
        <v>3</v>
      </c>
      <c r="DE30" t="s">
        <v>3</v>
      </c>
      <c r="DF30">
        <f t="shared" si="0"/>
        <v>0</v>
      </c>
      <c r="DG30">
        <f t="shared" si="1"/>
        <v>0</v>
      </c>
      <c r="DH30">
        <f t="shared" si="2"/>
        <v>0</v>
      </c>
      <c r="DI30">
        <f t="shared" si="3"/>
        <v>0</v>
      </c>
      <c r="DJ30">
        <f t="shared" si="21"/>
        <v>0</v>
      </c>
      <c r="DK30">
        <v>0</v>
      </c>
      <c r="DL30" t="s">
        <v>3</v>
      </c>
      <c r="DM30">
        <v>0</v>
      </c>
      <c r="DN30" t="s">
        <v>3</v>
      </c>
      <c r="DO30">
        <v>0</v>
      </c>
    </row>
    <row r="31" spans="1:119" x14ac:dyDescent="0.2">
      <c r="A31">
        <f>ROW(Source!A39)</f>
        <v>39</v>
      </c>
      <c r="B31">
        <v>78131199</v>
      </c>
      <c r="C31">
        <v>78130828</v>
      </c>
      <c r="D31">
        <v>77809555</v>
      </c>
      <c r="E31">
        <v>1</v>
      </c>
      <c r="F31">
        <v>1</v>
      </c>
      <c r="G31">
        <v>37</v>
      </c>
      <c r="H31">
        <v>3</v>
      </c>
      <c r="I31" t="s">
        <v>265</v>
      </c>
      <c r="J31" t="s">
        <v>266</v>
      </c>
      <c r="K31" t="s">
        <v>267</v>
      </c>
      <c r="L31">
        <v>1348</v>
      </c>
      <c r="N31">
        <v>1009</v>
      </c>
      <c r="O31" t="s">
        <v>200</v>
      </c>
      <c r="P31" t="s">
        <v>200</v>
      </c>
      <c r="Q31">
        <v>1000</v>
      </c>
      <c r="W31">
        <v>0</v>
      </c>
      <c r="X31">
        <v>-479093135</v>
      </c>
      <c r="Y31">
        <f t="shared" si="11"/>
        <v>8.4999999999999995E-4</v>
      </c>
      <c r="AA31">
        <v>233970.16</v>
      </c>
      <c r="AB31">
        <v>0</v>
      </c>
      <c r="AC31">
        <v>0</v>
      </c>
      <c r="AD31">
        <v>0</v>
      </c>
      <c r="AE31">
        <v>233970.16</v>
      </c>
      <c r="AF31">
        <v>0</v>
      </c>
      <c r="AG31">
        <v>0</v>
      </c>
      <c r="AH31">
        <v>0</v>
      </c>
      <c r="AI31">
        <v>1</v>
      </c>
      <c r="AJ31">
        <v>1</v>
      </c>
      <c r="AK31">
        <v>1</v>
      </c>
      <c r="AL31">
        <v>1</v>
      </c>
      <c r="AM31">
        <v>-2</v>
      </c>
      <c r="AN31">
        <v>0</v>
      </c>
      <c r="AO31">
        <v>1</v>
      </c>
      <c r="AP31">
        <v>0</v>
      </c>
      <c r="AQ31">
        <v>0</v>
      </c>
      <c r="AR31">
        <v>0</v>
      </c>
      <c r="AS31" t="s">
        <v>3</v>
      </c>
      <c r="AT31">
        <v>8.4999999999999995E-4</v>
      </c>
      <c r="AU31" t="s">
        <v>3</v>
      </c>
      <c r="AV31">
        <v>0</v>
      </c>
      <c r="AW31">
        <v>2</v>
      </c>
      <c r="AX31">
        <v>78131228</v>
      </c>
      <c r="AY31">
        <v>1</v>
      </c>
      <c r="AZ31">
        <v>0</v>
      </c>
      <c r="BA31">
        <v>30</v>
      </c>
      <c r="BB31">
        <v>0</v>
      </c>
      <c r="BC31">
        <v>0</v>
      </c>
      <c r="BD31">
        <v>0</v>
      </c>
      <c r="BE31">
        <v>0</v>
      </c>
      <c r="BF31">
        <v>0</v>
      </c>
      <c r="BG31">
        <v>0</v>
      </c>
      <c r="BH31">
        <v>0</v>
      </c>
      <c r="BI31">
        <v>0</v>
      </c>
      <c r="BJ31">
        <v>0</v>
      </c>
      <c r="BK31">
        <v>0</v>
      </c>
      <c r="BL31">
        <v>0</v>
      </c>
      <c r="BM31">
        <v>0</v>
      </c>
      <c r="BN31">
        <v>0</v>
      </c>
      <c r="BO31">
        <v>0</v>
      </c>
      <c r="BP31">
        <v>0</v>
      </c>
      <c r="BQ31">
        <v>0</v>
      </c>
      <c r="BR31">
        <v>0</v>
      </c>
      <c r="BS31">
        <v>0</v>
      </c>
      <c r="BT31">
        <v>0</v>
      </c>
      <c r="BU31">
        <v>0</v>
      </c>
      <c r="BV31">
        <v>0</v>
      </c>
      <c r="BW31">
        <v>0</v>
      </c>
      <c r="CV31">
        <v>0</v>
      </c>
      <c r="CW31">
        <v>0</v>
      </c>
      <c r="CX31">
        <f>ROUND(Y31*Source!I39,9)</f>
        <v>0</v>
      </c>
      <c r="CY31">
        <f t="shared" si="18"/>
        <v>233970.16</v>
      </c>
      <c r="CZ31">
        <f t="shared" si="19"/>
        <v>233970.16</v>
      </c>
      <c r="DA31">
        <f t="shared" si="20"/>
        <v>1</v>
      </c>
      <c r="DB31">
        <f t="shared" si="12"/>
        <v>198.87</v>
      </c>
      <c r="DC31">
        <f t="shared" si="13"/>
        <v>0</v>
      </c>
      <c r="DD31" t="s">
        <v>3</v>
      </c>
      <c r="DE31" t="s">
        <v>3</v>
      </c>
      <c r="DF31">
        <f t="shared" si="0"/>
        <v>0</v>
      </c>
      <c r="DG31">
        <f t="shared" si="1"/>
        <v>0</v>
      </c>
      <c r="DH31">
        <f t="shared" si="2"/>
        <v>0</v>
      </c>
      <c r="DI31">
        <f t="shared" si="3"/>
        <v>0</v>
      </c>
      <c r="DJ31">
        <f t="shared" si="21"/>
        <v>0</v>
      </c>
      <c r="DK31">
        <v>0</v>
      </c>
      <c r="DL31" t="s">
        <v>3</v>
      </c>
      <c r="DM31">
        <v>0</v>
      </c>
      <c r="DN31" t="s">
        <v>3</v>
      </c>
      <c r="DO31">
        <v>0</v>
      </c>
    </row>
    <row r="32" spans="1:119" x14ac:dyDescent="0.2">
      <c r="A32">
        <f>ROW(Source!A39)</f>
        <v>39</v>
      </c>
      <c r="B32">
        <v>78131199</v>
      </c>
      <c r="C32">
        <v>78130828</v>
      </c>
      <c r="D32">
        <v>77809584</v>
      </c>
      <c r="E32">
        <v>1</v>
      </c>
      <c r="F32">
        <v>1</v>
      </c>
      <c r="G32">
        <v>37</v>
      </c>
      <c r="H32">
        <v>3</v>
      </c>
      <c r="I32" t="s">
        <v>268</v>
      </c>
      <c r="J32" t="s">
        <v>269</v>
      </c>
      <c r="K32" t="s">
        <v>270</v>
      </c>
      <c r="L32">
        <v>1355</v>
      </c>
      <c r="N32">
        <v>1010</v>
      </c>
      <c r="O32" t="s">
        <v>271</v>
      </c>
      <c r="P32" t="s">
        <v>271</v>
      </c>
      <c r="Q32">
        <v>100</v>
      </c>
      <c r="W32">
        <v>0</v>
      </c>
      <c r="X32">
        <v>421425427</v>
      </c>
      <c r="Y32">
        <f t="shared" si="11"/>
        <v>1</v>
      </c>
      <c r="AA32">
        <v>1151.6600000000001</v>
      </c>
      <c r="AB32">
        <v>0</v>
      </c>
      <c r="AC32">
        <v>0</v>
      </c>
      <c r="AD32">
        <v>0</v>
      </c>
      <c r="AE32">
        <v>1151.6600000000001</v>
      </c>
      <c r="AF32">
        <v>0</v>
      </c>
      <c r="AG32">
        <v>0</v>
      </c>
      <c r="AH32">
        <v>0</v>
      </c>
      <c r="AI32">
        <v>1</v>
      </c>
      <c r="AJ32">
        <v>1</v>
      </c>
      <c r="AK32">
        <v>1</v>
      </c>
      <c r="AL32">
        <v>1</v>
      </c>
      <c r="AM32">
        <v>-2</v>
      </c>
      <c r="AN32">
        <v>0</v>
      </c>
      <c r="AO32">
        <v>1</v>
      </c>
      <c r="AP32">
        <v>0</v>
      </c>
      <c r="AQ32">
        <v>0</v>
      </c>
      <c r="AR32">
        <v>0</v>
      </c>
      <c r="AS32" t="s">
        <v>3</v>
      </c>
      <c r="AT32">
        <v>1</v>
      </c>
      <c r="AU32" t="s">
        <v>3</v>
      </c>
      <c r="AV32">
        <v>0</v>
      </c>
      <c r="AW32">
        <v>2</v>
      </c>
      <c r="AX32">
        <v>78131229</v>
      </c>
      <c r="AY32">
        <v>1</v>
      </c>
      <c r="AZ32">
        <v>0</v>
      </c>
      <c r="BA32">
        <v>31</v>
      </c>
      <c r="BB32">
        <v>0</v>
      </c>
      <c r="BC32">
        <v>0</v>
      </c>
      <c r="BD32">
        <v>0</v>
      </c>
      <c r="BE32">
        <v>0</v>
      </c>
      <c r="BF32">
        <v>0</v>
      </c>
      <c r="BG32">
        <v>0</v>
      </c>
      <c r="BH32">
        <v>0</v>
      </c>
      <c r="BI32">
        <v>0</v>
      </c>
      <c r="BJ32">
        <v>0</v>
      </c>
      <c r="BK32">
        <v>0</v>
      </c>
      <c r="BL32">
        <v>0</v>
      </c>
      <c r="BM32">
        <v>0</v>
      </c>
      <c r="BN32">
        <v>0</v>
      </c>
      <c r="BO32">
        <v>0</v>
      </c>
      <c r="BP32">
        <v>0</v>
      </c>
      <c r="BQ32">
        <v>0</v>
      </c>
      <c r="BR32">
        <v>0</v>
      </c>
      <c r="BS32">
        <v>0</v>
      </c>
      <c r="BT32">
        <v>0</v>
      </c>
      <c r="BU32">
        <v>0</v>
      </c>
      <c r="BV32">
        <v>0</v>
      </c>
      <c r="BW32">
        <v>0</v>
      </c>
      <c r="CV32">
        <v>0</v>
      </c>
      <c r="CW32">
        <v>0</v>
      </c>
      <c r="CX32">
        <f>ROUND(Y32*Source!I39,9)</f>
        <v>0</v>
      </c>
      <c r="CY32">
        <f t="shared" si="18"/>
        <v>1151.6600000000001</v>
      </c>
      <c r="CZ32">
        <f t="shared" si="19"/>
        <v>1151.6600000000001</v>
      </c>
      <c r="DA32">
        <f t="shared" si="20"/>
        <v>1</v>
      </c>
      <c r="DB32">
        <f t="shared" si="12"/>
        <v>1151.6600000000001</v>
      </c>
      <c r="DC32">
        <f t="shared" si="13"/>
        <v>0</v>
      </c>
      <c r="DD32" t="s">
        <v>3</v>
      </c>
      <c r="DE32" t="s">
        <v>3</v>
      </c>
      <c r="DF32">
        <f t="shared" si="0"/>
        <v>0</v>
      </c>
      <c r="DG32">
        <f t="shared" si="1"/>
        <v>0</v>
      </c>
      <c r="DH32">
        <f t="shared" si="2"/>
        <v>0</v>
      </c>
      <c r="DI32">
        <f t="shared" si="3"/>
        <v>0</v>
      </c>
      <c r="DJ32">
        <f t="shared" si="21"/>
        <v>0</v>
      </c>
      <c r="DK32">
        <v>0</v>
      </c>
      <c r="DL32" t="s">
        <v>3</v>
      </c>
      <c r="DM32">
        <v>0</v>
      </c>
      <c r="DN32" t="s">
        <v>3</v>
      </c>
      <c r="DO32">
        <v>0</v>
      </c>
    </row>
    <row r="33" spans="1:119" x14ac:dyDescent="0.2">
      <c r="A33">
        <f>ROW(Source!A39)</f>
        <v>39</v>
      </c>
      <c r="B33">
        <v>78131199</v>
      </c>
      <c r="C33">
        <v>78130828</v>
      </c>
      <c r="D33">
        <v>77810270</v>
      </c>
      <c r="E33">
        <v>1</v>
      </c>
      <c r="F33">
        <v>1</v>
      </c>
      <c r="G33">
        <v>37</v>
      </c>
      <c r="H33">
        <v>3</v>
      </c>
      <c r="I33" t="s">
        <v>272</v>
      </c>
      <c r="J33" t="s">
        <v>273</v>
      </c>
      <c r="K33" t="s">
        <v>274</v>
      </c>
      <c r="L33">
        <v>1346</v>
      </c>
      <c r="N33">
        <v>1009</v>
      </c>
      <c r="O33" t="s">
        <v>264</v>
      </c>
      <c r="P33" t="s">
        <v>264</v>
      </c>
      <c r="Q33">
        <v>1</v>
      </c>
      <c r="W33">
        <v>0</v>
      </c>
      <c r="X33">
        <v>812221846</v>
      </c>
      <c r="Y33">
        <f t="shared" si="11"/>
        <v>0.25</v>
      </c>
      <c r="AA33">
        <v>97.56</v>
      </c>
      <c r="AB33">
        <v>0</v>
      </c>
      <c r="AC33">
        <v>0</v>
      </c>
      <c r="AD33">
        <v>0</v>
      </c>
      <c r="AE33">
        <v>97.56</v>
      </c>
      <c r="AF33">
        <v>0</v>
      </c>
      <c r="AG33">
        <v>0</v>
      </c>
      <c r="AH33">
        <v>0</v>
      </c>
      <c r="AI33">
        <v>1</v>
      </c>
      <c r="AJ33">
        <v>1</v>
      </c>
      <c r="AK33">
        <v>1</v>
      </c>
      <c r="AL33">
        <v>1</v>
      </c>
      <c r="AM33">
        <v>-2</v>
      </c>
      <c r="AN33">
        <v>0</v>
      </c>
      <c r="AO33">
        <v>1</v>
      </c>
      <c r="AP33">
        <v>0</v>
      </c>
      <c r="AQ33">
        <v>0</v>
      </c>
      <c r="AR33">
        <v>0</v>
      </c>
      <c r="AS33" t="s">
        <v>3</v>
      </c>
      <c r="AT33">
        <v>0.25</v>
      </c>
      <c r="AU33" t="s">
        <v>3</v>
      </c>
      <c r="AV33">
        <v>0</v>
      </c>
      <c r="AW33">
        <v>2</v>
      </c>
      <c r="AX33">
        <v>78131230</v>
      </c>
      <c r="AY33">
        <v>1</v>
      </c>
      <c r="AZ33">
        <v>0</v>
      </c>
      <c r="BA33">
        <v>32</v>
      </c>
      <c r="BB33">
        <v>0</v>
      </c>
      <c r="BC33">
        <v>0</v>
      </c>
      <c r="BD33">
        <v>0</v>
      </c>
      <c r="BE33">
        <v>0</v>
      </c>
      <c r="BF33">
        <v>0</v>
      </c>
      <c r="BG33">
        <v>0</v>
      </c>
      <c r="BH33">
        <v>0</v>
      </c>
      <c r="BI33">
        <v>0</v>
      </c>
      <c r="BJ33">
        <v>0</v>
      </c>
      <c r="BK33">
        <v>0</v>
      </c>
      <c r="BL33">
        <v>0</v>
      </c>
      <c r="BM33">
        <v>0</v>
      </c>
      <c r="BN33">
        <v>0</v>
      </c>
      <c r="BO33">
        <v>0</v>
      </c>
      <c r="BP33">
        <v>0</v>
      </c>
      <c r="BQ33">
        <v>0</v>
      </c>
      <c r="BR33">
        <v>0</v>
      </c>
      <c r="BS33">
        <v>0</v>
      </c>
      <c r="BT33">
        <v>0</v>
      </c>
      <c r="BU33">
        <v>0</v>
      </c>
      <c r="BV33">
        <v>0</v>
      </c>
      <c r="BW33">
        <v>0</v>
      </c>
      <c r="CV33">
        <v>0</v>
      </c>
      <c r="CW33">
        <v>0</v>
      </c>
      <c r="CX33">
        <f>ROUND(Y33*Source!I39,9)</f>
        <v>0</v>
      </c>
      <c r="CY33">
        <f t="shared" si="18"/>
        <v>97.56</v>
      </c>
      <c r="CZ33">
        <f t="shared" si="19"/>
        <v>97.56</v>
      </c>
      <c r="DA33">
        <f t="shared" si="20"/>
        <v>1</v>
      </c>
      <c r="DB33">
        <f t="shared" si="12"/>
        <v>24.39</v>
      </c>
      <c r="DC33">
        <f t="shared" si="13"/>
        <v>0</v>
      </c>
      <c r="DD33" t="s">
        <v>3</v>
      </c>
      <c r="DE33" t="s">
        <v>3</v>
      </c>
      <c r="DF33">
        <f t="shared" ref="DF33:DF64" si="22">ROUND(ROUND(AE33,2)*CX33,2)</f>
        <v>0</v>
      </c>
      <c r="DG33">
        <f t="shared" ref="DG33:DG64" si="23">ROUND(ROUND(AF33,2)*CX33,2)</f>
        <v>0</v>
      </c>
      <c r="DH33">
        <f t="shared" ref="DH33:DH64" si="24">ROUND(ROUND(AG33,2)*CX33,2)</f>
        <v>0</v>
      </c>
      <c r="DI33">
        <f t="shared" ref="DI33:DI64" si="25">ROUND(ROUND(AH33,2)*CX33,2)</f>
        <v>0</v>
      </c>
      <c r="DJ33">
        <f t="shared" si="21"/>
        <v>0</v>
      </c>
      <c r="DK33">
        <v>0</v>
      </c>
      <c r="DL33" t="s">
        <v>3</v>
      </c>
      <c r="DM33">
        <v>0</v>
      </c>
      <c r="DN33" t="s">
        <v>3</v>
      </c>
      <c r="DO33">
        <v>0</v>
      </c>
    </row>
    <row r="34" spans="1:119" x14ac:dyDescent="0.2">
      <c r="A34">
        <f>ROW(Source!A39)</f>
        <v>39</v>
      </c>
      <c r="B34">
        <v>78131199</v>
      </c>
      <c r="C34">
        <v>78130828</v>
      </c>
      <c r="D34">
        <v>77796161</v>
      </c>
      <c r="E34">
        <v>37</v>
      </c>
      <c r="F34">
        <v>1</v>
      </c>
      <c r="G34">
        <v>37</v>
      </c>
      <c r="H34">
        <v>3</v>
      </c>
      <c r="I34" t="s">
        <v>275</v>
      </c>
      <c r="J34" t="s">
        <v>276</v>
      </c>
      <c r="K34" t="s">
        <v>277</v>
      </c>
      <c r="L34">
        <v>1348</v>
      </c>
      <c r="N34">
        <v>1009</v>
      </c>
      <c r="O34" t="s">
        <v>200</v>
      </c>
      <c r="P34" t="s">
        <v>200</v>
      </c>
      <c r="Q34">
        <v>1000</v>
      </c>
      <c r="W34">
        <v>0</v>
      </c>
      <c r="X34">
        <v>1022491451</v>
      </c>
      <c r="Y34">
        <f t="shared" si="11"/>
        <v>1.6000000000000001E-6</v>
      </c>
      <c r="AA34">
        <v>67221.42</v>
      </c>
      <c r="AB34">
        <v>0</v>
      </c>
      <c r="AC34">
        <v>0</v>
      </c>
      <c r="AD34">
        <v>0</v>
      </c>
      <c r="AE34">
        <v>67221.42</v>
      </c>
      <c r="AF34">
        <v>0</v>
      </c>
      <c r="AG34">
        <v>0</v>
      </c>
      <c r="AH34">
        <v>0</v>
      </c>
      <c r="AI34">
        <v>1</v>
      </c>
      <c r="AJ34">
        <v>1</v>
      </c>
      <c r="AK34">
        <v>1</v>
      </c>
      <c r="AL34">
        <v>1</v>
      </c>
      <c r="AM34">
        <v>-2</v>
      </c>
      <c r="AN34">
        <v>0</v>
      </c>
      <c r="AO34">
        <v>1</v>
      </c>
      <c r="AP34">
        <v>0</v>
      </c>
      <c r="AQ34">
        <v>0</v>
      </c>
      <c r="AR34">
        <v>0</v>
      </c>
      <c r="AS34" t="s">
        <v>3</v>
      </c>
      <c r="AT34">
        <v>1.6000000000000001E-6</v>
      </c>
      <c r="AU34" t="s">
        <v>3</v>
      </c>
      <c r="AV34">
        <v>0</v>
      </c>
      <c r="AW34">
        <v>2</v>
      </c>
      <c r="AX34">
        <v>78131233</v>
      </c>
      <c r="AY34">
        <v>2</v>
      </c>
      <c r="AZ34">
        <v>22528</v>
      </c>
      <c r="BA34">
        <v>33</v>
      </c>
      <c r="BB34">
        <v>0</v>
      </c>
      <c r="BC34">
        <v>0</v>
      </c>
      <c r="BD34">
        <v>0</v>
      </c>
      <c r="BE34">
        <v>0</v>
      </c>
      <c r="BF34">
        <v>0</v>
      </c>
      <c r="BG34">
        <v>0</v>
      </c>
      <c r="BH34">
        <v>0</v>
      </c>
      <c r="BI34">
        <v>0</v>
      </c>
      <c r="BJ34">
        <v>0</v>
      </c>
      <c r="BK34">
        <v>0</v>
      </c>
      <c r="BL34">
        <v>0</v>
      </c>
      <c r="BM34">
        <v>0</v>
      </c>
      <c r="BN34">
        <v>0</v>
      </c>
      <c r="BO34">
        <v>0</v>
      </c>
      <c r="BP34">
        <v>0</v>
      </c>
      <c r="BQ34">
        <v>0</v>
      </c>
      <c r="BR34">
        <v>0</v>
      </c>
      <c r="BS34">
        <v>0</v>
      </c>
      <c r="BT34">
        <v>0</v>
      </c>
      <c r="BU34">
        <v>0</v>
      </c>
      <c r="BV34">
        <v>0</v>
      </c>
      <c r="BW34">
        <v>0</v>
      </c>
      <c r="CV34">
        <v>0</v>
      </c>
      <c r="CW34">
        <v>0</v>
      </c>
      <c r="CX34">
        <f>ROUND(Y34*Source!I39,9)</f>
        <v>0</v>
      </c>
      <c r="CY34">
        <f t="shared" si="18"/>
        <v>67221.42</v>
      </c>
      <c r="CZ34">
        <f t="shared" si="19"/>
        <v>67221.42</v>
      </c>
      <c r="DA34">
        <f t="shared" si="20"/>
        <v>1</v>
      </c>
      <c r="DB34">
        <f t="shared" si="12"/>
        <v>0.11</v>
      </c>
      <c r="DC34">
        <f t="shared" si="13"/>
        <v>0</v>
      </c>
      <c r="DD34" t="s">
        <v>3</v>
      </c>
      <c r="DE34" t="s">
        <v>3</v>
      </c>
      <c r="DF34">
        <f t="shared" si="22"/>
        <v>0</v>
      </c>
      <c r="DG34">
        <f t="shared" si="23"/>
        <v>0</v>
      </c>
      <c r="DH34">
        <f t="shared" si="24"/>
        <v>0</v>
      </c>
      <c r="DI34">
        <f t="shared" si="25"/>
        <v>0</v>
      </c>
      <c r="DJ34">
        <f t="shared" si="21"/>
        <v>0</v>
      </c>
      <c r="DK34">
        <v>0</v>
      </c>
      <c r="DL34" t="s">
        <v>3</v>
      </c>
      <c r="DM34">
        <v>0</v>
      </c>
      <c r="DN34" t="s">
        <v>3</v>
      </c>
      <c r="DO34">
        <v>0</v>
      </c>
    </row>
    <row r="35" spans="1:119" x14ac:dyDescent="0.2">
      <c r="A35">
        <f>ROW(Source!A39)</f>
        <v>39</v>
      </c>
      <c r="B35">
        <v>78131199</v>
      </c>
      <c r="C35">
        <v>78130828</v>
      </c>
      <c r="D35">
        <v>77815618</v>
      </c>
      <c r="E35">
        <v>1</v>
      </c>
      <c r="F35">
        <v>1</v>
      </c>
      <c r="G35">
        <v>37</v>
      </c>
      <c r="H35">
        <v>3</v>
      </c>
      <c r="I35" t="s">
        <v>68</v>
      </c>
      <c r="J35" t="s">
        <v>70</v>
      </c>
      <c r="K35" t="s">
        <v>69</v>
      </c>
      <c r="L35">
        <v>1354</v>
      </c>
      <c r="N35">
        <v>1010</v>
      </c>
      <c r="O35" t="s">
        <v>29</v>
      </c>
      <c r="P35" t="s">
        <v>29</v>
      </c>
      <c r="Q35">
        <v>1</v>
      </c>
      <c r="W35">
        <v>0</v>
      </c>
      <c r="X35">
        <v>809131780</v>
      </c>
      <c r="Y35">
        <f t="shared" si="11"/>
        <v>0</v>
      </c>
      <c r="AA35">
        <v>369.5</v>
      </c>
      <c r="AB35">
        <v>0</v>
      </c>
      <c r="AC35">
        <v>0</v>
      </c>
      <c r="AD35">
        <v>0</v>
      </c>
      <c r="AE35">
        <v>369.5</v>
      </c>
      <c r="AF35">
        <v>0</v>
      </c>
      <c r="AG35">
        <v>0</v>
      </c>
      <c r="AH35">
        <v>0</v>
      </c>
      <c r="AI35">
        <v>1</v>
      </c>
      <c r="AJ35">
        <v>1</v>
      </c>
      <c r="AK35">
        <v>1</v>
      </c>
      <c r="AL35">
        <v>1</v>
      </c>
      <c r="AM35">
        <v>-2</v>
      </c>
      <c r="AN35">
        <v>0</v>
      </c>
      <c r="AO35">
        <v>0</v>
      </c>
      <c r="AP35">
        <v>1</v>
      </c>
      <c r="AQ35">
        <v>0</v>
      </c>
      <c r="AR35">
        <v>0</v>
      </c>
      <c r="AS35" t="s">
        <v>3</v>
      </c>
      <c r="AT35">
        <v>0</v>
      </c>
      <c r="AU35" t="s">
        <v>3</v>
      </c>
      <c r="AV35">
        <v>0</v>
      </c>
      <c r="AW35">
        <v>1</v>
      </c>
      <c r="AX35">
        <v>-1</v>
      </c>
      <c r="AY35">
        <v>0</v>
      </c>
      <c r="AZ35">
        <v>0</v>
      </c>
      <c r="BA35" t="s">
        <v>3</v>
      </c>
      <c r="BB35">
        <v>0</v>
      </c>
      <c r="BC35">
        <v>0</v>
      </c>
      <c r="BD35">
        <v>0</v>
      </c>
      <c r="BE35">
        <v>0</v>
      </c>
      <c r="BF35">
        <v>0</v>
      </c>
      <c r="BG35">
        <v>0</v>
      </c>
      <c r="BH35">
        <v>0</v>
      </c>
      <c r="BI35">
        <v>0</v>
      </c>
      <c r="BJ35">
        <v>0</v>
      </c>
      <c r="BK35">
        <v>0</v>
      </c>
      <c r="BL35">
        <v>0</v>
      </c>
      <c r="BM35">
        <v>0</v>
      </c>
      <c r="BN35">
        <v>0</v>
      </c>
      <c r="BO35">
        <v>0</v>
      </c>
      <c r="BP35">
        <v>0</v>
      </c>
      <c r="BQ35">
        <v>0</v>
      </c>
      <c r="BR35">
        <v>0</v>
      </c>
      <c r="BS35">
        <v>0</v>
      </c>
      <c r="BT35">
        <v>0</v>
      </c>
      <c r="BU35">
        <v>0</v>
      </c>
      <c r="BV35">
        <v>0</v>
      </c>
      <c r="BW35">
        <v>0</v>
      </c>
      <c r="CV35">
        <v>0</v>
      </c>
      <c r="CW35">
        <v>0</v>
      </c>
      <c r="CX35">
        <f>ROUND(Y35*Source!I39,9)</f>
        <v>0</v>
      </c>
      <c r="CY35">
        <f t="shared" si="18"/>
        <v>369.5</v>
      </c>
      <c r="CZ35">
        <f t="shared" si="19"/>
        <v>369.5</v>
      </c>
      <c r="DA35">
        <f t="shared" si="20"/>
        <v>1</v>
      </c>
      <c r="DB35">
        <f t="shared" si="12"/>
        <v>0</v>
      </c>
      <c r="DC35">
        <f t="shared" si="13"/>
        <v>0</v>
      </c>
      <c r="DD35" t="s">
        <v>3</v>
      </c>
      <c r="DE35" t="s">
        <v>3</v>
      </c>
      <c r="DF35">
        <f t="shared" si="22"/>
        <v>0</v>
      </c>
      <c r="DG35">
        <f t="shared" si="23"/>
        <v>0</v>
      </c>
      <c r="DH35">
        <f t="shared" si="24"/>
        <v>0</v>
      </c>
      <c r="DI35">
        <f t="shared" si="25"/>
        <v>0</v>
      </c>
      <c r="DJ35">
        <f t="shared" si="21"/>
        <v>0</v>
      </c>
      <c r="DK35">
        <v>0</v>
      </c>
      <c r="DL35" t="s">
        <v>3</v>
      </c>
      <c r="DM35">
        <v>0</v>
      </c>
      <c r="DN35" t="s">
        <v>3</v>
      </c>
      <c r="DO35">
        <v>0</v>
      </c>
    </row>
    <row r="36" spans="1:119" x14ac:dyDescent="0.2">
      <c r="A36">
        <f>ROW(Source!A39)</f>
        <v>39</v>
      </c>
      <c r="B36">
        <v>78131199</v>
      </c>
      <c r="C36">
        <v>78130828</v>
      </c>
      <c r="D36">
        <v>77810520</v>
      </c>
      <c r="E36">
        <v>1</v>
      </c>
      <c r="F36">
        <v>1</v>
      </c>
      <c r="G36">
        <v>37</v>
      </c>
      <c r="H36">
        <v>3</v>
      </c>
      <c r="I36" t="s">
        <v>278</v>
      </c>
      <c r="J36" t="s">
        <v>279</v>
      </c>
      <c r="K36" t="s">
        <v>280</v>
      </c>
      <c r="L36">
        <v>1339</v>
      </c>
      <c r="N36">
        <v>1007</v>
      </c>
      <c r="O36" t="s">
        <v>281</v>
      </c>
      <c r="P36" t="s">
        <v>281</v>
      </c>
      <c r="Q36">
        <v>1</v>
      </c>
      <c r="W36">
        <v>0</v>
      </c>
      <c r="X36">
        <v>-1393929784</v>
      </c>
      <c r="Y36">
        <f t="shared" si="11"/>
        <v>0.47</v>
      </c>
      <c r="AA36">
        <v>49.83</v>
      </c>
      <c r="AB36">
        <v>0</v>
      </c>
      <c r="AC36">
        <v>0</v>
      </c>
      <c r="AD36">
        <v>0</v>
      </c>
      <c r="AE36">
        <v>49.83</v>
      </c>
      <c r="AF36">
        <v>0</v>
      </c>
      <c r="AG36">
        <v>0</v>
      </c>
      <c r="AH36">
        <v>0</v>
      </c>
      <c r="AI36">
        <v>1</v>
      </c>
      <c r="AJ36">
        <v>1</v>
      </c>
      <c r="AK36">
        <v>1</v>
      </c>
      <c r="AL36">
        <v>1</v>
      </c>
      <c r="AM36">
        <v>-2</v>
      </c>
      <c r="AN36">
        <v>0</v>
      </c>
      <c r="AO36">
        <v>1</v>
      </c>
      <c r="AP36">
        <v>0</v>
      </c>
      <c r="AQ36">
        <v>0</v>
      </c>
      <c r="AR36">
        <v>0</v>
      </c>
      <c r="AS36" t="s">
        <v>3</v>
      </c>
      <c r="AT36">
        <v>0.47</v>
      </c>
      <c r="AU36" t="s">
        <v>3</v>
      </c>
      <c r="AV36">
        <v>0</v>
      </c>
      <c r="AW36">
        <v>2</v>
      </c>
      <c r="AX36">
        <v>78131231</v>
      </c>
      <c r="AY36">
        <v>1</v>
      </c>
      <c r="AZ36">
        <v>0</v>
      </c>
      <c r="BA36">
        <v>34</v>
      </c>
      <c r="BB36">
        <v>0</v>
      </c>
      <c r="BC36">
        <v>0</v>
      </c>
      <c r="BD36">
        <v>0</v>
      </c>
      <c r="BE36">
        <v>0</v>
      </c>
      <c r="BF36">
        <v>0</v>
      </c>
      <c r="BG36">
        <v>0</v>
      </c>
      <c r="BH36">
        <v>0</v>
      </c>
      <c r="BI36">
        <v>0</v>
      </c>
      <c r="BJ36">
        <v>0</v>
      </c>
      <c r="BK36">
        <v>0</v>
      </c>
      <c r="BL36">
        <v>0</v>
      </c>
      <c r="BM36">
        <v>0</v>
      </c>
      <c r="BN36">
        <v>0</v>
      </c>
      <c r="BO36">
        <v>0</v>
      </c>
      <c r="BP36">
        <v>0</v>
      </c>
      <c r="BQ36">
        <v>0</v>
      </c>
      <c r="BR36">
        <v>0</v>
      </c>
      <c r="BS36">
        <v>0</v>
      </c>
      <c r="BT36">
        <v>0</v>
      </c>
      <c r="BU36">
        <v>0</v>
      </c>
      <c r="BV36">
        <v>0</v>
      </c>
      <c r="BW36">
        <v>0</v>
      </c>
      <c r="CV36">
        <v>0</v>
      </c>
      <c r="CW36">
        <v>0</v>
      </c>
      <c r="CX36">
        <f>ROUND(Y36*Source!I39,9)</f>
        <v>0</v>
      </c>
      <c r="CY36">
        <f t="shared" si="18"/>
        <v>49.83</v>
      </c>
      <c r="CZ36">
        <f t="shared" si="19"/>
        <v>49.83</v>
      </c>
      <c r="DA36">
        <f t="shared" si="20"/>
        <v>1</v>
      </c>
      <c r="DB36">
        <f t="shared" si="12"/>
        <v>23.42</v>
      </c>
      <c r="DC36">
        <f t="shared" si="13"/>
        <v>0</v>
      </c>
      <c r="DD36" t="s">
        <v>3</v>
      </c>
      <c r="DE36" t="s">
        <v>3</v>
      </c>
      <c r="DF36">
        <f t="shared" si="22"/>
        <v>0</v>
      </c>
      <c r="DG36">
        <f t="shared" si="23"/>
        <v>0</v>
      </c>
      <c r="DH36">
        <f t="shared" si="24"/>
        <v>0</v>
      </c>
      <c r="DI36">
        <f t="shared" si="25"/>
        <v>0</v>
      </c>
      <c r="DJ36">
        <f t="shared" si="21"/>
        <v>0</v>
      </c>
      <c r="DK36">
        <v>0</v>
      </c>
      <c r="DL36" t="s">
        <v>3</v>
      </c>
      <c r="DM36">
        <v>0</v>
      </c>
      <c r="DN36" t="s">
        <v>3</v>
      </c>
      <c r="DO36">
        <v>0</v>
      </c>
    </row>
    <row r="37" spans="1:119" x14ac:dyDescent="0.2">
      <c r="A37">
        <f>ROW(Source!A39)</f>
        <v>39</v>
      </c>
      <c r="B37">
        <v>78131199</v>
      </c>
      <c r="C37">
        <v>78130828</v>
      </c>
      <c r="D37">
        <v>77814594</v>
      </c>
      <c r="E37">
        <v>1</v>
      </c>
      <c r="F37">
        <v>1</v>
      </c>
      <c r="G37">
        <v>37</v>
      </c>
      <c r="H37">
        <v>3</v>
      </c>
      <c r="I37" t="s">
        <v>51</v>
      </c>
      <c r="J37" t="s">
        <v>53</v>
      </c>
      <c r="K37" t="s">
        <v>52</v>
      </c>
      <c r="L37">
        <v>1301</v>
      </c>
      <c r="N37">
        <v>1003</v>
      </c>
      <c r="O37" t="s">
        <v>33</v>
      </c>
      <c r="P37" t="s">
        <v>33</v>
      </c>
      <c r="Q37">
        <v>1</v>
      </c>
      <c r="W37">
        <v>0</v>
      </c>
      <c r="X37">
        <v>83807339</v>
      </c>
      <c r="Y37">
        <f t="shared" si="11"/>
        <v>89.9</v>
      </c>
      <c r="AA37">
        <v>30.32</v>
      </c>
      <c r="AB37">
        <v>0</v>
      </c>
      <c r="AC37">
        <v>0</v>
      </c>
      <c r="AD37">
        <v>0</v>
      </c>
      <c r="AE37">
        <v>30.32</v>
      </c>
      <c r="AF37">
        <v>0</v>
      </c>
      <c r="AG37">
        <v>0</v>
      </c>
      <c r="AH37">
        <v>0</v>
      </c>
      <c r="AI37">
        <v>1</v>
      </c>
      <c r="AJ37">
        <v>1</v>
      </c>
      <c r="AK37">
        <v>1</v>
      </c>
      <c r="AL37">
        <v>1</v>
      </c>
      <c r="AM37">
        <v>-2</v>
      </c>
      <c r="AN37">
        <v>0</v>
      </c>
      <c r="AO37">
        <v>0</v>
      </c>
      <c r="AP37">
        <v>1</v>
      </c>
      <c r="AQ37">
        <v>0</v>
      </c>
      <c r="AR37">
        <v>0</v>
      </c>
      <c r="AS37" t="s">
        <v>3</v>
      </c>
      <c r="AT37">
        <v>89.9</v>
      </c>
      <c r="AU37" t="s">
        <v>3</v>
      </c>
      <c r="AV37">
        <v>0</v>
      </c>
      <c r="AW37">
        <v>1</v>
      </c>
      <c r="AX37">
        <v>-1</v>
      </c>
      <c r="AY37">
        <v>0</v>
      </c>
      <c r="AZ37">
        <v>0</v>
      </c>
      <c r="BA37" t="s">
        <v>3</v>
      </c>
      <c r="BB37">
        <v>0</v>
      </c>
      <c r="BC37">
        <v>0</v>
      </c>
      <c r="BD37">
        <v>0</v>
      </c>
      <c r="BE37">
        <v>0</v>
      </c>
      <c r="BF37">
        <v>0</v>
      </c>
      <c r="BG37">
        <v>0</v>
      </c>
      <c r="BH37">
        <v>0</v>
      </c>
      <c r="BI37">
        <v>0</v>
      </c>
      <c r="BJ37">
        <v>0</v>
      </c>
      <c r="BK37">
        <v>0</v>
      </c>
      <c r="BL37">
        <v>0</v>
      </c>
      <c r="BM37">
        <v>0</v>
      </c>
      <c r="BN37">
        <v>0</v>
      </c>
      <c r="BO37">
        <v>0</v>
      </c>
      <c r="BP37">
        <v>0</v>
      </c>
      <c r="BQ37">
        <v>0</v>
      </c>
      <c r="BR37">
        <v>0</v>
      </c>
      <c r="BS37">
        <v>0</v>
      </c>
      <c r="BT37">
        <v>0</v>
      </c>
      <c r="BU37">
        <v>0</v>
      </c>
      <c r="BV37">
        <v>0</v>
      </c>
      <c r="BW37">
        <v>0</v>
      </c>
      <c r="CV37">
        <v>0</v>
      </c>
      <c r="CW37">
        <v>0</v>
      </c>
      <c r="CX37">
        <f>ROUND(Y37*Source!I39,9)</f>
        <v>0</v>
      </c>
      <c r="CY37">
        <f t="shared" si="18"/>
        <v>30.32</v>
      </c>
      <c r="CZ37">
        <f t="shared" si="19"/>
        <v>30.32</v>
      </c>
      <c r="DA37">
        <f t="shared" si="20"/>
        <v>1</v>
      </c>
      <c r="DB37">
        <f t="shared" si="12"/>
        <v>2725.77</v>
      </c>
      <c r="DC37">
        <f t="shared" si="13"/>
        <v>0</v>
      </c>
      <c r="DD37" t="s">
        <v>3</v>
      </c>
      <c r="DE37" t="s">
        <v>3</v>
      </c>
      <c r="DF37">
        <f t="shared" si="22"/>
        <v>0</v>
      </c>
      <c r="DG37">
        <f t="shared" si="23"/>
        <v>0</v>
      </c>
      <c r="DH37">
        <f t="shared" si="24"/>
        <v>0</v>
      </c>
      <c r="DI37">
        <f t="shared" si="25"/>
        <v>0</v>
      </c>
      <c r="DJ37">
        <f t="shared" si="21"/>
        <v>0</v>
      </c>
      <c r="DK37">
        <v>0</v>
      </c>
      <c r="DL37" t="s">
        <v>3</v>
      </c>
      <c r="DM37">
        <v>0</v>
      </c>
      <c r="DN37" t="s">
        <v>3</v>
      </c>
      <c r="DO37">
        <v>0</v>
      </c>
    </row>
    <row r="38" spans="1:119" x14ac:dyDescent="0.2">
      <c r="A38">
        <f>ROW(Source!A39)</f>
        <v>39</v>
      </c>
      <c r="B38">
        <v>78131199</v>
      </c>
      <c r="C38">
        <v>78130828</v>
      </c>
      <c r="D38">
        <v>77814792</v>
      </c>
      <c r="E38">
        <v>1</v>
      </c>
      <c r="F38">
        <v>1</v>
      </c>
      <c r="G38">
        <v>37</v>
      </c>
      <c r="H38">
        <v>3</v>
      </c>
      <c r="I38" t="s">
        <v>55</v>
      </c>
      <c r="J38" t="s">
        <v>57</v>
      </c>
      <c r="K38" t="s">
        <v>56</v>
      </c>
      <c r="L38">
        <v>1301</v>
      </c>
      <c r="N38">
        <v>1003</v>
      </c>
      <c r="O38" t="s">
        <v>33</v>
      </c>
      <c r="P38" t="s">
        <v>33</v>
      </c>
      <c r="Q38">
        <v>1</v>
      </c>
      <c r="W38">
        <v>0</v>
      </c>
      <c r="X38">
        <v>-1013870904</v>
      </c>
      <c r="Y38">
        <f t="shared" si="11"/>
        <v>0</v>
      </c>
      <c r="AA38">
        <v>42.39</v>
      </c>
      <c r="AB38">
        <v>0</v>
      </c>
      <c r="AC38">
        <v>0</v>
      </c>
      <c r="AD38">
        <v>0</v>
      </c>
      <c r="AE38">
        <v>42.39</v>
      </c>
      <c r="AF38">
        <v>0</v>
      </c>
      <c r="AG38">
        <v>0</v>
      </c>
      <c r="AH38">
        <v>0</v>
      </c>
      <c r="AI38">
        <v>1</v>
      </c>
      <c r="AJ38">
        <v>1</v>
      </c>
      <c r="AK38">
        <v>1</v>
      </c>
      <c r="AL38">
        <v>1</v>
      </c>
      <c r="AM38">
        <v>-2</v>
      </c>
      <c r="AN38">
        <v>0</v>
      </c>
      <c r="AO38">
        <v>0</v>
      </c>
      <c r="AP38">
        <v>1</v>
      </c>
      <c r="AQ38">
        <v>0</v>
      </c>
      <c r="AR38">
        <v>0</v>
      </c>
      <c r="AS38" t="s">
        <v>3</v>
      </c>
      <c r="AT38">
        <v>0</v>
      </c>
      <c r="AU38" t="s">
        <v>3</v>
      </c>
      <c r="AV38">
        <v>0</v>
      </c>
      <c r="AW38">
        <v>1</v>
      </c>
      <c r="AX38">
        <v>-1</v>
      </c>
      <c r="AY38">
        <v>0</v>
      </c>
      <c r="AZ38">
        <v>0</v>
      </c>
      <c r="BA38" t="s">
        <v>3</v>
      </c>
      <c r="BB38">
        <v>0</v>
      </c>
      <c r="BC38">
        <v>0</v>
      </c>
      <c r="BD38">
        <v>0</v>
      </c>
      <c r="BE38">
        <v>0</v>
      </c>
      <c r="BF38">
        <v>0</v>
      </c>
      <c r="BG38">
        <v>0</v>
      </c>
      <c r="BH38">
        <v>0</v>
      </c>
      <c r="BI38">
        <v>0</v>
      </c>
      <c r="BJ38">
        <v>0</v>
      </c>
      <c r="BK38">
        <v>0</v>
      </c>
      <c r="BL38">
        <v>0</v>
      </c>
      <c r="BM38">
        <v>0</v>
      </c>
      <c r="BN38">
        <v>0</v>
      </c>
      <c r="BO38">
        <v>0</v>
      </c>
      <c r="BP38">
        <v>0</v>
      </c>
      <c r="BQ38">
        <v>0</v>
      </c>
      <c r="BR38">
        <v>0</v>
      </c>
      <c r="BS38">
        <v>0</v>
      </c>
      <c r="BT38">
        <v>0</v>
      </c>
      <c r="BU38">
        <v>0</v>
      </c>
      <c r="BV38">
        <v>0</v>
      </c>
      <c r="BW38">
        <v>0</v>
      </c>
      <c r="CV38">
        <v>0</v>
      </c>
      <c r="CW38">
        <v>0</v>
      </c>
      <c r="CX38">
        <f>ROUND(Y38*Source!I39,9)</f>
        <v>0</v>
      </c>
      <c r="CY38">
        <f t="shared" si="18"/>
        <v>42.39</v>
      </c>
      <c r="CZ38">
        <f t="shared" si="19"/>
        <v>42.39</v>
      </c>
      <c r="DA38">
        <f t="shared" si="20"/>
        <v>1</v>
      </c>
      <c r="DB38">
        <f t="shared" si="12"/>
        <v>0</v>
      </c>
      <c r="DC38">
        <f t="shared" si="13"/>
        <v>0</v>
      </c>
      <c r="DD38" t="s">
        <v>3</v>
      </c>
      <c r="DE38" t="s">
        <v>3</v>
      </c>
      <c r="DF38">
        <f t="shared" si="22"/>
        <v>0</v>
      </c>
      <c r="DG38">
        <f t="shared" si="23"/>
        <v>0</v>
      </c>
      <c r="DH38">
        <f t="shared" si="24"/>
        <v>0</v>
      </c>
      <c r="DI38">
        <f t="shared" si="25"/>
        <v>0</v>
      </c>
      <c r="DJ38">
        <f t="shared" si="21"/>
        <v>0</v>
      </c>
      <c r="DK38">
        <v>0</v>
      </c>
      <c r="DL38" t="s">
        <v>3</v>
      </c>
      <c r="DM38">
        <v>0</v>
      </c>
      <c r="DN38" t="s">
        <v>3</v>
      </c>
      <c r="DO38">
        <v>0</v>
      </c>
    </row>
    <row r="39" spans="1:119" x14ac:dyDescent="0.2">
      <c r="A39">
        <f>ROW(Source!A39)</f>
        <v>39</v>
      </c>
      <c r="B39">
        <v>78131199</v>
      </c>
      <c r="C39">
        <v>78130828</v>
      </c>
      <c r="D39">
        <v>77814835</v>
      </c>
      <c r="E39">
        <v>1</v>
      </c>
      <c r="F39">
        <v>1</v>
      </c>
      <c r="G39">
        <v>37</v>
      </c>
      <c r="H39">
        <v>3</v>
      </c>
      <c r="I39" t="s">
        <v>64</v>
      </c>
      <c r="J39" t="s">
        <v>66</v>
      </c>
      <c r="K39" t="s">
        <v>65</v>
      </c>
      <c r="L39">
        <v>1354</v>
      </c>
      <c r="N39">
        <v>1010</v>
      </c>
      <c r="O39" t="s">
        <v>29</v>
      </c>
      <c r="P39" t="s">
        <v>29</v>
      </c>
      <c r="Q39">
        <v>1</v>
      </c>
      <c r="W39">
        <v>0</v>
      </c>
      <c r="X39">
        <v>34723009</v>
      </c>
      <c r="Y39">
        <f t="shared" si="11"/>
        <v>7.1428570000000002</v>
      </c>
      <c r="AA39">
        <v>159.86000000000001</v>
      </c>
      <c r="AB39">
        <v>0</v>
      </c>
      <c r="AC39">
        <v>0</v>
      </c>
      <c r="AD39">
        <v>0</v>
      </c>
      <c r="AE39">
        <v>159.86000000000001</v>
      </c>
      <c r="AF39">
        <v>0</v>
      </c>
      <c r="AG39">
        <v>0</v>
      </c>
      <c r="AH39">
        <v>0</v>
      </c>
      <c r="AI39">
        <v>1</v>
      </c>
      <c r="AJ39">
        <v>1</v>
      </c>
      <c r="AK39">
        <v>1</v>
      </c>
      <c r="AL39">
        <v>1</v>
      </c>
      <c r="AM39">
        <v>-2</v>
      </c>
      <c r="AN39">
        <v>0</v>
      </c>
      <c r="AO39">
        <v>0</v>
      </c>
      <c r="AP39">
        <v>1</v>
      </c>
      <c r="AQ39">
        <v>0</v>
      </c>
      <c r="AR39">
        <v>0</v>
      </c>
      <c r="AS39" t="s">
        <v>3</v>
      </c>
      <c r="AT39">
        <v>7.1428570000000002</v>
      </c>
      <c r="AU39" t="s">
        <v>3</v>
      </c>
      <c r="AV39">
        <v>0</v>
      </c>
      <c r="AW39">
        <v>1</v>
      </c>
      <c r="AX39">
        <v>-1</v>
      </c>
      <c r="AY39">
        <v>0</v>
      </c>
      <c r="AZ39">
        <v>0</v>
      </c>
      <c r="BA39" t="s">
        <v>3</v>
      </c>
      <c r="BB39">
        <v>0</v>
      </c>
      <c r="BC39">
        <v>0</v>
      </c>
      <c r="BD39">
        <v>0</v>
      </c>
      <c r="BE39">
        <v>0</v>
      </c>
      <c r="BF39">
        <v>0</v>
      </c>
      <c r="BG39">
        <v>0</v>
      </c>
      <c r="BH39">
        <v>0</v>
      </c>
      <c r="BI39">
        <v>0</v>
      </c>
      <c r="BJ39">
        <v>0</v>
      </c>
      <c r="BK39">
        <v>0</v>
      </c>
      <c r="BL39">
        <v>0</v>
      </c>
      <c r="BM39">
        <v>0</v>
      </c>
      <c r="BN39">
        <v>0</v>
      </c>
      <c r="BO39">
        <v>0</v>
      </c>
      <c r="BP39">
        <v>0</v>
      </c>
      <c r="BQ39">
        <v>0</v>
      </c>
      <c r="BR39">
        <v>0</v>
      </c>
      <c r="BS39">
        <v>0</v>
      </c>
      <c r="BT39">
        <v>0</v>
      </c>
      <c r="BU39">
        <v>0</v>
      </c>
      <c r="BV39">
        <v>0</v>
      </c>
      <c r="BW39">
        <v>0</v>
      </c>
      <c r="CV39">
        <v>0</v>
      </c>
      <c r="CW39">
        <v>0</v>
      </c>
      <c r="CX39">
        <f>ROUND(Y39*Source!I39,9)</f>
        <v>0</v>
      </c>
      <c r="CY39">
        <f t="shared" si="18"/>
        <v>159.86000000000001</v>
      </c>
      <c r="CZ39">
        <f t="shared" si="19"/>
        <v>159.86000000000001</v>
      </c>
      <c r="DA39">
        <f t="shared" si="20"/>
        <v>1</v>
      </c>
      <c r="DB39">
        <f t="shared" si="12"/>
        <v>1141.8599999999999</v>
      </c>
      <c r="DC39">
        <f t="shared" si="13"/>
        <v>0</v>
      </c>
      <c r="DD39" t="s">
        <v>3</v>
      </c>
      <c r="DE39" t="s">
        <v>3</v>
      </c>
      <c r="DF39">
        <f t="shared" si="22"/>
        <v>0</v>
      </c>
      <c r="DG39">
        <f t="shared" si="23"/>
        <v>0</v>
      </c>
      <c r="DH39">
        <f t="shared" si="24"/>
        <v>0</v>
      </c>
      <c r="DI39">
        <f t="shared" si="25"/>
        <v>0</v>
      </c>
      <c r="DJ39">
        <f t="shared" si="21"/>
        <v>0</v>
      </c>
      <c r="DK39">
        <v>0</v>
      </c>
      <c r="DL39" t="s">
        <v>3</v>
      </c>
      <c r="DM39">
        <v>0</v>
      </c>
      <c r="DN39" t="s">
        <v>3</v>
      </c>
      <c r="DO39">
        <v>0</v>
      </c>
    </row>
    <row r="40" spans="1:119" x14ac:dyDescent="0.2">
      <c r="A40">
        <f>ROW(Source!A39)</f>
        <v>39</v>
      </c>
      <c r="B40">
        <v>78131199</v>
      </c>
      <c r="C40">
        <v>78130828</v>
      </c>
      <c r="D40">
        <v>77814871</v>
      </c>
      <c r="E40">
        <v>1</v>
      </c>
      <c r="F40">
        <v>1</v>
      </c>
      <c r="G40">
        <v>37</v>
      </c>
      <c r="H40">
        <v>3</v>
      </c>
      <c r="I40" t="s">
        <v>59</v>
      </c>
      <c r="J40" t="s">
        <v>61</v>
      </c>
      <c r="K40" t="s">
        <v>60</v>
      </c>
      <c r="L40">
        <v>1354</v>
      </c>
      <c r="N40">
        <v>1010</v>
      </c>
      <c r="O40" t="s">
        <v>29</v>
      </c>
      <c r="P40" t="s">
        <v>29</v>
      </c>
      <c r="Q40">
        <v>1</v>
      </c>
      <c r="W40">
        <v>0</v>
      </c>
      <c r="X40">
        <v>-2052040340</v>
      </c>
      <c r="Y40">
        <f t="shared" si="11"/>
        <v>71.428571000000005</v>
      </c>
      <c r="AA40">
        <v>207.07</v>
      </c>
      <c r="AB40">
        <v>0</v>
      </c>
      <c r="AC40">
        <v>0</v>
      </c>
      <c r="AD40">
        <v>0</v>
      </c>
      <c r="AE40">
        <v>207.07</v>
      </c>
      <c r="AF40">
        <v>0</v>
      </c>
      <c r="AG40">
        <v>0</v>
      </c>
      <c r="AH40">
        <v>0</v>
      </c>
      <c r="AI40">
        <v>1</v>
      </c>
      <c r="AJ40">
        <v>1</v>
      </c>
      <c r="AK40">
        <v>1</v>
      </c>
      <c r="AL40">
        <v>1</v>
      </c>
      <c r="AM40">
        <v>-2</v>
      </c>
      <c r="AN40">
        <v>0</v>
      </c>
      <c r="AO40">
        <v>0</v>
      </c>
      <c r="AP40">
        <v>1</v>
      </c>
      <c r="AQ40">
        <v>0</v>
      </c>
      <c r="AR40">
        <v>0</v>
      </c>
      <c r="AS40" t="s">
        <v>3</v>
      </c>
      <c r="AT40">
        <v>71.428571000000005</v>
      </c>
      <c r="AU40" t="s">
        <v>3</v>
      </c>
      <c r="AV40">
        <v>0</v>
      </c>
      <c r="AW40">
        <v>1</v>
      </c>
      <c r="AX40">
        <v>-1</v>
      </c>
      <c r="AY40">
        <v>0</v>
      </c>
      <c r="AZ40">
        <v>0</v>
      </c>
      <c r="BA40" t="s">
        <v>3</v>
      </c>
      <c r="BB40">
        <v>0</v>
      </c>
      <c r="BC40">
        <v>0</v>
      </c>
      <c r="BD40">
        <v>0</v>
      </c>
      <c r="BE40">
        <v>0</v>
      </c>
      <c r="BF40">
        <v>0</v>
      </c>
      <c r="BG40">
        <v>0</v>
      </c>
      <c r="BH40">
        <v>0</v>
      </c>
      <c r="BI40">
        <v>0</v>
      </c>
      <c r="BJ40">
        <v>0</v>
      </c>
      <c r="BK40">
        <v>0</v>
      </c>
      <c r="BL40">
        <v>0</v>
      </c>
      <c r="BM40">
        <v>0</v>
      </c>
      <c r="BN40">
        <v>0</v>
      </c>
      <c r="BO40">
        <v>0</v>
      </c>
      <c r="BP40">
        <v>0</v>
      </c>
      <c r="BQ40">
        <v>0</v>
      </c>
      <c r="BR40">
        <v>0</v>
      </c>
      <c r="BS40">
        <v>0</v>
      </c>
      <c r="BT40">
        <v>0</v>
      </c>
      <c r="BU40">
        <v>0</v>
      </c>
      <c r="BV40">
        <v>0</v>
      </c>
      <c r="BW40">
        <v>0</v>
      </c>
      <c r="CV40">
        <v>0</v>
      </c>
      <c r="CW40">
        <v>0</v>
      </c>
      <c r="CX40">
        <f>ROUND(Y40*Source!I39,9)</f>
        <v>0</v>
      </c>
      <c r="CY40">
        <f t="shared" si="18"/>
        <v>207.07</v>
      </c>
      <c r="CZ40">
        <f t="shared" si="19"/>
        <v>207.07</v>
      </c>
      <c r="DA40">
        <f t="shared" si="20"/>
        <v>1</v>
      </c>
      <c r="DB40">
        <f t="shared" si="12"/>
        <v>14790.71</v>
      </c>
      <c r="DC40">
        <f t="shared" si="13"/>
        <v>0</v>
      </c>
      <c r="DD40" t="s">
        <v>3</v>
      </c>
      <c r="DE40" t="s">
        <v>3</v>
      </c>
      <c r="DF40">
        <f t="shared" si="22"/>
        <v>0</v>
      </c>
      <c r="DG40">
        <f t="shared" si="23"/>
        <v>0</v>
      </c>
      <c r="DH40">
        <f t="shared" si="24"/>
        <v>0</v>
      </c>
      <c r="DI40">
        <f t="shared" si="25"/>
        <v>0</v>
      </c>
      <c r="DJ40">
        <f t="shared" si="21"/>
        <v>0</v>
      </c>
      <c r="DK40">
        <v>0</v>
      </c>
      <c r="DL40" t="s">
        <v>3</v>
      </c>
      <c r="DM40">
        <v>0</v>
      </c>
      <c r="DN40" t="s">
        <v>3</v>
      </c>
      <c r="DO40">
        <v>0</v>
      </c>
    </row>
    <row r="41" spans="1:119" x14ac:dyDescent="0.2">
      <c r="A41">
        <f>ROW(Source!A39)</f>
        <v>39</v>
      </c>
      <c r="B41">
        <v>78131199</v>
      </c>
      <c r="C41">
        <v>78130828</v>
      </c>
      <c r="D41">
        <v>77810577</v>
      </c>
      <c r="E41">
        <v>1</v>
      </c>
      <c r="F41">
        <v>1</v>
      </c>
      <c r="G41">
        <v>37</v>
      </c>
      <c r="H41">
        <v>3</v>
      </c>
      <c r="I41" t="s">
        <v>282</v>
      </c>
      <c r="J41" t="s">
        <v>283</v>
      </c>
      <c r="K41" t="s">
        <v>284</v>
      </c>
      <c r="L41">
        <v>1346</v>
      </c>
      <c r="N41">
        <v>1009</v>
      </c>
      <c r="O41" t="s">
        <v>264</v>
      </c>
      <c r="P41" t="s">
        <v>264</v>
      </c>
      <c r="Q41">
        <v>1</v>
      </c>
      <c r="W41">
        <v>0</v>
      </c>
      <c r="X41">
        <v>-900515407</v>
      </c>
      <c r="Y41">
        <f t="shared" si="11"/>
        <v>0.25</v>
      </c>
      <c r="AA41">
        <v>495.12</v>
      </c>
      <c r="AB41">
        <v>0</v>
      </c>
      <c r="AC41">
        <v>0</v>
      </c>
      <c r="AD41">
        <v>0</v>
      </c>
      <c r="AE41">
        <v>495.12</v>
      </c>
      <c r="AF41">
        <v>0</v>
      </c>
      <c r="AG41">
        <v>0</v>
      </c>
      <c r="AH41">
        <v>0</v>
      </c>
      <c r="AI41">
        <v>1</v>
      </c>
      <c r="AJ41">
        <v>1</v>
      </c>
      <c r="AK41">
        <v>1</v>
      </c>
      <c r="AL41">
        <v>1</v>
      </c>
      <c r="AM41">
        <v>-2</v>
      </c>
      <c r="AN41">
        <v>0</v>
      </c>
      <c r="AO41">
        <v>1</v>
      </c>
      <c r="AP41">
        <v>0</v>
      </c>
      <c r="AQ41">
        <v>0</v>
      </c>
      <c r="AR41">
        <v>0</v>
      </c>
      <c r="AS41" t="s">
        <v>3</v>
      </c>
      <c r="AT41">
        <v>0.25</v>
      </c>
      <c r="AU41" t="s">
        <v>3</v>
      </c>
      <c r="AV41">
        <v>0</v>
      </c>
      <c r="AW41">
        <v>2</v>
      </c>
      <c r="AX41">
        <v>78131232</v>
      </c>
      <c r="AY41">
        <v>1</v>
      </c>
      <c r="AZ41">
        <v>0</v>
      </c>
      <c r="BA41">
        <v>35</v>
      </c>
      <c r="BB41">
        <v>0</v>
      </c>
      <c r="BC41">
        <v>0</v>
      </c>
      <c r="BD41">
        <v>0</v>
      </c>
      <c r="BE41">
        <v>0</v>
      </c>
      <c r="BF41">
        <v>0</v>
      </c>
      <c r="BG41">
        <v>0</v>
      </c>
      <c r="BH41">
        <v>0</v>
      </c>
      <c r="BI41">
        <v>0</v>
      </c>
      <c r="BJ41">
        <v>0</v>
      </c>
      <c r="BK41">
        <v>0</v>
      </c>
      <c r="BL41">
        <v>0</v>
      </c>
      <c r="BM41">
        <v>0</v>
      </c>
      <c r="BN41">
        <v>0</v>
      </c>
      <c r="BO41">
        <v>0</v>
      </c>
      <c r="BP41">
        <v>0</v>
      </c>
      <c r="BQ41">
        <v>0</v>
      </c>
      <c r="BR41">
        <v>0</v>
      </c>
      <c r="BS41">
        <v>0</v>
      </c>
      <c r="BT41">
        <v>0</v>
      </c>
      <c r="BU41">
        <v>0</v>
      </c>
      <c r="BV41">
        <v>0</v>
      </c>
      <c r="BW41">
        <v>0</v>
      </c>
      <c r="CV41">
        <v>0</v>
      </c>
      <c r="CW41">
        <v>0</v>
      </c>
      <c r="CX41">
        <f>ROUND(Y41*Source!I39,9)</f>
        <v>0</v>
      </c>
      <c r="CY41">
        <f t="shared" si="18"/>
        <v>495.12</v>
      </c>
      <c r="CZ41">
        <f t="shared" si="19"/>
        <v>495.12</v>
      </c>
      <c r="DA41">
        <f t="shared" si="20"/>
        <v>1</v>
      </c>
      <c r="DB41">
        <f t="shared" si="12"/>
        <v>123.78</v>
      </c>
      <c r="DC41">
        <f t="shared" si="13"/>
        <v>0</v>
      </c>
      <c r="DD41" t="s">
        <v>3</v>
      </c>
      <c r="DE41" t="s">
        <v>3</v>
      </c>
      <c r="DF41">
        <f t="shared" si="22"/>
        <v>0</v>
      </c>
      <c r="DG41">
        <f t="shared" si="23"/>
        <v>0</v>
      </c>
      <c r="DH41">
        <f t="shared" si="24"/>
        <v>0</v>
      </c>
      <c r="DI41">
        <f t="shared" si="25"/>
        <v>0</v>
      </c>
      <c r="DJ41">
        <f t="shared" si="21"/>
        <v>0</v>
      </c>
      <c r="DK41">
        <v>0</v>
      </c>
      <c r="DL41" t="s">
        <v>3</v>
      </c>
      <c r="DM41">
        <v>0</v>
      </c>
      <c r="DN41" t="s">
        <v>3</v>
      </c>
      <c r="DO41">
        <v>0</v>
      </c>
    </row>
    <row r="42" spans="1:119" x14ac:dyDescent="0.2">
      <c r="A42">
        <f>ROW(Source!A39)</f>
        <v>39</v>
      </c>
      <c r="B42">
        <v>78131199</v>
      </c>
      <c r="C42">
        <v>78130828</v>
      </c>
      <c r="D42">
        <v>77815831</v>
      </c>
      <c r="E42">
        <v>1</v>
      </c>
      <c r="F42">
        <v>1</v>
      </c>
      <c r="G42">
        <v>37</v>
      </c>
      <c r="H42">
        <v>3</v>
      </c>
      <c r="I42" t="s">
        <v>45</v>
      </c>
      <c r="J42" t="s">
        <v>47</v>
      </c>
      <c r="K42" t="s">
        <v>46</v>
      </c>
      <c r="L42">
        <v>1354</v>
      </c>
      <c r="N42">
        <v>1010</v>
      </c>
      <c r="O42" t="s">
        <v>29</v>
      </c>
      <c r="P42" t="s">
        <v>29</v>
      </c>
      <c r="Q42">
        <v>1</v>
      </c>
      <c r="W42">
        <v>0</v>
      </c>
      <c r="X42">
        <v>1965755675</v>
      </c>
      <c r="Y42">
        <f t="shared" si="11"/>
        <v>7.1428570000000002</v>
      </c>
      <c r="AA42">
        <v>148.13999999999999</v>
      </c>
      <c r="AB42">
        <v>0</v>
      </c>
      <c r="AC42">
        <v>0</v>
      </c>
      <c r="AD42">
        <v>0</v>
      </c>
      <c r="AE42">
        <v>148.13999999999999</v>
      </c>
      <c r="AF42">
        <v>0</v>
      </c>
      <c r="AG42">
        <v>0</v>
      </c>
      <c r="AH42">
        <v>0</v>
      </c>
      <c r="AI42">
        <v>1</v>
      </c>
      <c r="AJ42">
        <v>1</v>
      </c>
      <c r="AK42">
        <v>1</v>
      </c>
      <c r="AL42">
        <v>1</v>
      </c>
      <c r="AM42">
        <v>-2</v>
      </c>
      <c r="AN42">
        <v>0</v>
      </c>
      <c r="AO42">
        <v>0</v>
      </c>
      <c r="AP42">
        <v>1</v>
      </c>
      <c r="AQ42">
        <v>0</v>
      </c>
      <c r="AR42">
        <v>0</v>
      </c>
      <c r="AS42" t="s">
        <v>3</v>
      </c>
      <c r="AT42">
        <v>7.1428570000000002</v>
      </c>
      <c r="AU42" t="s">
        <v>3</v>
      </c>
      <c r="AV42">
        <v>0</v>
      </c>
      <c r="AW42">
        <v>1</v>
      </c>
      <c r="AX42">
        <v>-1</v>
      </c>
      <c r="AY42">
        <v>0</v>
      </c>
      <c r="AZ42">
        <v>0</v>
      </c>
      <c r="BA42" t="s">
        <v>3</v>
      </c>
      <c r="BB42">
        <v>0</v>
      </c>
      <c r="BC42">
        <v>0</v>
      </c>
      <c r="BD42">
        <v>0</v>
      </c>
      <c r="BE42">
        <v>0</v>
      </c>
      <c r="BF42">
        <v>0</v>
      </c>
      <c r="BG42">
        <v>0</v>
      </c>
      <c r="BH42">
        <v>0</v>
      </c>
      <c r="BI42">
        <v>0</v>
      </c>
      <c r="BJ42">
        <v>0</v>
      </c>
      <c r="BK42">
        <v>0</v>
      </c>
      <c r="BL42">
        <v>0</v>
      </c>
      <c r="BM42">
        <v>0</v>
      </c>
      <c r="BN42">
        <v>0</v>
      </c>
      <c r="BO42">
        <v>0</v>
      </c>
      <c r="BP42">
        <v>0</v>
      </c>
      <c r="BQ42">
        <v>0</v>
      </c>
      <c r="BR42">
        <v>0</v>
      </c>
      <c r="BS42">
        <v>0</v>
      </c>
      <c r="BT42">
        <v>0</v>
      </c>
      <c r="BU42">
        <v>0</v>
      </c>
      <c r="BV42">
        <v>0</v>
      </c>
      <c r="BW42">
        <v>0</v>
      </c>
      <c r="CV42">
        <v>0</v>
      </c>
      <c r="CW42">
        <v>0</v>
      </c>
      <c r="CX42">
        <f>ROUND(Y42*Source!I39,9)</f>
        <v>0</v>
      </c>
      <c r="CY42">
        <f t="shared" si="18"/>
        <v>148.13999999999999</v>
      </c>
      <c r="CZ42">
        <f t="shared" si="19"/>
        <v>148.13999999999999</v>
      </c>
      <c r="DA42">
        <f t="shared" si="20"/>
        <v>1</v>
      </c>
      <c r="DB42">
        <f t="shared" si="12"/>
        <v>1058.1400000000001</v>
      </c>
      <c r="DC42">
        <f t="shared" si="13"/>
        <v>0</v>
      </c>
      <c r="DD42" t="s">
        <v>3</v>
      </c>
      <c r="DE42" t="s">
        <v>3</v>
      </c>
      <c r="DF42">
        <f t="shared" si="22"/>
        <v>0</v>
      </c>
      <c r="DG42">
        <f t="shared" si="23"/>
        <v>0</v>
      </c>
      <c r="DH42">
        <f t="shared" si="24"/>
        <v>0</v>
      </c>
      <c r="DI42">
        <f t="shared" si="25"/>
        <v>0</v>
      </c>
      <c r="DJ42">
        <f t="shared" si="21"/>
        <v>0</v>
      </c>
      <c r="DK42">
        <v>0</v>
      </c>
      <c r="DL42" t="s">
        <v>3</v>
      </c>
      <c r="DM42">
        <v>0</v>
      </c>
      <c r="DN42" t="s">
        <v>3</v>
      </c>
      <c r="DO42">
        <v>0</v>
      </c>
    </row>
    <row r="43" spans="1:119" x14ac:dyDescent="0.2">
      <c r="A43">
        <f>ROW(Source!A47)</f>
        <v>47</v>
      </c>
      <c r="B43">
        <v>78131199</v>
      </c>
      <c r="C43">
        <v>78130865</v>
      </c>
      <c r="D43">
        <v>77806460</v>
      </c>
      <c r="E43">
        <v>37</v>
      </c>
      <c r="F43">
        <v>1</v>
      </c>
      <c r="G43">
        <v>37</v>
      </c>
      <c r="H43">
        <v>1</v>
      </c>
      <c r="I43" t="s">
        <v>254</v>
      </c>
      <c r="J43" t="s">
        <v>3</v>
      </c>
      <c r="K43" t="s">
        <v>255</v>
      </c>
      <c r="L43">
        <v>1191</v>
      </c>
      <c r="N43">
        <v>1013</v>
      </c>
      <c r="O43" t="s">
        <v>256</v>
      </c>
      <c r="P43" t="s">
        <v>256</v>
      </c>
      <c r="Q43">
        <v>1</v>
      </c>
      <c r="W43">
        <v>0</v>
      </c>
      <c r="X43">
        <v>476480486</v>
      </c>
      <c r="Y43">
        <f>(AT43*0.2)</f>
        <v>0.17200000000000001</v>
      </c>
      <c r="AA43">
        <v>0</v>
      </c>
      <c r="AB43">
        <v>0</v>
      </c>
      <c r="AC43">
        <v>0</v>
      </c>
      <c r="AD43">
        <v>0</v>
      </c>
      <c r="AE43">
        <v>0</v>
      </c>
      <c r="AF43">
        <v>0</v>
      </c>
      <c r="AG43">
        <v>0</v>
      </c>
      <c r="AH43">
        <v>0</v>
      </c>
      <c r="AI43">
        <v>1</v>
      </c>
      <c r="AJ43">
        <v>1</v>
      </c>
      <c r="AK43">
        <v>1</v>
      </c>
      <c r="AL43">
        <v>1</v>
      </c>
      <c r="AM43">
        <v>-2</v>
      </c>
      <c r="AN43">
        <v>0</v>
      </c>
      <c r="AO43">
        <v>1</v>
      </c>
      <c r="AP43">
        <v>1</v>
      </c>
      <c r="AQ43">
        <v>0</v>
      </c>
      <c r="AR43">
        <v>0</v>
      </c>
      <c r="AS43" t="s">
        <v>3</v>
      </c>
      <c r="AT43">
        <v>0.86</v>
      </c>
      <c r="AU43" t="s">
        <v>22</v>
      </c>
      <c r="AV43">
        <v>1</v>
      </c>
      <c r="AW43">
        <v>2</v>
      </c>
      <c r="AX43">
        <v>78131237</v>
      </c>
      <c r="AY43">
        <v>1</v>
      </c>
      <c r="AZ43">
        <v>0</v>
      </c>
      <c r="BA43">
        <v>39</v>
      </c>
      <c r="BB43">
        <v>0</v>
      </c>
      <c r="BC43">
        <v>0</v>
      </c>
      <c r="BD43">
        <v>0</v>
      </c>
      <c r="BE43">
        <v>0</v>
      </c>
      <c r="BF43">
        <v>0</v>
      </c>
      <c r="BG43">
        <v>0</v>
      </c>
      <c r="BH43">
        <v>0</v>
      </c>
      <c r="BI43">
        <v>0</v>
      </c>
      <c r="BJ43">
        <v>0</v>
      </c>
      <c r="BK43">
        <v>0</v>
      </c>
      <c r="BL43">
        <v>0</v>
      </c>
      <c r="BM43">
        <v>0</v>
      </c>
      <c r="BN43">
        <v>0</v>
      </c>
      <c r="BO43">
        <v>0</v>
      </c>
      <c r="BP43">
        <v>0</v>
      </c>
      <c r="BQ43">
        <v>0</v>
      </c>
      <c r="BR43">
        <v>0</v>
      </c>
      <c r="BS43">
        <v>0</v>
      </c>
      <c r="BT43">
        <v>0</v>
      </c>
      <c r="BU43">
        <v>0</v>
      </c>
      <c r="BV43">
        <v>0</v>
      </c>
      <c r="BW43">
        <v>0</v>
      </c>
      <c r="CU43">
        <f>ROUND(AT43*Source!I47*AH43*AL43,2)</f>
        <v>0</v>
      </c>
      <c r="CV43">
        <f>ROUND(Y43*Source!I47,9)</f>
        <v>0.34399999999999997</v>
      </c>
      <c r="CW43">
        <v>0</v>
      </c>
      <c r="CX43">
        <f>ROUND(Y43*Source!I47,9)</f>
        <v>0.34399999999999997</v>
      </c>
      <c r="CY43">
        <f>AD43</f>
        <v>0</v>
      </c>
      <c r="CZ43">
        <f>AH43</f>
        <v>0</v>
      </c>
      <c r="DA43">
        <f>AL43</f>
        <v>1</v>
      </c>
      <c r="DB43">
        <f>ROUND((ROUND(AT43*CZ43,2)*0.2),6)</f>
        <v>0</v>
      </c>
      <c r="DC43">
        <f>ROUND((ROUND(AT43*AG43,2)*0.2),6)</f>
        <v>0</v>
      </c>
      <c r="DD43" t="s">
        <v>3</v>
      </c>
      <c r="DE43" t="s">
        <v>3</v>
      </c>
      <c r="DF43">
        <f t="shared" si="22"/>
        <v>0</v>
      </c>
      <c r="DG43">
        <f t="shared" si="23"/>
        <v>0</v>
      </c>
      <c r="DH43">
        <f t="shared" si="24"/>
        <v>0</v>
      </c>
      <c r="DI43">
        <f t="shared" si="25"/>
        <v>0</v>
      </c>
      <c r="DJ43">
        <f>DI43</f>
        <v>0</v>
      </c>
      <c r="DK43">
        <v>0</v>
      </c>
      <c r="DL43" t="s">
        <v>3</v>
      </c>
      <c r="DM43">
        <v>0</v>
      </c>
      <c r="DN43" t="s">
        <v>3</v>
      </c>
      <c r="DO43">
        <v>0</v>
      </c>
    </row>
    <row r="44" spans="1:119" x14ac:dyDescent="0.2">
      <c r="A44">
        <f>ROW(Source!A47)</f>
        <v>47</v>
      </c>
      <c r="B44">
        <v>78131199</v>
      </c>
      <c r="C44">
        <v>78130865</v>
      </c>
      <c r="D44">
        <v>77807925</v>
      </c>
      <c r="E44">
        <v>1</v>
      </c>
      <c r="F44">
        <v>1</v>
      </c>
      <c r="G44">
        <v>37</v>
      </c>
      <c r="H44">
        <v>2</v>
      </c>
      <c r="I44" t="s">
        <v>313</v>
      </c>
      <c r="J44" t="s">
        <v>314</v>
      </c>
      <c r="K44" t="s">
        <v>315</v>
      </c>
      <c r="L44">
        <v>1368</v>
      </c>
      <c r="N44">
        <v>1011</v>
      </c>
      <c r="O44" t="s">
        <v>260</v>
      </c>
      <c r="P44" t="s">
        <v>260</v>
      </c>
      <c r="Q44">
        <v>1</v>
      </c>
      <c r="W44">
        <v>0</v>
      </c>
      <c r="X44">
        <v>-982416638</v>
      </c>
      <c r="Y44">
        <f>(AT44*0.2)</f>
        <v>0.06</v>
      </c>
      <c r="AA44">
        <v>0</v>
      </c>
      <c r="AB44">
        <v>34.270000000000003</v>
      </c>
      <c r="AC44">
        <v>0.23</v>
      </c>
      <c r="AD44">
        <v>0</v>
      </c>
      <c r="AE44">
        <v>0</v>
      </c>
      <c r="AF44">
        <v>34.270000000000003</v>
      </c>
      <c r="AG44">
        <v>0.23</v>
      </c>
      <c r="AH44">
        <v>0</v>
      </c>
      <c r="AI44">
        <v>1</v>
      </c>
      <c r="AJ44">
        <v>1</v>
      </c>
      <c r="AK44">
        <v>1</v>
      </c>
      <c r="AL44">
        <v>1</v>
      </c>
      <c r="AM44">
        <v>-2</v>
      </c>
      <c r="AN44">
        <v>0</v>
      </c>
      <c r="AO44">
        <v>1</v>
      </c>
      <c r="AP44">
        <v>1</v>
      </c>
      <c r="AQ44">
        <v>0</v>
      </c>
      <c r="AR44">
        <v>0</v>
      </c>
      <c r="AS44" t="s">
        <v>3</v>
      </c>
      <c r="AT44">
        <v>0.3</v>
      </c>
      <c r="AU44" t="s">
        <v>22</v>
      </c>
      <c r="AV44">
        <v>0</v>
      </c>
      <c r="AW44">
        <v>2</v>
      </c>
      <c r="AX44">
        <v>78131238</v>
      </c>
      <c r="AY44">
        <v>1</v>
      </c>
      <c r="AZ44">
        <v>0</v>
      </c>
      <c r="BA44">
        <v>40</v>
      </c>
      <c r="BB44">
        <v>0</v>
      </c>
      <c r="BC44">
        <v>0</v>
      </c>
      <c r="BD44">
        <v>0</v>
      </c>
      <c r="BE44">
        <v>0</v>
      </c>
      <c r="BF44">
        <v>0</v>
      </c>
      <c r="BG44">
        <v>0</v>
      </c>
      <c r="BH44">
        <v>0</v>
      </c>
      <c r="BI44">
        <v>0</v>
      </c>
      <c r="BJ44">
        <v>0</v>
      </c>
      <c r="BK44">
        <v>0</v>
      </c>
      <c r="BL44">
        <v>0</v>
      </c>
      <c r="BM44">
        <v>0</v>
      </c>
      <c r="BN44">
        <v>0</v>
      </c>
      <c r="BO44">
        <v>0</v>
      </c>
      <c r="BP44">
        <v>0</v>
      </c>
      <c r="BQ44">
        <v>0</v>
      </c>
      <c r="BR44">
        <v>0</v>
      </c>
      <c r="BS44">
        <v>0</v>
      </c>
      <c r="BT44">
        <v>0</v>
      </c>
      <c r="BU44">
        <v>0</v>
      </c>
      <c r="BV44">
        <v>0</v>
      </c>
      <c r="BW44">
        <v>0</v>
      </c>
      <c r="CV44">
        <v>0</v>
      </c>
      <c r="CW44">
        <f>ROUND(Y44*Source!I47*DO44,9)</f>
        <v>0</v>
      </c>
      <c r="CX44">
        <f>ROUND(Y44*Source!I47,9)</f>
        <v>0.12</v>
      </c>
      <c r="CY44">
        <f>AB44</f>
        <v>34.270000000000003</v>
      </c>
      <c r="CZ44">
        <f>AF44</f>
        <v>34.270000000000003</v>
      </c>
      <c r="DA44">
        <f>AJ44</f>
        <v>1</v>
      </c>
      <c r="DB44">
        <f>ROUND((ROUND(AT44*CZ44,2)*0.2),6)</f>
        <v>2.056</v>
      </c>
      <c r="DC44">
        <f>ROUND((ROUND(AT44*AG44,2)*0.2),6)</f>
        <v>1.4E-2</v>
      </c>
      <c r="DD44" t="s">
        <v>3</v>
      </c>
      <c r="DE44" t="s">
        <v>3</v>
      </c>
      <c r="DF44">
        <f t="shared" si="22"/>
        <v>0</v>
      </c>
      <c r="DG44">
        <f t="shared" si="23"/>
        <v>4.1100000000000003</v>
      </c>
      <c r="DH44">
        <f t="shared" si="24"/>
        <v>0.03</v>
      </c>
      <c r="DI44">
        <f t="shared" si="25"/>
        <v>0</v>
      </c>
      <c r="DJ44">
        <f>DG44</f>
        <v>4.1100000000000003</v>
      </c>
      <c r="DK44">
        <v>0</v>
      </c>
      <c r="DL44" t="s">
        <v>3</v>
      </c>
      <c r="DM44">
        <v>0</v>
      </c>
      <c r="DN44" t="s">
        <v>3</v>
      </c>
      <c r="DO44">
        <v>0</v>
      </c>
    </row>
    <row r="45" spans="1:119" x14ac:dyDescent="0.2">
      <c r="A45">
        <f>ROW(Source!A47)</f>
        <v>47</v>
      </c>
      <c r="B45">
        <v>78131199</v>
      </c>
      <c r="C45">
        <v>78130865</v>
      </c>
      <c r="D45">
        <v>77810399</v>
      </c>
      <c r="E45">
        <v>1</v>
      </c>
      <c r="F45">
        <v>1</v>
      </c>
      <c r="G45">
        <v>37</v>
      </c>
      <c r="H45">
        <v>3</v>
      </c>
      <c r="I45" t="s">
        <v>316</v>
      </c>
      <c r="J45" t="s">
        <v>317</v>
      </c>
      <c r="K45" t="s">
        <v>318</v>
      </c>
      <c r="L45">
        <v>1348</v>
      </c>
      <c r="N45">
        <v>1009</v>
      </c>
      <c r="O45" t="s">
        <v>200</v>
      </c>
      <c r="P45" t="s">
        <v>200</v>
      </c>
      <c r="Q45">
        <v>1000</v>
      </c>
      <c r="W45">
        <v>0</v>
      </c>
      <c r="X45">
        <v>1930382025</v>
      </c>
      <c r="Y45">
        <f>(AT45*0)</f>
        <v>0</v>
      </c>
      <c r="AA45">
        <v>106831.32</v>
      </c>
      <c r="AB45">
        <v>0</v>
      </c>
      <c r="AC45">
        <v>0</v>
      </c>
      <c r="AD45">
        <v>0</v>
      </c>
      <c r="AE45">
        <v>106831.32</v>
      </c>
      <c r="AF45">
        <v>0</v>
      </c>
      <c r="AG45">
        <v>0</v>
      </c>
      <c r="AH45">
        <v>0</v>
      </c>
      <c r="AI45">
        <v>1</v>
      </c>
      <c r="AJ45">
        <v>1</v>
      </c>
      <c r="AK45">
        <v>1</v>
      </c>
      <c r="AL45">
        <v>1</v>
      </c>
      <c r="AM45">
        <v>-2</v>
      </c>
      <c r="AN45">
        <v>0</v>
      </c>
      <c r="AO45">
        <v>1</v>
      </c>
      <c r="AP45">
        <v>1</v>
      </c>
      <c r="AQ45">
        <v>0</v>
      </c>
      <c r="AR45">
        <v>0</v>
      </c>
      <c r="AS45" t="s">
        <v>3</v>
      </c>
      <c r="AT45">
        <v>6.9999999999999994E-5</v>
      </c>
      <c r="AU45" t="s">
        <v>21</v>
      </c>
      <c r="AV45">
        <v>0</v>
      </c>
      <c r="AW45">
        <v>2</v>
      </c>
      <c r="AX45">
        <v>78131239</v>
      </c>
      <c r="AY45">
        <v>1</v>
      </c>
      <c r="AZ45">
        <v>0</v>
      </c>
      <c r="BA45">
        <v>41</v>
      </c>
      <c r="BB45">
        <v>0</v>
      </c>
      <c r="BC45">
        <v>0</v>
      </c>
      <c r="BD45">
        <v>0</v>
      </c>
      <c r="BE45">
        <v>0</v>
      </c>
      <c r="BF45">
        <v>0</v>
      </c>
      <c r="BG45">
        <v>0</v>
      </c>
      <c r="BH45">
        <v>0</v>
      </c>
      <c r="BI45">
        <v>0</v>
      </c>
      <c r="BJ45">
        <v>0</v>
      </c>
      <c r="BK45">
        <v>0</v>
      </c>
      <c r="BL45">
        <v>0</v>
      </c>
      <c r="BM45">
        <v>0</v>
      </c>
      <c r="BN45">
        <v>0</v>
      </c>
      <c r="BO45">
        <v>0</v>
      </c>
      <c r="BP45">
        <v>0</v>
      </c>
      <c r="BQ45">
        <v>0</v>
      </c>
      <c r="BR45">
        <v>0</v>
      </c>
      <c r="BS45">
        <v>0</v>
      </c>
      <c r="BT45">
        <v>0</v>
      </c>
      <c r="BU45">
        <v>0</v>
      </c>
      <c r="BV45">
        <v>0</v>
      </c>
      <c r="BW45">
        <v>0</v>
      </c>
      <c r="CV45">
        <v>0</v>
      </c>
      <c r="CW45">
        <v>0</v>
      </c>
      <c r="CX45">
        <f>ROUND(Y45*Source!I47,9)</f>
        <v>0</v>
      </c>
      <c r="CY45">
        <f>AA45</f>
        <v>106831.32</v>
      </c>
      <c r="CZ45">
        <f>AE45</f>
        <v>106831.32</v>
      </c>
      <c r="DA45">
        <f>AI45</f>
        <v>1</v>
      </c>
      <c r="DB45">
        <f>ROUND((ROUND(AT45*CZ45,2)*0),6)</f>
        <v>0</v>
      </c>
      <c r="DC45">
        <f>ROUND((ROUND(AT45*AG45,2)*0),6)</f>
        <v>0</v>
      </c>
      <c r="DD45" t="s">
        <v>3</v>
      </c>
      <c r="DE45" t="s">
        <v>3</v>
      </c>
      <c r="DF45">
        <f t="shared" si="22"/>
        <v>0</v>
      </c>
      <c r="DG45">
        <f t="shared" si="23"/>
        <v>0</v>
      </c>
      <c r="DH45">
        <f t="shared" si="24"/>
        <v>0</v>
      </c>
      <c r="DI45">
        <f t="shared" si="25"/>
        <v>0</v>
      </c>
      <c r="DJ45">
        <f>DF45</f>
        <v>0</v>
      </c>
      <c r="DK45">
        <v>0</v>
      </c>
      <c r="DL45" t="s">
        <v>3</v>
      </c>
      <c r="DM45">
        <v>0</v>
      </c>
      <c r="DN45" t="s">
        <v>3</v>
      </c>
      <c r="DO45">
        <v>0</v>
      </c>
    </row>
    <row r="46" spans="1:119" x14ac:dyDescent="0.2">
      <c r="A46">
        <f>ROW(Source!A47)</f>
        <v>47</v>
      </c>
      <c r="B46">
        <v>78131199</v>
      </c>
      <c r="C46">
        <v>78130865</v>
      </c>
      <c r="D46">
        <v>77806778</v>
      </c>
      <c r="E46">
        <v>37</v>
      </c>
      <c r="F46">
        <v>1</v>
      </c>
      <c r="G46">
        <v>37</v>
      </c>
      <c r="H46">
        <v>3</v>
      </c>
      <c r="I46" t="s">
        <v>76</v>
      </c>
      <c r="J46" t="s">
        <v>3</v>
      </c>
      <c r="K46" t="s">
        <v>77</v>
      </c>
      <c r="L46">
        <v>1354</v>
      </c>
      <c r="N46">
        <v>1010</v>
      </c>
      <c r="O46" t="s">
        <v>29</v>
      </c>
      <c r="P46" t="s">
        <v>29</v>
      </c>
      <c r="Q46">
        <v>1</v>
      </c>
      <c r="W46">
        <v>0</v>
      </c>
      <c r="X46">
        <v>181685852</v>
      </c>
      <c r="Y46">
        <f>(AT46*0)</f>
        <v>0</v>
      </c>
      <c r="AA46">
        <v>0</v>
      </c>
      <c r="AB46">
        <v>0</v>
      </c>
      <c r="AC46">
        <v>0</v>
      </c>
      <c r="AD46">
        <v>0</v>
      </c>
      <c r="AE46">
        <v>0</v>
      </c>
      <c r="AF46">
        <v>0</v>
      </c>
      <c r="AG46">
        <v>0</v>
      </c>
      <c r="AH46">
        <v>0</v>
      </c>
      <c r="AI46">
        <v>1</v>
      </c>
      <c r="AJ46">
        <v>1</v>
      </c>
      <c r="AK46">
        <v>1</v>
      </c>
      <c r="AL46">
        <v>1</v>
      </c>
      <c r="AM46">
        <v>-2</v>
      </c>
      <c r="AN46">
        <v>0</v>
      </c>
      <c r="AO46">
        <v>0</v>
      </c>
      <c r="AP46">
        <v>1</v>
      </c>
      <c r="AQ46">
        <v>0</v>
      </c>
      <c r="AR46">
        <v>0</v>
      </c>
      <c r="AS46" t="s">
        <v>3</v>
      </c>
      <c r="AT46">
        <v>1</v>
      </c>
      <c r="AU46" t="s">
        <v>21</v>
      </c>
      <c r="AV46">
        <v>0</v>
      </c>
      <c r="AW46">
        <v>2</v>
      </c>
      <c r="AX46">
        <v>78131240</v>
      </c>
      <c r="AY46">
        <v>1</v>
      </c>
      <c r="AZ46">
        <v>0</v>
      </c>
      <c r="BA46">
        <v>42</v>
      </c>
      <c r="BB46">
        <v>0</v>
      </c>
      <c r="BC46">
        <v>0</v>
      </c>
      <c r="BD46">
        <v>0</v>
      </c>
      <c r="BE46">
        <v>0</v>
      </c>
      <c r="BF46">
        <v>0</v>
      </c>
      <c r="BG46">
        <v>0</v>
      </c>
      <c r="BH46">
        <v>0</v>
      </c>
      <c r="BI46">
        <v>0</v>
      </c>
      <c r="BJ46">
        <v>0</v>
      </c>
      <c r="BK46">
        <v>0</v>
      </c>
      <c r="BL46">
        <v>0</v>
      </c>
      <c r="BM46">
        <v>0</v>
      </c>
      <c r="BN46">
        <v>0</v>
      </c>
      <c r="BO46">
        <v>0</v>
      </c>
      <c r="BP46">
        <v>0</v>
      </c>
      <c r="BQ46">
        <v>0</v>
      </c>
      <c r="BR46">
        <v>0</v>
      </c>
      <c r="BS46">
        <v>0</v>
      </c>
      <c r="BT46">
        <v>0</v>
      </c>
      <c r="BU46">
        <v>0</v>
      </c>
      <c r="BV46">
        <v>0</v>
      </c>
      <c r="BW46">
        <v>0</v>
      </c>
      <c r="CV46">
        <v>0</v>
      </c>
      <c r="CW46">
        <v>0</v>
      </c>
      <c r="CX46">
        <f>ROUND(Y46*Source!I47,9)</f>
        <v>0</v>
      </c>
      <c r="CY46">
        <f>AA46</f>
        <v>0</v>
      </c>
      <c r="CZ46">
        <f>AE46</f>
        <v>0</v>
      </c>
      <c r="DA46">
        <f>AI46</f>
        <v>1</v>
      </c>
      <c r="DB46">
        <f>ROUND((ROUND(AT46*CZ46,2)*0),6)</f>
        <v>0</v>
      </c>
      <c r="DC46">
        <f>ROUND((ROUND(AT46*AG46,2)*0),6)</f>
        <v>0</v>
      </c>
      <c r="DD46" t="s">
        <v>3</v>
      </c>
      <c r="DE46" t="s">
        <v>3</v>
      </c>
      <c r="DF46">
        <f t="shared" si="22"/>
        <v>0</v>
      </c>
      <c r="DG46">
        <f t="shared" si="23"/>
        <v>0</v>
      </c>
      <c r="DH46">
        <f t="shared" si="24"/>
        <v>0</v>
      </c>
      <c r="DI46">
        <f t="shared" si="25"/>
        <v>0</v>
      </c>
      <c r="DJ46">
        <f>DF46</f>
        <v>0</v>
      </c>
      <c r="DK46">
        <v>0</v>
      </c>
      <c r="DL46" t="s">
        <v>3</v>
      </c>
      <c r="DM46">
        <v>0</v>
      </c>
      <c r="DN46" t="s">
        <v>3</v>
      </c>
      <c r="DO46">
        <v>0</v>
      </c>
    </row>
    <row r="47" spans="1:119" x14ac:dyDescent="0.2">
      <c r="A47">
        <f>ROW(Source!A49)</f>
        <v>49</v>
      </c>
      <c r="B47">
        <v>78131199</v>
      </c>
      <c r="C47">
        <v>78130875</v>
      </c>
      <c r="D47">
        <v>77806460</v>
      </c>
      <c r="E47">
        <v>37</v>
      </c>
      <c r="F47">
        <v>1</v>
      </c>
      <c r="G47">
        <v>37</v>
      </c>
      <c r="H47">
        <v>1</v>
      </c>
      <c r="I47" t="s">
        <v>254</v>
      </c>
      <c r="J47" t="s">
        <v>3</v>
      </c>
      <c r="K47" t="s">
        <v>255</v>
      </c>
      <c r="L47">
        <v>1191</v>
      </c>
      <c r="N47">
        <v>1013</v>
      </c>
      <c r="O47" t="s">
        <v>256</v>
      </c>
      <c r="P47" t="s">
        <v>256</v>
      </c>
      <c r="Q47">
        <v>1</v>
      </c>
      <c r="W47">
        <v>0</v>
      </c>
      <c r="X47">
        <v>476480486</v>
      </c>
      <c r="Y47">
        <f>(AT47*0.2)</f>
        <v>0.34400000000000003</v>
      </c>
      <c r="AA47">
        <v>0</v>
      </c>
      <c r="AB47">
        <v>0</v>
      </c>
      <c r="AC47">
        <v>0</v>
      </c>
      <c r="AD47">
        <v>0</v>
      </c>
      <c r="AE47">
        <v>0</v>
      </c>
      <c r="AF47">
        <v>0</v>
      </c>
      <c r="AG47">
        <v>0</v>
      </c>
      <c r="AH47">
        <v>0</v>
      </c>
      <c r="AI47">
        <v>1</v>
      </c>
      <c r="AJ47">
        <v>1</v>
      </c>
      <c r="AK47">
        <v>1</v>
      </c>
      <c r="AL47">
        <v>1</v>
      </c>
      <c r="AM47">
        <v>-2</v>
      </c>
      <c r="AN47">
        <v>0</v>
      </c>
      <c r="AO47">
        <v>1</v>
      </c>
      <c r="AP47">
        <v>1</v>
      </c>
      <c r="AQ47">
        <v>0</v>
      </c>
      <c r="AR47">
        <v>0</v>
      </c>
      <c r="AS47" t="s">
        <v>3</v>
      </c>
      <c r="AT47">
        <v>1.72</v>
      </c>
      <c r="AU47" t="s">
        <v>22</v>
      </c>
      <c r="AV47">
        <v>1</v>
      </c>
      <c r="AW47">
        <v>2</v>
      </c>
      <c r="AX47">
        <v>78131241</v>
      </c>
      <c r="AY47">
        <v>1</v>
      </c>
      <c r="AZ47">
        <v>0</v>
      </c>
      <c r="BA47">
        <v>43</v>
      </c>
      <c r="BB47">
        <v>0</v>
      </c>
      <c r="BC47">
        <v>0</v>
      </c>
      <c r="BD47">
        <v>0</v>
      </c>
      <c r="BE47">
        <v>0</v>
      </c>
      <c r="BF47">
        <v>0</v>
      </c>
      <c r="BG47">
        <v>0</v>
      </c>
      <c r="BH47">
        <v>0</v>
      </c>
      <c r="BI47">
        <v>0</v>
      </c>
      <c r="BJ47">
        <v>0</v>
      </c>
      <c r="BK47">
        <v>0</v>
      </c>
      <c r="BL47">
        <v>0</v>
      </c>
      <c r="BM47">
        <v>0</v>
      </c>
      <c r="BN47">
        <v>0</v>
      </c>
      <c r="BO47">
        <v>0</v>
      </c>
      <c r="BP47">
        <v>0</v>
      </c>
      <c r="BQ47">
        <v>0</v>
      </c>
      <c r="BR47">
        <v>0</v>
      </c>
      <c r="BS47">
        <v>0</v>
      </c>
      <c r="BT47">
        <v>0</v>
      </c>
      <c r="BU47">
        <v>0</v>
      </c>
      <c r="BV47">
        <v>0</v>
      </c>
      <c r="BW47">
        <v>0</v>
      </c>
      <c r="CU47">
        <f>ROUND(AT47*Source!I49*AH47*AL47,2)</f>
        <v>0</v>
      </c>
      <c r="CV47">
        <f>ROUND(Y47*Source!I49,9)</f>
        <v>6.88E-2</v>
      </c>
      <c r="CW47">
        <v>0</v>
      </c>
      <c r="CX47">
        <f>ROUND(Y47*Source!I49,9)</f>
        <v>6.88E-2</v>
      </c>
      <c r="CY47">
        <f>AD47</f>
        <v>0</v>
      </c>
      <c r="CZ47">
        <f>AH47</f>
        <v>0</v>
      </c>
      <c r="DA47">
        <f>AL47</f>
        <v>1</v>
      </c>
      <c r="DB47">
        <f>ROUND((ROUND(AT47*CZ47,2)*0.2),6)</f>
        <v>0</v>
      </c>
      <c r="DC47">
        <f>ROUND((ROUND(AT47*AG47,2)*0.2),6)</f>
        <v>0</v>
      </c>
      <c r="DD47" t="s">
        <v>3</v>
      </c>
      <c r="DE47" t="s">
        <v>3</v>
      </c>
      <c r="DF47">
        <f t="shared" si="22"/>
        <v>0</v>
      </c>
      <c r="DG47">
        <f t="shared" si="23"/>
        <v>0</v>
      </c>
      <c r="DH47">
        <f t="shared" si="24"/>
        <v>0</v>
      </c>
      <c r="DI47">
        <f t="shared" si="25"/>
        <v>0</v>
      </c>
      <c r="DJ47">
        <f>DI47</f>
        <v>0</v>
      </c>
      <c r="DK47">
        <v>0</v>
      </c>
      <c r="DL47" t="s">
        <v>3</v>
      </c>
      <c r="DM47">
        <v>0</v>
      </c>
      <c r="DN47" t="s">
        <v>3</v>
      </c>
      <c r="DO47">
        <v>0</v>
      </c>
    </row>
    <row r="48" spans="1:119" x14ac:dyDescent="0.2">
      <c r="A48">
        <f>ROW(Source!A49)</f>
        <v>49</v>
      </c>
      <c r="B48">
        <v>78131199</v>
      </c>
      <c r="C48">
        <v>78130875</v>
      </c>
      <c r="D48">
        <v>77810523</v>
      </c>
      <c r="E48">
        <v>1</v>
      </c>
      <c r="F48">
        <v>1</v>
      </c>
      <c r="G48">
        <v>37</v>
      </c>
      <c r="H48">
        <v>3</v>
      </c>
      <c r="I48" t="s">
        <v>298</v>
      </c>
      <c r="J48" t="s">
        <v>299</v>
      </c>
      <c r="K48" t="s">
        <v>300</v>
      </c>
      <c r="L48">
        <v>1346</v>
      </c>
      <c r="N48">
        <v>1009</v>
      </c>
      <c r="O48" t="s">
        <v>264</v>
      </c>
      <c r="P48" t="s">
        <v>264</v>
      </c>
      <c r="Q48">
        <v>1</v>
      </c>
      <c r="W48">
        <v>0</v>
      </c>
      <c r="X48">
        <v>1013639029</v>
      </c>
      <c r="Y48">
        <f>(AT48*0)</f>
        <v>0</v>
      </c>
      <c r="AA48">
        <v>745.17</v>
      </c>
      <c r="AB48">
        <v>0</v>
      </c>
      <c r="AC48">
        <v>0</v>
      </c>
      <c r="AD48">
        <v>0</v>
      </c>
      <c r="AE48">
        <v>745.17</v>
      </c>
      <c r="AF48">
        <v>0</v>
      </c>
      <c r="AG48">
        <v>0</v>
      </c>
      <c r="AH48">
        <v>0</v>
      </c>
      <c r="AI48">
        <v>1</v>
      </c>
      <c r="AJ48">
        <v>1</v>
      </c>
      <c r="AK48">
        <v>1</v>
      </c>
      <c r="AL48">
        <v>1</v>
      </c>
      <c r="AM48">
        <v>-2</v>
      </c>
      <c r="AN48">
        <v>0</v>
      </c>
      <c r="AO48">
        <v>1</v>
      </c>
      <c r="AP48">
        <v>1</v>
      </c>
      <c r="AQ48">
        <v>0</v>
      </c>
      <c r="AR48">
        <v>0</v>
      </c>
      <c r="AS48" t="s">
        <v>3</v>
      </c>
      <c r="AT48">
        <v>6.3E-2</v>
      </c>
      <c r="AU48" t="s">
        <v>21</v>
      </c>
      <c r="AV48">
        <v>0</v>
      </c>
      <c r="AW48">
        <v>2</v>
      </c>
      <c r="AX48">
        <v>78131242</v>
      </c>
      <c r="AY48">
        <v>1</v>
      </c>
      <c r="AZ48">
        <v>0</v>
      </c>
      <c r="BA48">
        <v>44</v>
      </c>
      <c r="BB48">
        <v>0</v>
      </c>
      <c r="BC48">
        <v>0</v>
      </c>
      <c r="BD48">
        <v>0</v>
      </c>
      <c r="BE48">
        <v>0</v>
      </c>
      <c r="BF48">
        <v>0</v>
      </c>
      <c r="BG48">
        <v>0</v>
      </c>
      <c r="BH48">
        <v>0</v>
      </c>
      <c r="BI48">
        <v>0</v>
      </c>
      <c r="BJ48">
        <v>0</v>
      </c>
      <c r="BK48">
        <v>0</v>
      </c>
      <c r="BL48">
        <v>0</v>
      </c>
      <c r="BM48">
        <v>0</v>
      </c>
      <c r="BN48">
        <v>0</v>
      </c>
      <c r="BO48">
        <v>0</v>
      </c>
      <c r="BP48">
        <v>0</v>
      </c>
      <c r="BQ48">
        <v>0</v>
      </c>
      <c r="BR48">
        <v>0</v>
      </c>
      <c r="BS48">
        <v>0</v>
      </c>
      <c r="BT48">
        <v>0</v>
      </c>
      <c r="BU48">
        <v>0</v>
      </c>
      <c r="BV48">
        <v>0</v>
      </c>
      <c r="BW48">
        <v>0</v>
      </c>
      <c r="CV48">
        <v>0</v>
      </c>
      <c r="CW48">
        <v>0</v>
      </c>
      <c r="CX48">
        <f>ROUND(Y48*Source!I49,9)</f>
        <v>0</v>
      </c>
      <c r="CY48">
        <f>AA48</f>
        <v>745.17</v>
      </c>
      <c r="CZ48">
        <f>AE48</f>
        <v>745.17</v>
      </c>
      <c r="DA48">
        <f>AI48</f>
        <v>1</v>
      </c>
      <c r="DB48">
        <f>ROUND((ROUND(AT48*CZ48,2)*0),6)</f>
        <v>0</v>
      </c>
      <c r="DC48">
        <f>ROUND((ROUND(AT48*AG48,2)*0),6)</f>
        <v>0</v>
      </c>
      <c r="DD48" t="s">
        <v>3</v>
      </c>
      <c r="DE48" t="s">
        <v>3</v>
      </c>
      <c r="DF48">
        <f t="shared" si="22"/>
        <v>0</v>
      </c>
      <c r="DG48">
        <f t="shared" si="23"/>
        <v>0</v>
      </c>
      <c r="DH48">
        <f t="shared" si="24"/>
        <v>0</v>
      </c>
      <c r="DI48">
        <f t="shared" si="25"/>
        <v>0</v>
      </c>
      <c r="DJ48">
        <f>DF48</f>
        <v>0</v>
      </c>
      <c r="DK48">
        <v>0</v>
      </c>
      <c r="DL48" t="s">
        <v>3</v>
      </c>
      <c r="DM48">
        <v>0</v>
      </c>
      <c r="DN48" t="s">
        <v>3</v>
      </c>
      <c r="DO48">
        <v>0</v>
      </c>
    </row>
    <row r="49" spans="1:119" x14ac:dyDescent="0.2">
      <c r="A49">
        <f>ROW(Source!A49)</f>
        <v>49</v>
      </c>
      <c r="B49">
        <v>78131199</v>
      </c>
      <c r="C49">
        <v>78130875</v>
      </c>
      <c r="D49">
        <v>77808904</v>
      </c>
      <c r="E49">
        <v>1</v>
      </c>
      <c r="F49">
        <v>1</v>
      </c>
      <c r="G49">
        <v>37</v>
      </c>
      <c r="H49">
        <v>3</v>
      </c>
      <c r="I49" t="s">
        <v>307</v>
      </c>
      <c r="J49" t="s">
        <v>308</v>
      </c>
      <c r="K49" t="s">
        <v>309</v>
      </c>
      <c r="L49">
        <v>1348</v>
      </c>
      <c r="N49">
        <v>1009</v>
      </c>
      <c r="O49" t="s">
        <v>200</v>
      </c>
      <c r="P49" t="s">
        <v>200</v>
      </c>
      <c r="Q49">
        <v>1000</v>
      </c>
      <c r="W49">
        <v>0</v>
      </c>
      <c r="X49">
        <v>-377825509</v>
      </c>
      <c r="Y49">
        <f>(AT49*0)</f>
        <v>0</v>
      </c>
      <c r="AA49">
        <v>115885.91</v>
      </c>
      <c r="AB49">
        <v>0</v>
      </c>
      <c r="AC49">
        <v>0</v>
      </c>
      <c r="AD49">
        <v>0</v>
      </c>
      <c r="AE49">
        <v>115885.91</v>
      </c>
      <c r="AF49">
        <v>0</v>
      </c>
      <c r="AG49">
        <v>0</v>
      </c>
      <c r="AH49">
        <v>0</v>
      </c>
      <c r="AI49">
        <v>1</v>
      </c>
      <c r="AJ49">
        <v>1</v>
      </c>
      <c r="AK49">
        <v>1</v>
      </c>
      <c r="AL49">
        <v>1</v>
      </c>
      <c r="AM49">
        <v>-2</v>
      </c>
      <c r="AN49">
        <v>0</v>
      </c>
      <c r="AO49">
        <v>1</v>
      </c>
      <c r="AP49">
        <v>1</v>
      </c>
      <c r="AQ49">
        <v>0</v>
      </c>
      <c r="AR49">
        <v>0</v>
      </c>
      <c r="AS49" t="s">
        <v>3</v>
      </c>
      <c r="AT49">
        <v>1.2999999999999999E-4</v>
      </c>
      <c r="AU49" t="s">
        <v>21</v>
      </c>
      <c r="AV49">
        <v>0</v>
      </c>
      <c r="AW49">
        <v>2</v>
      </c>
      <c r="AX49">
        <v>78131243</v>
      </c>
      <c r="AY49">
        <v>1</v>
      </c>
      <c r="AZ49">
        <v>0</v>
      </c>
      <c r="BA49">
        <v>45</v>
      </c>
      <c r="BB49">
        <v>0</v>
      </c>
      <c r="BC49">
        <v>0</v>
      </c>
      <c r="BD49">
        <v>0</v>
      </c>
      <c r="BE49">
        <v>0</v>
      </c>
      <c r="BF49">
        <v>0</v>
      </c>
      <c r="BG49">
        <v>0</v>
      </c>
      <c r="BH49">
        <v>0</v>
      </c>
      <c r="BI49">
        <v>0</v>
      </c>
      <c r="BJ49">
        <v>0</v>
      </c>
      <c r="BK49">
        <v>0</v>
      </c>
      <c r="BL49">
        <v>0</v>
      </c>
      <c r="BM49">
        <v>0</v>
      </c>
      <c r="BN49">
        <v>0</v>
      </c>
      <c r="BO49">
        <v>0</v>
      </c>
      <c r="BP49">
        <v>0</v>
      </c>
      <c r="BQ49">
        <v>0</v>
      </c>
      <c r="BR49">
        <v>0</v>
      </c>
      <c r="BS49">
        <v>0</v>
      </c>
      <c r="BT49">
        <v>0</v>
      </c>
      <c r="BU49">
        <v>0</v>
      </c>
      <c r="BV49">
        <v>0</v>
      </c>
      <c r="BW49">
        <v>0</v>
      </c>
      <c r="CV49">
        <v>0</v>
      </c>
      <c r="CW49">
        <v>0</v>
      </c>
      <c r="CX49">
        <f>ROUND(Y49*Source!I49,9)</f>
        <v>0</v>
      </c>
      <c r="CY49">
        <f>AA49</f>
        <v>115885.91</v>
      </c>
      <c r="CZ49">
        <f>AE49</f>
        <v>115885.91</v>
      </c>
      <c r="DA49">
        <f>AI49</f>
        <v>1</v>
      </c>
      <c r="DB49">
        <f>ROUND((ROUND(AT49*CZ49,2)*0),6)</f>
        <v>0</v>
      </c>
      <c r="DC49">
        <f>ROUND((ROUND(AT49*AG49,2)*0),6)</f>
        <v>0</v>
      </c>
      <c r="DD49" t="s">
        <v>3</v>
      </c>
      <c r="DE49" t="s">
        <v>3</v>
      </c>
      <c r="DF49">
        <f t="shared" si="22"/>
        <v>0</v>
      </c>
      <c r="DG49">
        <f t="shared" si="23"/>
        <v>0</v>
      </c>
      <c r="DH49">
        <f t="shared" si="24"/>
        <v>0</v>
      </c>
      <c r="DI49">
        <f t="shared" si="25"/>
        <v>0</v>
      </c>
      <c r="DJ49">
        <f>DF49</f>
        <v>0</v>
      </c>
      <c r="DK49">
        <v>0</v>
      </c>
      <c r="DL49" t="s">
        <v>3</v>
      </c>
      <c r="DM49">
        <v>0</v>
      </c>
      <c r="DN49" t="s">
        <v>3</v>
      </c>
      <c r="DO49">
        <v>0</v>
      </c>
    </row>
    <row r="50" spans="1:119" x14ac:dyDescent="0.2">
      <c r="A50">
        <f>ROW(Source!A49)</f>
        <v>49</v>
      </c>
      <c r="B50">
        <v>78131199</v>
      </c>
      <c r="C50">
        <v>78130875</v>
      </c>
      <c r="D50">
        <v>77808945</v>
      </c>
      <c r="E50">
        <v>1</v>
      </c>
      <c r="F50">
        <v>1</v>
      </c>
      <c r="G50">
        <v>37</v>
      </c>
      <c r="H50">
        <v>3</v>
      </c>
      <c r="I50" t="s">
        <v>310</v>
      </c>
      <c r="J50" t="s">
        <v>311</v>
      </c>
      <c r="K50" t="s">
        <v>312</v>
      </c>
      <c r="L50">
        <v>1346</v>
      </c>
      <c r="N50">
        <v>1009</v>
      </c>
      <c r="O50" t="s">
        <v>264</v>
      </c>
      <c r="P50" t="s">
        <v>264</v>
      </c>
      <c r="Q50">
        <v>1</v>
      </c>
      <c r="W50">
        <v>0</v>
      </c>
      <c r="X50">
        <v>-911552969</v>
      </c>
      <c r="Y50">
        <f>(AT50*0)</f>
        <v>0</v>
      </c>
      <c r="AA50">
        <v>92.85</v>
      </c>
      <c r="AB50">
        <v>0</v>
      </c>
      <c r="AC50">
        <v>0</v>
      </c>
      <c r="AD50">
        <v>0</v>
      </c>
      <c r="AE50">
        <v>92.85</v>
      </c>
      <c r="AF50">
        <v>0</v>
      </c>
      <c r="AG50">
        <v>0</v>
      </c>
      <c r="AH50">
        <v>0</v>
      </c>
      <c r="AI50">
        <v>1</v>
      </c>
      <c r="AJ50">
        <v>1</v>
      </c>
      <c r="AK50">
        <v>1</v>
      </c>
      <c r="AL50">
        <v>1</v>
      </c>
      <c r="AM50">
        <v>-2</v>
      </c>
      <c r="AN50">
        <v>0</v>
      </c>
      <c r="AO50">
        <v>1</v>
      </c>
      <c r="AP50">
        <v>1</v>
      </c>
      <c r="AQ50">
        <v>0</v>
      </c>
      <c r="AR50">
        <v>0</v>
      </c>
      <c r="AS50" t="s">
        <v>3</v>
      </c>
      <c r="AT50">
        <v>6.3E-2</v>
      </c>
      <c r="AU50" t="s">
        <v>21</v>
      </c>
      <c r="AV50">
        <v>0</v>
      </c>
      <c r="AW50">
        <v>2</v>
      </c>
      <c r="AX50">
        <v>78131244</v>
      </c>
      <c r="AY50">
        <v>1</v>
      </c>
      <c r="AZ50">
        <v>0</v>
      </c>
      <c r="BA50">
        <v>46</v>
      </c>
      <c r="BB50">
        <v>0</v>
      </c>
      <c r="BC50">
        <v>0</v>
      </c>
      <c r="BD50">
        <v>0</v>
      </c>
      <c r="BE50">
        <v>0</v>
      </c>
      <c r="BF50">
        <v>0</v>
      </c>
      <c r="BG50">
        <v>0</v>
      </c>
      <c r="BH50">
        <v>0</v>
      </c>
      <c r="BI50">
        <v>0</v>
      </c>
      <c r="BJ50">
        <v>0</v>
      </c>
      <c r="BK50">
        <v>0</v>
      </c>
      <c r="BL50">
        <v>0</v>
      </c>
      <c r="BM50">
        <v>0</v>
      </c>
      <c r="BN50">
        <v>0</v>
      </c>
      <c r="BO50">
        <v>0</v>
      </c>
      <c r="BP50">
        <v>0</v>
      </c>
      <c r="BQ50">
        <v>0</v>
      </c>
      <c r="BR50">
        <v>0</v>
      </c>
      <c r="BS50">
        <v>0</v>
      </c>
      <c r="BT50">
        <v>0</v>
      </c>
      <c r="BU50">
        <v>0</v>
      </c>
      <c r="BV50">
        <v>0</v>
      </c>
      <c r="BW50">
        <v>0</v>
      </c>
      <c r="CV50">
        <v>0</v>
      </c>
      <c r="CW50">
        <v>0</v>
      </c>
      <c r="CX50">
        <f>ROUND(Y50*Source!I49,9)</f>
        <v>0</v>
      </c>
      <c r="CY50">
        <f>AA50</f>
        <v>92.85</v>
      </c>
      <c r="CZ50">
        <f>AE50</f>
        <v>92.85</v>
      </c>
      <c r="DA50">
        <f>AI50</f>
        <v>1</v>
      </c>
      <c r="DB50">
        <f>ROUND((ROUND(AT50*CZ50,2)*0),6)</f>
        <v>0</v>
      </c>
      <c r="DC50">
        <f>ROUND((ROUND(AT50*AG50,2)*0),6)</f>
        <v>0</v>
      </c>
      <c r="DD50" t="s">
        <v>3</v>
      </c>
      <c r="DE50" t="s">
        <v>3</v>
      </c>
      <c r="DF50">
        <f t="shared" si="22"/>
        <v>0</v>
      </c>
      <c r="DG50">
        <f t="shared" si="23"/>
        <v>0</v>
      </c>
      <c r="DH50">
        <f t="shared" si="24"/>
        <v>0</v>
      </c>
      <c r="DI50">
        <f t="shared" si="25"/>
        <v>0</v>
      </c>
      <c r="DJ50">
        <f>DF50</f>
        <v>0</v>
      </c>
      <c r="DK50">
        <v>0</v>
      </c>
      <c r="DL50" t="s">
        <v>3</v>
      </c>
      <c r="DM50">
        <v>0</v>
      </c>
      <c r="DN50" t="s">
        <v>3</v>
      </c>
      <c r="DO50">
        <v>0</v>
      </c>
    </row>
    <row r="51" spans="1:119" x14ac:dyDescent="0.2">
      <c r="A51">
        <f>ROW(Source!A50)</f>
        <v>50</v>
      </c>
      <c r="B51">
        <v>78131199</v>
      </c>
      <c r="C51">
        <v>78130884</v>
      </c>
      <c r="D51">
        <v>77806460</v>
      </c>
      <c r="E51">
        <v>37</v>
      </c>
      <c r="F51">
        <v>1</v>
      </c>
      <c r="G51">
        <v>37</v>
      </c>
      <c r="H51">
        <v>1</v>
      </c>
      <c r="I51" t="s">
        <v>254</v>
      </c>
      <c r="J51" t="s">
        <v>3</v>
      </c>
      <c r="K51" t="s">
        <v>255</v>
      </c>
      <c r="L51">
        <v>1191</v>
      </c>
      <c r="N51">
        <v>1013</v>
      </c>
      <c r="O51" t="s">
        <v>256</v>
      </c>
      <c r="P51" t="s">
        <v>256</v>
      </c>
      <c r="Q51">
        <v>1</v>
      </c>
      <c r="W51">
        <v>0</v>
      </c>
      <c r="X51">
        <v>476480486</v>
      </c>
      <c r="Y51">
        <f t="shared" ref="Y51:Y82" si="26">AT51</f>
        <v>0.86</v>
      </c>
      <c r="AA51">
        <v>0</v>
      </c>
      <c r="AB51">
        <v>0</v>
      </c>
      <c r="AC51">
        <v>0</v>
      </c>
      <c r="AD51">
        <v>0</v>
      </c>
      <c r="AE51">
        <v>0</v>
      </c>
      <c r="AF51">
        <v>0</v>
      </c>
      <c r="AG51">
        <v>0</v>
      </c>
      <c r="AH51">
        <v>0</v>
      </c>
      <c r="AI51">
        <v>1</v>
      </c>
      <c r="AJ51">
        <v>1</v>
      </c>
      <c r="AK51">
        <v>1</v>
      </c>
      <c r="AL51">
        <v>1</v>
      </c>
      <c r="AM51">
        <v>-2</v>
      </c>
      <c r="AN51">
        <v>0</v>
      </c>
      <c r="AO51">
        <v>1</v>
      </c>
      <c r="AP51">
        <v>0</v>
      </c>
      <c r="AQ51">
        <v>0</v>
      </c>
      <c r="AR51">
        <v>0</v>
      </c>
      <c r="AS51" t="s">
        <v>3</v>
      </c>
      <c r="AT51">
        <v>0.86</v>
      </c>
      <c r="AU51" t="s">
        <v>3</v>
      </c>
      <c r="AV51">
        <v>1</v>
      </c>
      <c r="AW51">
        <v>2</v>
      </c>
      <c r="AX51">
        <v>78131245</v>
      </c>
      <c r="AY51">
        <v>1</v>
      </c>
      <c r="AZ51">
        <v>0</v>
      </c>
      <c r="BA51">
        <v>47</v>
      </c>
      <c r="BB51">
        <v>0</v>
      </c>
      <c r="BC51">
        <v>0</v>
      </c>
      <c r="BD51">
        <v>0</v>
      </c>
      <c r="BE51">
        <v>0</v>
      </c>
      <c r="BF51">
        <v>0</v>
      </c>
      <c r="BG51">
        <v>0</v>
      </c>
      <c r="BH51">
        <v>0</v>
      </c>
      <c r="BI51">
        <v>0</v>
      </c>
      <c r="BJ51">
        <v>0</v>
      </c>
      <c r="BK51">
        <v>0</v>
      </c>
      <c r="BL51">
        <v>0</v>
      </c>
      <c r="BM51">
        <v>0</v>
      </c>
      <c r="BN51">
        <v>0</v>
      </c>
      <c r="BO51">
        <v>0</v>
      </c>
      <c r="BP51">
        <v>0</v>
      </c>
      <c r="BQ51">
        <v>0</v>
      </c>
      <c r="BR51">
        <v>0</v>
      </c>
      <c r="BS51">
        <v>0</v>
      </c>
      <c r="BT51">
        <v>0</v>
      </c>
      <c r="BU51">
        <v>0</v>
      </c>
      <c r="BV51">
        <v>0</v>
      </c>
      <c r="BW51">
        <v>0</v>
      </c>
      <c r="CU51">
        <f>ROUND(AT51*Source!I50*AH51*AL51,2)</f>
        <v>0</v>
      </c>
      <c r="CV51">
        <f>ROUND(Y51*Source!I50,9)</f>
        <v>1.72</v>
      </c>
      <c r="CW51">
        <v>0</v>
      </c>
      <c r="CX51">
        <f>ROUND(Y51*Source!I50,9)</f>
        <v>1.72</v>
      </c>
      <c r="CY51">
        <f>AD51</f>
        <v>0</v>
      </c>
      <c r="CZ51">
        <f>AH51</f>
        <v>0</v>
      </c>
      <c r="DA51">
        <f>AL51</f>
        <v>1</v>
      </c>
      <c r="DB51">
        <f t="shared" ref="DB51:DB82" si="27">ROUND(ROUND(AT51*CZ51,2),6)</f>
        <v>0</v>
      </c>
      <c r="DC51">
        <f t="shared" ref="DC51:DC82" si="28">ROUND(ROUND(AT51*AG51,2),6)</f>
        <v>0</v>
      </c>
      <c r="DD51" t="s">
        <v>3</v>
      </c>
      <c r="DE51" t="s">
        <v>3</v>
      </c>
      <c r="DF51">
        <f t="shared" si="22"/>
        <v>0</v>
      </c>
      <c r="DG51">
        <f t="shared" si="23"/>
        <v>0</v>
      </c>
      <c r="DH51">
        <f t="shared" si="24"/>
        <v>0</v>
      </c>
      <c r="DI51">
        <f t="shared" si="25"/>
        <v>0</v>
      </c>
      <c r="DJ51">
        <f>DI51</f>
        <v>0</v>
      </c>
      <c r="DK51">
        <v>0</v>
      </c>
      <c r="DL51" t="s">
        <v>3</v>
      </c>
      <c r="DM51">
        <v>0</v>
      </c>
      <c r="DN51" t="s">
        <v>3</v>
      </c>
      <c r="DO51">
        <v>0</v>
      </c>
    </row>
    <row r="52" spans="1:119" x14ac:dyDescent="0.2">
      <c r="A52">
        <f>ROW(Source!A50)</f>
        <v>50</v>
      </c>
      <c r="B52">
        <v>78131199</v>
      </c>
      <c r="C52">
        <v>78130884</v>
      </c>
      <c r="D52">
        <v>77807925</v>
      </c>
      <c r="E52">
        <v>1</v>
      </c>
      <c r="F52">
        <v>1</v>
      </c>
      <c r="G52">
        <v>37</v>
      </c>
      <c r="H52">
        <v>2</v>
      </c>
      <c r="I52" t="s">
        <v>313</v>
      </c>
      <c r="J52" t="s">
        <v>314</v>
      </c>
      <c r="K52" t="s">
        <v>315</v>
      </c>
      <c r="L52">
        <v>1368</v>
      </c>
      <c r="N52">
        <v>1011</v>
      </c>
      <c r="O52" t="s">
        <v>260</v>
      </c>
      <c r="P52" t="s">
        <v>260</v>
      </c>
      <c r="Q52">
        <v>1</v>
      </c>
      <c r="W52">
        <v>0</v>
      </c>
      <c r="X52">
        <v>-982416638</v>
      </c>
      <c r="Y52">
        <f t="shared" si="26"/>
        <v>0.3</v>
      </c>
      <c r="AA52">
        <v>0</v>
      </c>
      <c r="AB52">
        <v>34.270000000000003</v>
      </c>
      <c r="AC52">
        <v>0.23</v>
      </c>
      <c r="AD52">
        <v>0</v>
      </c>
      <c r="AE52">
        <v>0</v>
      </c>
      <c r="AF52">
        <v>34.270000000000003</v>
      </c>
      <c r="AG52">
        <v>0.23</v>
      </c>
      <c r="AH52">
        <v>0</v>
      </c>
      <c r="AI52">
        <v>1</v>
      </c>
      <c r="AJ52">
        <v>1</v>
      </c>
      <c r="AK52">
        <v>1</v>
      </c>
      <c r="AL52">
        <v>1</v>
      </c>
      <c r="AM52">
        <v>-2</v>
      </c>
      <c r="AN52">
        <v>0</v>
      </c>
      <c r="AO52">
        <v>1</v>
      </c>
      <c r="AP52">
        <v>0</v>
      </c>
      <c r="AQ52">
        <v>0</v>
      </c>
      <c r="AR52">
        <v>0</v>
      </c>
      <c r="AS52" t="s">
        <v>3</v>
      </c>
      <c r="AT52">
        <v>0.3</v>
      </c>
      <c r="AU52" t="s">
        <v>3</v>
      </c>
      <c r="AV52">
        <v>0</v>
      </c>
      <c r="AW52">
        <v>2</v>
      </c>
      <c r="AX52">
        <v>78131246</v>
      </c>
      <c r="AY52">
        <v>1</v>
      </c>
      <c r="AZ52">
        <v>0</v>
      </c>
      <c r="BA52">
        <v>48</v>
      </c>
      <c r="BB52">
        <v>0</v>
      </c>
      <c r="BC52">
        <v>0</v>
      </c>
      <c r="BD52">
        <v>0</v>
      </c>
      <c r="BE52">
        <v>0</v>
      </c>
      <c r="BF52">
        <v>0</v>
      </c>
      <c r="BG52">
        <v>0</v>
      </c>
      <c r="BH52">
        <v>0</v>
      </c>
      <c r="BI52">
        <v>0</v>
      </c>
      <c r="BJ52">
        <v>0</v>
      </c>
      <c r="BK52">
        <v>0</v>
      </c>
      <c r="BL52">
        <v>0</v>
      </c>
      <c r="BM52">
        <v>0</v>
      </c>
      <c r="BN52">
        <v>0</v>
      </c>
      <c r="BO52">
        <v>0</v>
      </c>
      <c r="BP52">
        <v>0</v>
      </c>
      <c r="BQ52">
        <v>0</v>
      </c>
      <c r="BR52">
        <v>0</v>
      </c>
      <c r="BS52">
        <v>0</v>
      </c>
      <c r="BT52">
        <v>0</v>
      </c>
      <c r="BU52">
        <v>0</v>
      </c>
      <c r="BV52">
        <v>0</v>
      </c>
      <c r="BW52">
        <v>0</v>
      </c>
      <c r="CV52">
        <v>0</v>
      </c>
      <c r="CW52">
        <f>ROUND(Y52*Source!I50*DO52,9)</f>
        <v>0</v>
      </c>
      <c r="CX52">
        <f>ROUND(Y52*Source!I50,9)</f>
        <v>0.6</v>
      </c>
      <c r="CY52">
        <f>AB52</f>
        <v>34.270000000000003</v>
      </c>
      <c r="CZ52">
        <f>AF52</f>
        <v>34.270000000000003</v>
      </c>
      <c r="DA52">
        <f>AJ52</f>
        <v>1</v>
      </c>
      <c r="DB52">
        <f t="shared" si="27"/>
        <v>10.28</v>
      </c>
      <c r="DC52">
        <f t="shared" si="28"/>
        <v>7.0000000000000007E-2</v>
      </c>
      <c r="DD52" t="s">
        <v>3</v>
      </c>
      <c r="DE52" t="s">
        <v>3</v>
      </c>
      <c r="DF52">
        <f t="shared" si="22"/>
        <v>0</v>
      </c>
      <c r="DG52">
        <f t="shared" si="23"/>
        <v>20.56</v>
      </c>
      <c r="DH52">
        <f t="shared" si="24"/>
        <v>0.14000000000000001</v>
      </c>
      <c r="DI52">
        <f t="shared" si="25"/>
        <v>0</v>
      </c>
      <c r="DJ52">
        <f>DG52</f>
        <v>20.56</v>
      </c>
      <c r="DK52">
        <v>0</v>
      </c>
      <c r="DL52" t="s">
        <v>3</v>
      </c>
      <c r="DM52">
        <v>0</v>
      </c>
      <c r="DN52" t="s">
        <v>3</v>
      </c>
      <c r="DO52">
        <v>0</v>
      </c>
    </row>
    <row r="53" spans="1:119" x14ac:dyDescent="0.2">
      <c r="A53">
        <f>ROW(Source!A50)</f>
        <v>50</v>
      </c>
      <c r="B53">
        <v>78131199</v>
      </c>
      <c r="C53">
        <v>78130884</v>
      </c>
      <c r="D53">
        <v>77810399</v>
      </c>
      <c r="E53">
        <v>1</v>
      </c>
      <c r="F53">
        <v>1</v>
      </c>
      <c r="G53">
        <v>37</v>
      </c>
      <c r="H53">
        <v>3</v>
      </c>
      <c r="I53" t="s">
        <v>316</v>
      </c>
      <c r="J53" t="s">
        <v>317</v>
      </c>
      <c r="K53" t="s">
        <v>318</v>
      </c>
      <c r="L53">
        <v>1348</v>
      </c>
      <c r="N53">
        <v>1009</v>
      </c>
      <c r="O53" t="s">
        <v>200</v>
      </c>
      <c r="P53" t="s">
        <v>200</v>
      </c>
      <c r="Q53">
        <v>1000</v>
      </c>
      <c r="W53">
        <v>0</v>
      </c>
      <c r="X53">
        <v>1930382025</v>
      </c>
      <c r="Y53">
        <f t="shared" si="26"/>
        <v>6.9999999999999994E-5</v>
      </c>
      <c r="AA53">
        <v>106831.32</v>
      </c>
      <c r="AB53">
        <v>0</v>
      </c>
      <c r="AC53">
        <v>0</v>
      </c>
      <c r="AD53">
        <v>0</v>
      </c>
      <c r="AE53">
        <v>106831.32</v>
      </c>
      <c r="AF53">
        <v>0</v>
      </c>
      <c r="AG53">
        <v>0</v>
      </c>
      <c r="AH53">
        <v>0</v>
      </c>
      <c r="AI53">
        <v>1</v>
      </c>
      <c r="AJ53">
        <v>1</v>
      </c>
      <c r="AK53">
        <v>1</v>
      </c>
      <c r="AL53">
        <v>1</v>
      </c>
      <c r="AM53">
        <v>-2</v>
      </c>
      <c r="AN53">
        <v>0</v>
      </c>
      <c r="AO53">
        <v>1</v>
      </c>
      <c r="AP53">
        <v>0</v>
      </c>
      <c r="AQ53">
        <v>0</v>
      </c>
      <c r="AR53">
        <v>0</v>
      </c>
      <c r="AS53" t="s">
        <v>3</v>
      </c>
      <c r="AT53">
        <v>6.9999999999999994E-5</v>
      </c>
      <c r="AU53" t="s">
        <v>3</v>
      </c>
      <c r="AV53">
        <v>0</v>
      </c>
      <c r="AW53">
        <v>2</v>
      </c>
      <c r="AX53">
        <v>78131247</v>
      </c>
      <c r="AY53">
        <v>1</v>
      </c>
      <c r="AZ53">
        <v>0</v>
      </c>
      <c r="BA53">
        <v>49</v>
      </c>
      <c r="BB53">
        <v>0</v>
      </c>
      <c r="BC53">
        <v>0</v>
      </c>
      <c r="BD53">
        <v>0</v>
      </c>
      <c r="BE53">
        <v>0</v>
      </c>
      <c r="BF53">
        <v>0</v>
      </c>
      <c r="BG53">
        <v>0</v>
      </c>
      <c r="BH53">
        <v>0</v>
      </c>
      <c r="BI53">
        <v>0</v>
      </c>
      <c r="BJ53">
        <v>0</v>
      </c>
      <c r="BK53">
        <v>0</v>
      </c>
      <c r="BL53">
        <v>0</v>
      </c>
      <c r="BM53">
        <v>0</v>
      </c>
      <c r="BN53">
        <v>0</v>
      </c>
      <c r="BO53">
        <v>0</v>
      </c>
      <c r="BP53">
        <v>0</v>
      </c>
      <c r="BQ53">
        <v>0</v>
      </c>
      <c r="BR53">
        <v>0</v>
      </c>
      <c r="BS53">
        <v>0</v>
      </c>
      <c r="BT53">
        <v>0</v>
      </c>
      <c r="BU53">
        <v>0</v>
      </c>
      <c r="BV53">
        <v>0</v>
      </c>
      <c r="BW53">
        <v>0</v>
      </c>
      <c r="CV53">
        <v>0</v>
      </c>
      <c r="CW53">
        <v>0</v>
      </c>
      <c r="CX53">
        <f>ROUND(Y53*Source!I50,9)</f>
        <v>1.3999999999999999E-4</v>
      </c>
      <c r="CY53">
        <f>AA53</f>
        <v>106831.32</v>
      </c>
      <c r="CZ53">
        <f>AE53</f>
        <v>106831.32</v>
      </c>
      <c r="DA53">
        <f>AI53</f>
        <v>1</v>
      </c>
      <c r="DB53">
        <f t="shared" si="27"/>
        <v>7.48</v>
      </c>
      <c r="DC53">
        <f t="shared" si="28"/>
        <v>0</v>
      </c>
      <c r="DD53" t="s">
        <v>3</v>
      </c>
      <c r="DE53" t="s">
        <v>3</v>
      </c>
      <c r="DF53">
        <f t="shared" si="22"/>
        <v>14.96</v>
      </c>
      <c r="DG53">
        <f t="shared" si="23"/>
        <v>0</v>
      </c>
      <c r="DH53">
        <f t="shared" si="24"/>
        <v>0</v>
      </c>
      <c r="DI53">
        <f t="shared" si="25"/>
        <v>0</v>
      </c>
      <c r="DJ53">
        <f>DF53</f>
        <v>14.96</v>
      </c>
      <c r="DK53">
        <v>0</v>
      </c>
      <c r="DL53" t="s">
        <v>3</v>
      </c>
      <c r="DM53">
        <v>0</v>
      </c>
      <c r="DN53" t="s">
        <v>3</v>
      </c>
      <c r="DO53">
        <v>0</v>
      </c>
    </row>
    <row r="54" spans="1:119" x14ac:dyDescent="0.2">
      <c r="A54">
        <f>ROW(Source!A50)</f>
        <v>50</v>
      </c>
      <c r="B54">
        <v>78131199</v>
      </c>
      <c r="C54">
        <v>78130884</v>
      </c>
      <c r="D54">
        <v>77816811</v>
      </c>
      <c r="E54">
        <v>1</v>
      </c>
      <c r="F54">
        <v>1</v>
      </c>
      <c r="G54">
        <v>37</v>
      </c>
      <c r="H54">
        <v>3</v>
      </c>
      <c r="I54" t="s">
        <v>89</v>
      </c>
      <c r="J54" t="s">
        <v>91</v>
      </c>
      <c r="K54" t="s">
        <v>90</v>
      </c>
      <c r="L54">
        <v>1354</v>
      </c>
      <c r="N54">
        <v>1010</v>
      </c>
      <c r="O54" t="s">
        <v>29</v>
      </c>
      <c r="P54" t="s">
        <v>29</v>
      </c>
      <c r="Q54">
        <v>1</v>
      </c>
      <c r="W54">
        <v>0</v>
      </c>
      <c r="X54">
        <v>-97954409</v>
      </c>
      <c r="Y54">
        <f t="shared" si="26"/>
        <v>1</v>
      </c>
      <c r="AA54">
        <v>4266.3599999999997</v>
      </c>
      <c r="AB54">
        <v>0</v>
      </c>
      <c r="AC54">
        <v>0</v>
      </c>
      <c r="AD54">
        <v>0</v>
      </c>
      <c r="AE54">
        <v>4266.3599999999997</v>
      </c>
      <c r="AF54">
        <v>0</v>
      </c>
      <c r="AG54">
        <v>0</v>
      </c>
      <c r="AH54">
        <v>0</v>
      </c>
      <c r="AI54">
        <v>1</v>
      </c>
      <c r="AJ54">
        <v>1</v>
      </c>
      <c r="AK54">
        <v>1</v>
      </c>
      <c r="AL54">
        <v>1</v>
      </c>
      <c r="AM54">
        <v>-2</v>
      </c>
      <c r="AN54">
        <v>0</v>
      </c>
      <c r="AO54">
        <v>0</v>
      </c>
      <c r="AP54">
        <v>1</v>
      </c>
      <c r="AQ54">
        <v>0</v>
      </c>
      <c r="AR54">
        <v>0</v>
      </c>
      <c r="AS54" t="s">
        <v>3</v>
      </c>
      <c r="AT54">
        <v>1</v>
      </c>
      <c r="AU54" t="s">
        <v>3</v>
      </c>
      <c r="AV54">
        <v>0</v>
      </c>
      <c r="AW54">
        <v>1</v>
      </c>
      <c r="AX54">
        <v>-1</v>
      </c>
      <c r="AY54">
        <v>0</v>
      </c>
      <c r="AZ54">
        <v>0</v>
      </c>
      <c r="BA54" t="s">
        <v>3</v>
      </c>
      <c r="BB54">
        <v>0</v>
      </c>
      <c r="BC54">
        <v>0</v>
      </c>
      <c r="BD54">
        <v>0</v>
      </c>
      <c r="BE54">
        <v>0</v>
      </c>
      <c r="BF54">
        <v>0</v>
      </c>
      <c r="BG54">
        <v>0</v>
      </c>
      <c r="BH54">
        <v>0</v>
      </c>
      <c r="BI54">
        <v>0</v>
      </c>
      <c r="BJ54">
        <v>0</v>
      </c>
      <c r="BK54">
        <v>0</v>
      </c>
      <c r="BL54">
        <v>0</v>
      </c>
      <c r="BM54">
        <v>0</v>
      </c>
      <c r="BN54">
        <v>0</v>
      </c>
      <c r="BO54">
        <v>0</v>
      </c>
      <c r="BP54">
        <v>0</v>
      </c>
      <c r="BQ54">
        <v>0</v>
      </c>
      <c r="BR54">
        <v>0</v>
      </c>
      <c r="BS54">
        <v>0</v>
      </c>
      <c r="BT54">
        <v>0</v>
      </c>
      <c r="BU54">
        <v>0</v>
      </c>
      <c r="BV54">
        <v>0</v>
      </c>
      <c r="BW54">
        <v>0</v>
      </c>
      <c r="CV54">
        <v>0</v>
      </c>
      <c r="CW54">
        <v>0</v>
      </c>
      <c r="CX54">
        <f>ROUND(Y54*Source!I50,9)</f>
        <v>2</v>
      </c>
      <c r="CY54">
        <f>AA54</f>
        <v>4266.3599999999997</v>
      </c>
      <c r="CZ54">
        <f>AE54</f>
        <v>4266.3599999999997</v>
      </c>
      <c r="DA54">
        <f>AI54</f>
        <v>1</v>
      </c>
      <c r="DB54">
        <f t="shared" si="27"/>
        <v>4266.3599999999997</v>
      </c>
      <c r="DC54">
        <f t="shared" si="28"/>
        <v>0</v>
      </c>
      <c r="DD54" t="s">
        <v>3</v>
      </c>
      <c r="DE54" t="s">
        <v>3</v>
      </c>
      <c r="DF54">
        <f t="shared" si="22"/>
        <v>8532.7199999999993</v>
      </c>
      <c r="DG54">
        <f t="shared" si="23"/>
        <v>0</v>
      </c>
      <c r="DH54">
        <f t="shared" si="24"/>
        <v>0</v>
      </c>
      <c r="DI54">
        <f t="shared" si="25"/>
        <v>0</v>
      </c>
      <c r="DJ54">
        <f>DF54</f>
        <v>8532.7199999999993</v>
      </c>
      <c r="DK54">
        <v>0</v>
      </c>
      <c r="DL54" t="s">
        <v>3</v>
      </c>
      <c r="DM54">
        <v>0</v>
      </c>
      <c r="DN54" t="s">
        <v>3</v>
      </c>
      <c r="DO54">
        <v>0</v>
      </c>
    </row>
    <row r="55" spans="1:119" x14ac:dyDescent="0.2">
      <c r="A55">
        <f>ROW(Source!A50)</f>
        <v>50</v>
      </c>
      <c r="B55">
        <v>78131199</v>
      </c>
      <c r="C55">
        <v>78130884</v>
      </c>
      <c r="D55">
        <v>77816813</v>
      </c>
      <c r="E55">
        <v>1</v>
      </c>
      <c r="F55">
        <v>1</v>
      </c>
      <c r="G55">
        <v>37</v>
      </c>
      <c r="H55">
        <v>3</v>
      </c>
      <c r="I55" t="s">
        <v>85</v>
      </c>
      <c r="J55" t="s">
        <v>87</v>
      </c>
      <c r="K55" t="s">
        <v>86</v>
      </c>
      <c r="L55">
        <v>1354</v>
      </c>
      <c r="N55">
        <v>1010</v>
      </c>
      <c r="O55" t="s">
        <v>29</v>
      </c>
      <c r="P55" t="s">
        <v>29</v>
      </c>
      <c r="Q55">
        <v>1</v>
      </c>
      <c r="W55">
        <v>0</v>
      </c>
      <c r="X55">
        <v>-1846485765</v>
      </c>
      <c r="Y55">
        <f t="shared" si="26"/>
        <v>0</v>
      </c>
      <c r="AA55">
        <v>6016.31</v>
      </c>
      <c r="AB55">
        <v>0</v>
      </c>
      <c r="AC55">
        <v>0</v>
      </c>
      <c r="AD55">
        <v>0</v>
      </c>
      <c r="AE55">
        <v>6016.31</v>
      </c>
      <c r="AF55">
        <v>0</v>
      </c>
      <c r="AG55">
        <v>0</v>
      </c>
      <c r="AH55">
        <v>0</v>
      </c>
      <c r="AI55">
        <v>1</v>
      </c>
      <c r="AJ55">
        <v>1</v>
      </c>
      <c r="AK55">
        <v>1</v>
      </c>
      <c r="AL55">
        <v>1</v>
      </c>
      <c r="AM55">
        <v>-2</v>
      </c>
      <c r="AN55">
        <v>0</v>
      </c>
      <c r="AO55">
        <v>0</v>
      </c>
      <c r="AP55">
        <v>1</v>
      </c>
      <c r="AQ55">
        <v>0</v>
      </c>
      <c r="AR55">
        <v>0</v>
      </c>
      <c r="AS55" t="s">
        <v>3</v>
      </c>
      <c r="AT55">
        <v>0</v>
      </c>
      <c r="AU55" t="s">
        <v>3</v>
      </c>
      <c r="AV55">
        <v>0</v>
      </c>
      <c r="AW55">
        <v>1</v>
      </c>
      <c r="AX55">
        <v>-1</v>
      </c>
      <c r="AY55">
        <v>0</v>
      </c>
      <c r="AZ55">
        <v>0</v>
      </c>
      <c r="BA55" t="s">
        <v>3</v>
      </c>
      <c r="BB55">
        <v>0</v>
      </c>
      <c r="BC55">
        <v>0</v>
      </c>
      <c r="BD55">
        <v>0</v>
      </c>
      <c r="BE55">
        <v>0</v>
      </c>
      <c r="BF55">
        <v>0</v>
      </c>
      <c r="BG55">
        <v>0</v>
      </c>
      <c r="BH55">
        <v>0</v>
      </c>
      <c r="BI55">
        <v>0</v>
      </c>
      <c r="BJ55">
        <v>0</v>
      </c>
      <c r="BK55">
        <v>0</v>
      </c>
      <c r="BL55">
        <v>0</v>
      </c>
      <c r="BM55">
        <v>0</v>
      </c>
      <c r="BN55">
        <v>0</v>
      </c>
      <c r="BO55">
        <v>0</v>
      </c>
      <c r="BP55">
        <v>0</v>
      </c>
      <c r="BQ55">
        <v>0</v>
      </c>
      <c r="BR55">
        <v>0</v>
      </c>
      <c r="BS55">
        <v>0</v>
      </c>
      <c r="BT55">
        <v>0</v>
      </c>
      <c r="BU55">
        <v>0</v>
      </c>
      <c r="BV55">
        <v>0</v>
      </c>
      <c r="BW55">
        <v>0</v>
      </c>
      <c r="CV55">
        <v>0</v>
      </c>
      <c r="CW55">
        <v>0</v>
      </c>
      <c r="CX55">
        <f>ROUND(Y55*Source!I50,9)</f>
        <v>0</v>
      </c>
      <c r="CY55">
        <f>AA55</f>
        <v>6016.31</v>
      </c>
      <c r="CZ55">
        <f>AE55</f>
        <v>6016.31</v>
      </c>
      <c r="DA55">
        <f>AI55</f>
        <v>1</v>
      </c>
      <c r="DB55">
        <f t="shared" si="27"/>
        <v>0</v>
      </c>
      <c r="DC55">
        <f t="shared" si="28"/>
        <v>0</v>
      </c>
      <c r="DD55" t="s">
        <v>3</v>
      </c>
      <c r="DE55" t="s">
        <v>3</v>
      </c>
      <c r="DF55">
        <f t="shared" si="22"/>
        <v>0</v>
      </c>
      <c r="DG55">
        <f t="shared" si="23"/>
        <v>0</v>
      </c>
      <c r="DH55">
        <f t="shared" si="24"/>
        <v>0</v>
      </c>
      <c r="DI55">
        <f t="shared" si="25"/>
        <v>0</v>
      </c>
      <c r="DJ55">
        <f>DF55</f>
        <v>0</v>
      </c>
      <c r="DK55">
        <v>0</v>
      </c>
      <c r="DL55" t="s">
        <v>3</v>
      </c>
      <c r="DM55">
        <v>0</v>
      </c>
      <c r="DN55" t="s">
        <v>3</v>
      </c>
      <c r="DO55">
        <v>0</v>
      </c>
    </row>
    <row r="56" spans="1:119" x14ac:dyDescent="0.2">
      <c r="A56">
        <f>ROW(Source!A53)</f>
        <v>53</v>
      </c>
      <c r="B56">
        <v>78131199</v>
      </c>
      <c r="C56">
        <v>78130896</v>
      </c>
      <c r="D56">
        <v>77806460</v>
      </c>
      <c r="E56">
        <v>37</v>
      </c>
      <c r="F56">
        <v>1</v>
      </c>
      <c r="G56">
        <v>37</v>
      </c>
      <c r="H56">
        <v>1</v>
      </c>
      <c r="I56" t="s">
        <v>254</v>
      </c>
      <c r="J56" t="s">
        <v>3</v>
      </c>
      <c r="K56" t="s">
        <v>255</v>
      </c>
      <c r="L56">
        <v>1191</v>
      </c>
      <c r="N56">
        <v>1013</v>
      </c>
      <c r="O56" t="s">
        <v>256</v>
      </c>
      <c r="P56" t="s">
        <v>256</v>
      </c>
      <c r="Q56">
        <v>1</v>
      </c>
      <c r="W56">
        <v>0</v>
      </c>
      <c r="X56">
        <v>476480486</v>
      </c>
      <c r="Y56">
        <f t="shared" si="26"/>
        <v>1.72</v>
      </c>
      <c r="AA56">
        <v>0</v>
      </c>
      <c r="AB56">
        <v>0</v>
      </c>
      <c r="AC56">
        <v>0</v>
      </c>
      <c r="AD56">
        <v>0</v>
      </c>
      <c r="AE56">
        <v>0</v>
      </c>
      <c r="AF56">
        <v>0</v>
      </c>
      <c r="AG56">
        <v>0</v>
      </c>
      <c r="AH56">
        <v>0</v>
      </c>
      <c r="AI56">
        <v>1</v>
      </c>
      <c r="AJ56">
        <v>1</v>
      </c>
      <c r="AK56">
        <v>1</v>
      </c>
      <c r="AL56">
        <v>1</v>
      </c>
      <c r="AM56">
        <v>-2</v>
      </c>
      <c r="AN56">
        <v>0</v>
      </c>
      <c r="AO56">
        <v>1</v>
      </c>
      <c r="AP56">
        <v>1</v>
      </c>
      <c r="AQ56">
        <v>0</v>
      </c>
      <c r="AR56">
        <v>0</v>
      </c>
      <c r="AS56" t="s">
        <v>3</v>
      </c>
      <c r="AT56">
        <v>1.72</v>
      </c>
      <c r="AU56" t="s">
        <v>3</v>
      </c>
      <c r="AV56">
        <v>1</v>
      </c>
      <c r="AW56">
        <v>2</v>
      </c>
      <c r="AX56">
        <v>78131249</v>
      </c>
      <c r="AY56">
        <v>1</v>
      </c>
      <c r="AZ56">
        <v>0</v>
      </c>
      <c r="BA56">
        <v>51</v>
      </c>
      <c r="BB56">
        <v>0</v>
      </c>
      <c r="BC56">
        <v>0</v>
      </c>
      <c r="BD56">
        <v>0</v>
      </c>
      <c r="BE56">
        <v>0</v>
      </c>
      <c r="BF56">
        <v>0</v>
      </c>
      <c r="BG56">
        <v>0</v>
      </c>
      <c r="BH56">
        <v>0</v>
      </c>
      <c r="BI56">
        <v>0</v>
      </c>
      <c r="BJ56">
        <v>0</v>
      </c>
      <c r="BK56">
        <v>0</v>
      </c>
      <c r="BL56">
        <v>0</v>
      </c>
      <c r="BM56">
        <v>0</v>
      </c>
      <c r="BN56">
        <v>0</v>
      </c>
      <c r="BO56">
        <v>0</v>
      </c>
      <c r="BP56">
        <v>0</v>
      </c>
      <c r="BQ56">
        <v>0</v>
      </c>
      <c r="BR56">
        <v>0</v>
      </c>
      <c r="BS56">
        <v>0</v>
      </c>
      <c r="BT56">
        <v>0</v>
      </c>
      <c r="BU56">
        <v>0</v>
      </c>
      <c r="BV56">
        <v>0</v>
      </c>
      <c r="BW56">
        <v>0</v>
      </c>
      <c r="CU56">
        <f>ROUND(AT56*Source!I53*AH56*AL56,2)</f>
        <v>0</v>
      </c>
      <c r="CV56">
        <f>ROUND(Y56*Source!I53,9)</f>
        <v>0.34399999999999997</v>
      </c>
      <c r="CW56">
        <v>0</v>
      </c>
      <c r="CX56">
        <f>ROUND(Y56*Source!I53,9)</f>
        <v>0.34399999999999997</v>
      </c>
      <c r="CY56">
        <f>AD56</f>
        <v>0</v>
      </c>
      <c r="CZ56">
        <f>AH56</f>
        <v>0</v>
      </c>
      <c r="DA56">
        <f>AL56</f>
        <v>1</v>
      </c>
      <c r="DB56">
        <f t="shared" si="27"/>
        <v>0</v>
      </c>
      <c r="DC56">
        <f t="shared" si="28"/>
        <v>0</v>
      </c>
      <c r="DD56" t="s">
        <v>3</v>
      </c>
      <c r="DE56" t="s">
        <v>3</v>
      </c>
      <c r="DF56">
        <f t="shared" si="22"/>
        <v>0</v>
      </c>
      <c r="DG56">
        <f t="shared" si="23"/>
        <v>0</v>
      </c>
      <c r="DH56">
        <f t="shared" si="24"/>
        <v>0</v>
      </c>
      <c r="DI56">
        <f t="shared" si="25"/>
        <v>0</v>
      </c>
      <c r="DJ56">
        <f>DI56</f>
        <v>0</v>
      </c>
      <c r="DK56">
        <v>0</v>
      </c>
      <c r="DL56" t="s">
        <v>3</v>
      </c>
      <c r="DM56">
        <v>0</v>
      </c>
      <c r="DN56" t="s">
        <v>3</v>
      </c>
      <c r="DO56">
        <v>0</v>
      </c>
    </row>
    <row r="57" spans="1:119" x14ac:dyDescent="0.2">
      <c r="A57">
        <f>ROW(Source!A53)</f>
        <v>53</v>
      </c>
      <c r="B57">
        <v>78131199</v>
      </c>
      <c r="C57">
        <v>78130896</v>
      </c>
      <c r="D57">
        <v>77810523</v>
      </c>
      <c r="E57">
        <v>1</v>
      </c>
      <c r="F57">
        <v>1</v>
      </c>
      <c r="G57">
        <v>37</v>
      </c>
      <c r="H57">
        <v>3</v>
      </c>
      <c r="I57" t="s">
        <v>298</v>
      </c>
      <c r="J57" t="s">
        <v>299</v>
      </c>
      <c r="K57" t="s">
        <v>300</v>
      </c>
      <c r="L57">
        <v>1346</v>
      </c>
      <c r="N57">
        <v>1009</v>
      </c>
      <c r="O57" t="s">
        <v>264</v>
      </c>
      <c r="P57" t="s">
        <v>264</v>
      </c>
      <c r="Q57">
        <v>1</v>
      </c>
      <c r="W57">
        <v>0</v>
      </c>
      <c r="X57">
        <v>1013639029</v>
      </c>
      <c r="Y57">
        <f t="shared" si="26"/>
        <v>6.3E-2</v>
      </c>
      <c r="AA57">
        <v>745.17</v>
      </c>
      <c r="AB57">
        <v>0</v>
      </c>
      <c r="AC57">
        <v>0</v>
      </c>
      <c r="AD57">
        <v>0</v>
      </c>
      <c r="AE57">
        <v>745.17</v>
      </c>
      <c r="AF57">
        <v>0</v>
      </c>
      <c r="AG57">
        <v>0</v>
      </c>
      <c r="AH57">
        <v>0</v>
      </c>
      <c r="AI57">
        <v>1</v>
      </c>
      <c r="AJ57">
        <v>1</v>
      </c>
      <c r="AK57">
        <v>1</v>
      </c>
      <c r="AL57">
        <v>1</v>
      </c>
      <c r="AM57">
        <v>-2</v>
      </c>
      <c r="AN57">
        <v>0</v>
      </c>
      <c r="AO57">
        <v>1</v>
      </c>
      <c r="AP57">
        <v>1</v>
      </c>
      <c r="AQ57">
        <v>0</v>
      </c>
      <c r="AR57">
        <v>0</v>
      </c>
      <c r="AS57" t="s">
        <v>3</v>
      </c>
      <c r="AT57">
        <v>6.3E-2</v>
      </c>
      <c r="AU57" t="s">
        <v>3</v>
      </c>
      <c r="AV57">
        <v>0</v>
      </c>
      <c r="AW57">
        <v>2</v>
      </c>
      <c r="AX57">
        <v>78131250</v>
      </c>
      <c r="AY57">
        <v>1</v>
      </c>
      <c r="AZ57">
        <v>0</v>
      </c>
      <c r="BA57">
        <v>52</v>
      </c>
      <c r="BB57">
        <v>0</v>
      </c>
      <c r="BC57">
        <v>0</v>
      </c>
      <c r="BD57">
        <v>0</v>
      </c>
      <c r="BE57">
        <v>0</v>
      </c>
      <c r="BF57">
        <v>0</v>
      </c>
      <c r="BG57">
        <v>0</v>
      </c>
      <c r="BH57">
        <v>0</v>
      </c>
      <c r="BI57">
        <v>0</v>
      </c>
      <c r="BJ57">
        <v>0</v>
      </c>
      <c r="BK57">
        <v>0</v>
      </c>
      <c r="BL57">
        <v>0</v>
      </c>
      <c r="BM57">
        <v>0</v>
      </c>
      <c r="BN57">
        <v>0</v>
      </c>
      <c r="BO57">
        <v>0</v>
      </c>
      <c r="BP57">
        <v>0</v>
      </c>
      <c r="BQ57">
        <v>0</v>
      </c>
      <c r="BR57">
        <v>0</v>
      </c>
      <c r="BS57">
        <v>0</v>
      </c>
      <c r="BT57">
        <v>0</v>
      </c>
      <c r="BU57">
        <v>0</v>
      </c>
      <c r="BV57">
        <v>0</v>
      </c>
      <c r="BW57">
        <v>0</v>
      </c>
      <c r="CV57">
        <v>0</v>
      </c>
      <c r="CW57">
        <v>0</v>
      </c>
      <c r="CX57">
        <f>ROUND(Y57*Source!I53,9)</f>
        <v>1.26E-2</v>
      </c>
      <c r="CY57">
        <f>AA57</f>
        <v>745.17</v>
      </c>
      <c r="CZ57">
        <f>AE57</f>
        <v>745.17</v>
      </c>
      <c r="DA57">
        <f>AI57</f>
        <v>1</v>
      </c>
      <c r="DB57">
        <f t="shared" si="27"/>
        <v>46.95</v>
      </c>
      <c r="DC57">
        <f t="shared" si="28"/>
        <v>0</v>
      </c>
      <c r="DD57" t="s">
        <v>3</v>
      </c>
      <c r="DE57" t="s">
        <v>3</v>
      </c>
      <c r="DF57">
        <f t="shared" si="22"/>
        <v>9.39</v>
      </c>
      <c r="DG57">
        <f t="shared" si="23"/>
        <v>0</v>
      </c>
      <c r="DH57">
        <f t="shared" si="24"/>
        <v>0</v>
      </c>
      <c r="DI57">
        <f t="shared" si="25"/>
        <v>0</v>
      </c>
      <c r="DJ57">
        <f>DF57</f>
        <v>9.39</v>
      </c>
      <c r="DK57">
        <v>0</v>
      </c>
      <c r="DL57" t="s">
        <v>3</v>
      </c>
      <c r="DM57">
        <v>0</v>
      </c>
      <c r="DN57" t="s">
        <v>3</v>
      </c>
      <c r="DO57">
        <v>0</v>
      </c>
    </row>
    <row r="58" spans="1:119" x14ac:dyDescent="0.2">
      <c r="A58">
        <f>ROW(Source!A53)</f>
        <v>53</v>
      </c>
      <c r="B58">
        <v>78131199</v>
      </c>
      <c r="C58">
        <v>78130896</v>
      </c>
      <c r="D58">
        <v>77815780</v>
      </c>
      <c r="E58">
        <v>1</v>
      </c>
      <c r="F58">
        <v>1</v>
      </c>
      <c r="G58">
        <v>37</v>
      </c>
      <c r="H58">
        <v>3</v>
      </c>
      <c r="I58" t="s">
        <v>94</v>
      </c>
      <c r="J58" t="s">
        <v>96</v>
      </c>
      <c r="K58" t="s">
        <v>95</v>
      </c>
      <c r="L58">
        <v>1354</v>
      </c>
      <c r="N58">
        <v>1010</v>
      </c>
      <c r="O58" t="s">
        <v>29</v>
      </c>
      <c r="P58" t="s">
        <v>29</v>
      </c>
      <c r="Q58">
        <v>1</v>
      </c>
      <c r="W58">
        <v>0</v>
      </c>
      <c r="X58">
        <v>1950520833</v>
      </c>
      <c r="Y58">
        <f t="shared" si="26"/>
        <v>10</v>
      </c>
      <c r="AA58">
        <v>6110.12</v>
      </c>
      <c r="AB58">
        <v>0</v>
      </c>
      <c r="AC58">
        <v>0</v>
      </c>
      <c r="AD58">
        <v>0</v>
      </c>
      <c r="AE58">
        <v>6110.12</v>
      </c>
      <c r="AF58">
        <v>0</v>
      </c>
      <c r="AG58">
        <v>0</v>
      </c>
      <c r="AH58">
        <v>0</v>
      </c>
      <c r="AI58">
        <v>1</v>
      </c>
      <c r="AJ58">
        <v>1</v>
      </c>
      <c r="AK58">
        <v>1</v>
      </c>
      <c r="AL58">
        <v>1</v>
      </c>
      <c r="AM58">
        <v>-2</v>
      </c>
      <c r="AN58">
        <v>0</v>
      </c>
      <c r="AO58">
        <v>0</v>
      </c>
      <c r="AP58">
        <v>1</v>
      </c>
      <c r="AQ58">
        <v>0</v>
      </c>
      <c r="AR58">
        <v>0</v>
      </c>
      <c r="AS58" t="s">
        <v>3</v>
      </c>
      <c r="AT58">
        <v>10</v>
      </c>
      <c r="AU58" t="s">
        <v>3</v>
      </c>
      <c r="AV58">
        <v>0</v>
      </c>
      <c r="AW58">
        <v>1</v>
      </c>
      <c r="AX58">
        <v>-1</v>
      </c>
      <c r="AY58">
        <v>0</v>
      </c>
      <c r="AZ58">
        <v>0</v>
      </c>
      <c r="BA58" t="s">
        <v>3</v>
      </c>
      <c r="BB58">
        <v>0</v>
      </c>
      <c r="BC58">
        <v>0</v>
      </c>
      <c r="BD58">
        <v>0</v>
      </c>
      <c r="BE58">
        <v>0</v>
      </c>
      <c r="BF58">
        <v>0</v>
      </c>
      <c r="BG58">
        <v>0</v>
      </c>
      <c r="BH58">
        <v>0</v>
      </c>
      <c r="BI58">
        <v>0</v>
      </c>
      <c r="BJ58">
        <v>0</v>
      </c>
      <c r="BK58">
        <v>0</v>
      </c>
      <c r="BL58">
        <v>0</v>
      </c>
      <c r="BM58">
        <v>0</v>
      </c>
      <c r="BN58">
        <v>0</v>
      </c>
      <c r="BO58">
        <v>0</v>
      </c>
      <c r="BP58">
        <v>0</v>
      </c>
      <c r="BQ58">
        <v>0</v>
      </c>
      <c r="BR58">
        <v>0</v>
      </c>
      <c r="BS58">
        <v>0</v>
      </c>
      <c r="BT58">
        <v>0</v>
      </c>
      <c r="BU58">
        <v>0</v>
      </c>
      <c r="BV58">
        <v>0</v>
      </c>
      <c r="BW58">
        <v>0</v>
      </c>
      <c r="CV58">
        <v>0</v>
      </c>
      <c r="CW58">
        <v>0</v>
      </c>
      <c r="CX58">
        <f>ROUND(Y58*Source!I53,9)</f>
        <v>2</v>
      </c>
      <c r="CY58">
        <f>AA58</f>
        <v>6110.12</v>
      </c>
      <c r="CZ58">
        <f>AE58</f>
        <v>6110.12</v>
      </c>
      <c r="DA58">
        <f>AI58</f>
        <v>1</v>
      </c>
      <c r="DB58">
        <f t="shared" si="27"/>
        <v>61101.2</v>
      </c>
      <c r="DC58">
        <f t="shared" si="28"/>
        <v>0</v>
      </c>
      <c r="DD58" t="s">
        <v>3</v>
      </c>
      <c r="DE58" t="s">
        <v>3</v>
      </c>
      <c r="DF58">
        <f t="shared" si="22"/>
        <v>12220.24</v>
      </c>
      <c r="DG58">
        <f t="shared" si="23"/>
        <v>0</v>
      </c>
      <c r="DH58">
        <f t="shared" si="24"/>
        <v>0</v>
      </c>
      <c r="DI58">
        <f t="shared" si="25"/>
        <v>0</v>
      </c>
      <c r="DJ58">
        <f>DF58</f>
        <v>12220.24</v>
      </c>
      <c r="DK58">
        <v>0</v>
      </c>
      <c r="DL58" t="s">
        <v>3</v>
      </c>
      <c r="DM58">
        <v>0</v>
      </c>
      <c r="DN58" t="s">
        <v>3</v>
      </c>
      <c r="DO58">
        <v>0</v>
      </c>
    </row>
    <row r="59" spans="1:119" x14ac:dyDescent="0.2">
      <c r="A59">
        <f>ROW(Source!A53)</f>
        <v>53</v>
      </c>
      <c r="B59">
        <v>78131199</v>
      </c>
      <c r="C59">
        <v>78130896</v>
      </c>
      <c r="D59">
        <v>77808904</v>
      </c>
      <c r="E59">
        <v>1</v>
      </c>
      <c r="F59">
        <v>1</v>
      </c>
      <c r="G59">
        <v>37</v>
      </c>
      <c r="H59">
        <v>3</v>
      </c>
      <c r="I59" t="s">
        <v>307</v>
      </c>
      <c r="J59" t="s">
        <v>308</v>
      </c>
      <c r="K59" t="s">
        <v>309</v>
      </c>
      <c r="L59">
        <v>1348</v>
      </c>
      <c r="N59">
        <v>1009</v>
      </c>
      <c r="O59" t="s">
        <v>200</v>
      </c>
      <c r="P59" t="s">
        <v>200</v>
      </c>
      <c r="Q59">
        <v>1000</v>
      </c>
      <c r="W59">
        <v>0</v>
      </c>
      <c r="X59">
        <v>-377825509</v>
      </c>
      <c r="Y59">
        <f t="shared" si="26"/>
        <v>1.2999999999999999E-4</v>
      </c>
      <c r="AA59">
        <v>115885.91</v>
      </c>
      <c r="AB59">
        <v>0</v>
      </c>
      <c r="AC59">
        <v>0</v>
      </c>
      <c r="AD59">
        <v>0</v>
      </c>
      <c r="AE59">
        <v>115885.91</v>
      </c>
      <c r="AF59">
        <v>0</v>
      </c>
      <c r="AG59">
        <v>0</v>
      </c>
      <c r="AH59">
        <v>0</v>
      </c>
      <c r="AI59">
        <v>1</v>
      </c>
      <c r="AJ59">
        <v>1</v>
      </c>
      <c r="AK59">
        <v>1</v>
      </c>
      <c r="AL59">
        <v>1</v>
      </c>
      <c r="AM59">
        <v>-2</v>
      </c>
      <c r="AN59">
        <v>0</v>
      </c>
      <c r="AO59">
        <v>1</v>
      </c>
      <c r="AP59">
        <v>1</v>
      </c>
      <c r="AQ59">
        <v>0</v>
      </c>
      <c r="AR59">
        <v>0</v>
      </c>
      <c r="AS59" t="s">
        <v>3</v>
      </c>
      <c r="AT59">
        <v>1.2999999999999999E-4</v>
      </c>
      <c r="AU59" t="s">
        <v>3</v>
      </c>
      <c r="AV59">
        <v>0</v>
      </c>
      <c r="AW59">
        <v>2</v>
      </c>
      <c r="AX59">
        <v>78131251</v>
      </c>
      <c r="AY59">
        <v>1</v>
      </c>
      <c r="AZ59">
        <v>0</v>
      </c>
      <c r="BA59">
        <v>53</v>
      </c>
      <c r="BB59">
        <v>0</v>
      </c>
      <c r="BC59">
        <v>0</v>
      </c>
      <c r="BD59">
        <v>0</v>
      </c>
      <c r="BE59">
        <v>0</v>
      </c>
      <c r="BF59">
        <v>0</v>
      </c>
      <c r="BG59">
        <v>0</v>
      </c>
      <c r="BH59">
        <v>0</v>
      </c>
      <c r="BI59">
        <v>0</v>
      </c>
      <c r="BJ59">
        <v>0</v>
      </c>
      <c r="BK59">
        <v>0</v>
      </c>
      <c r="BL59">
        <v>0</v>
      </c>
      <c r="BM59">
        <v>0</v>
      </c>
      <c r="BN59">
        <v>0</v>
      </c>
      <c r="BO59">
        <v>0</v>
      </c>
      <c r="BP59">
        <v>0</v>
      </c>
      <c r="BQ59">
        <v>0</v>
      </c>
      <c r="BR59">
        <v>0</v>
      </c>
      <c r="BS59">
        <v>0</v>
      </c>
      <c r="BT59">
        <v>0</v>
      </c>
      <c r="BU59">
        <v>0</v>
      </c>
      <c r="BV59">
        <v>0</v>
      </c>
      <c r="BW59">
        <v>0</v>
      </c>
      <c r="CV59">
        <v>0</v>
      </c>
      <c r="CW59">
        <v>0</v>
      </c>
      <c r="CX59">
        <f>ROUND(Y59*Source!I53,9)</f>
        <v>2.5999999999999998E-5</v>
      </c>
      <c r="CY59">
        <f>AA59</f>
        <v>115885.91</v>
      </c>
      <c r="CZ59">
        <f>AE59</f>
        <v>115885.91</v>
      </c>
      <c r="DA59">
        <f>AI59</f>
        <v>1</v>
      </c>
      <c r="DB59">
        <f t="shared" si="27"/>
        <v>15.07</v>
      </c>
      <c r="DC59">
        <f t="shared" si="28"/>
        <v>0</v>
      </c>
      <c r="DD59" t="s">
        <v>3</v>
      </c>
      <c r="DE59" t="s">
        <v>3</v>
      </c>
      <c r="DF59">
        <f t="shared" si="22"/>
        <v>3.01</v>
      </c>
      <c r="DG59">
        <f t="shared" si="23"/>
        <v>0</v>
      </c>
      <c r="DH59">
        <f t="shared" si="24"/>
        <v>0</v>
      </c>
      <c r="DI59">
        <f t="shared" si="25"/>
        <v>0</v>
      </c>
      <c r="DJ59">
        <f>DF59</f>
        <v>3.01</v>
      </c>
      <c r="DK59">
        <v>0</v>
      </c>
      <c r="DL59" t="s">
        <v>3</v>
      </c>
      <c r="DM59">
        <v>0</v>
      </c>
      <c r="DN59" t="s">
        <v>3</v>
      </c>
      <c r="DO59">
        <v>0</v>
      </c>
    </row>
    <row r="60" spans="1:119" x14ac:dyDescent="0.2">
      <c r="A60">
        <f>ROW(Source!A53)</f>
        <v>53</v>
      </c>
      <c r="B60">
        <v>78131199</v>
      </c>
      <c r="C60">
        <v>78130896</v>
      </c>
      <c r="D60">
        <v>77808945</v>
      </c>
      <c r="E60">
        <v>1</v>
      </c>
      <c r="F60">
        <v>1</v>
      </c>
      <c r="G60">
        <v>37</v>
      </c>
      <c r="H60">
        <v>3</v>
      </c>
      <c r="I60" t="s">
        <v>310</v>
      </c>
      <c r="J60" t="s">
        <v>311</v>
      </c>
      <c r="K60" t="s">
        <v>312</v>
      </c>
      <c r="L60">
        <v>1346</v>
      </c>
      <c r="N60">
        <v>1009</v>
      </c>
      <c r="O60" t="s">
        <v>264</v>
      </c>
      <c r="P60" t="s">
        <v>264</v>
      </c>
      <c r="Q60">
        <v>1</v>
      </c>
      <c r="W60">
        <v>0</v>
      </c>
      <c r="X60">
        <v>-911552969</v>
      </c>
      <c r="Y60">
        <f t="shared" si="26"/>
        <v>6.3E-2</v>
      </c>
      <c r="AA60">
        <v>92.85</v>
      </c>
      <c r="AB60">
        <v>0</v>
      </c>
      <c r="AC60">
        <v>0</v>
      </c>
      <c r="AD60">
        <v>0</v>
      </c>
      <c r="AE60">
        <v>92.85</v>
      </c>
      <c r="AF60">
        <v>0</v>
      </c>
      <c r="AG60">
        <v>0</v>
      </c>
      <c r="AH60">
        <v>0</v>
      </c>
      <c r="AI60">
        <v>1</v>
      </c>
      <c r="AJ60">
        <v>1</v>
      </c>
      <c r="AK60">
        <v>1</v>
      </c>
      <c r="AL60">
        <v>1</v>
      </c>
      <c r="AM60">
        <v>-2</v>
      </c>
      <c r="AN60">
        <v>0</v>
      </c>
      <c r="AO60">
        <v>1</v>
      </c>
      <c r="AP60">
        <v>1</v>
      </c>
      <c r="AQ60">
        <v>0</v>
      </c>
      <c r="AR60">
        <v>0</v>
      </c>
      <c r="AS60" t="s">
        <v>3</v>
      </c>
      <c r="AT60">
        <v>6.3E-2</v>
      </c>
      <c r="AU60" t="s">
        <v>3</v>
      </c>
      <c r="AV60">
        <v>0</v>
      </c>
      <c r="AW60">
        <v>2</v>
      </c>
      <c r="AX60">
        <v>78131252</v>
      </c>
      <c r="AY60">
        <v>1</v>
      </c>
      <c r="AZ60">
        <v>0</v>
      </c>
      <c r="BA60">
        <v>54</v>
      </c>
      <c r="BB60">
        <v>0</v>
      </c>
      <c r="BC60">
        <v>0</v>
      </c>
      <c r="BD60">
        <v>0</v>
      </c>
      <c r="BE60">
        <v>0</v>
      </c>
      <c r="BF60">
        <v>0</v>
      </c>
      <c r="BG60">
        <v>0</v>
      </c>
      <c r="BH60">
        <v>0</v>
      </c>
      <c r="BI60">
        <v>0</v>
      </c>
      <c r="BJ60">
        <v>0</v>
      </c>
      <c r="BK60">
        <v>0</v>
      </c>
      <c r="BL60">
        <v>0</v>
      </c>
      <c r="BM60">
        <v>0</v>
      </c>
      <c r="BN60">
        <v>0</v>
      </c>
      <c r="BO60">
        <v>0</v>
      </c>
      <c r="BP60">
        <v>0</v>
      </c>
      <c r="BQ60">
        <v>0</v>
      </c>
      <c r="BR60">
        <v>0</v>
      </c>
      <c r="BS60">
        <v>0</v>
      </c>
      <c r="BT60">
        <v>0</v>
      </c>
      <c r="BU60">
        <v>0</v>
      </c>
      <c r="BV60">
        <v>0</v>
      </c>
      <c r="BW60">
        <v>0</v>
      </c>
      <c r="CV60">
        <v>0</v>
      </c>
      <c r="CW60">
        <v>0</v>
      </c>
      <c r="CX60">
        <f>ROUND(Y60*Source!I53,9)</f>
        <v>1.26E-2</v>
      </c>
      <c r="CY60">
        <f>AA60</f>
        <v>92.85</v>
      </c>
      <c r="CZ60">
        <f>AE60</f>
        <v>92.85</v>
      </c>
      <c r="DA60">
        <f>AI60</f>
        <v>1</v>
      </c>
      <c r="DB60">
        <f t="shared" si="27"/>
        <v>5.85</v>
      </c>
      <c r="DC60">
        <f t="shared" si="28"/>
        <v>0</v>
      </c>
      <c r="DD60" t="s">
        <v>3</v>
      </c>
      <c r="DE60" t="s">
        <v>3</v>
      </c>
      <c r="DF60">
        <f t="shared" si="22"/>
        <v>1.17</v>
      </c>
      <c r="DG60">
        <f t="shared" si="23"/>
        <v>0</v>
      </c>
      <c r="DH60">
        <f t="shared" si="24"/>
        <v>0</v>
      </c>
      <c r="DI60">
        <f t="shared" si="25"/>
        <v>0</v>
      </c>
      <c r="DJ60">
        <f>DF60</f>
        <v>1.17</v>
      </c>
      <c r="DK60">
        <v>0</v>
      </c>
      <c r="DL60" t="s">
        <v>3</v>
      </c>
      <c r="DM60">
        <v>0</v>
      </c>
      <c r="DN60" t="s">
        <v>3</v>
      </c>
      <c r="DO60">
        <v>0</v>
      </c>
    </row>
    <row r="61" spans="1:119" x14ac:dyDescent="0.2">
      <c r="A61">
        <f>ROW(Source!A124)</f>
        <v>124</v>
      </c>
      <c r="B61">
        <v>78131199</v>
      </c>
      <c r="C61">
        <v>78131019</v>
      </c>
      <c r="D61">
        <v>77806460</v>
      </c>
      <c r="E61">
        <v>37</v>
      </c>
      <c r="F61">
        <v>1</v>
      </c>
      <c r="G61">
        <v>37</v>
      </c>
      <c r="H61">
        <v>1</v>
      </c>
      <c r="I61" t="s">
        <v>254</v>
      </c>
      <c r="J61" t="s">
        <v>3</v>
      </c>
      <c r="K61" t="s">
        <v>255</v>
      </c>
      <c r="L61">
        <v>1191</v>
      </c>
      <c r="N61">
        <v>1013</v>
      </c>
      <c r="O61" t="s">
        <v>256</v>
      </c>
      <c r="P61" t="s">
        <v>256</v>
      </c>
      <c r="Q61">
        <v>1</v>
      </c>
      <c r="W61">
        <v>0</v>
      </c>
      <c r="X61">
        <v>476480486</v>
      </c>
      <c r="Y61">
        <f t="shared" si="26"/>
        <v>60.32</v>
      </c>
      <c r="AA61">
        <v>0</v>
      </c>
      <c r="AB61">
        <v>0</v>
      </c>
      <c r="AC61">
        <v>0</v>
      </c>
      <c r="AD61">
        <v>0</v>
      </c>
      <c r="AE61">
        <v>0</v>
      </c>
      <c r="AF61">
        <v>0</v>
      </c>
      <c r="AG61">
        <v>0</v>
      </c>
      <c r="AH61">
        <v>0</v>
      </c>
      <c r="AI61">
        <v>1</v>
      </c>
      <c r="AJ61">
        <v>1</v>
      </c>
      <c r="AK61">
        <v>1</v>
      </c>
      <c r="AL61">
        <v>1</v>
      </c>
      <c r="AM61">
        <v>-2</v>
      </c>
      <c r="AN61">
        <v>0</v>
      </c>
      <c r="AO61">
        <v>1</v>
      </c>
      <c r="AP61">
        <v>0</v>
      </c>
      <c r="AQ61">
        <v>0</v>
      </c>
      <c r="AR61">
        <v>0</v>
      </c>
      <c r="AS61" t="s">
        <v>3</v>
      </c>
      <c r="AT61">
        <v>60.32</v>
      </c>
      <c r="AU61" t="s">
        <v>3</v>
      </c>
      <c r="AV61">
        <v>1</v>
      </c>
      <c r="AW61">
        <v>2</v>
      </c>
      <c r="AX61">
        <v>78131253</v>
      </c>
      <c r="AY61">
        <v>1</v>
      </c>
      <c r="AZ61">
        <v>0</v>
      </c>
      <c r="BA61">
        <v>55</v>
      </c>
      <c r="BB61">
        <v>0</v>
      </c>
      <c r="BC61">
        <v>0</v>
      </c>
      <c r="BD61">
        <v>0</v>
      </c>
      <c r="BE61">
        <v>0</v>
      </c>
      <c r="BF61">
        <v>0</v>
      </c>
      <c r="BG61">
        <v>0</v>
      </c>
      <c r="BH61">
        <v>0</v>
      </c>
      <c r="BI61">
        <v>0</v>
      </c>
      <c r="BJ61">
        <v>0</v>
      </c>
      <c r="BK61">
        <v>0</v>
      </c>
      <c r="BL61">
        <v>0</v>
      </c>
      <c r="BM61">
        <v>0</v>
      </c>
      <c r="BN61">
        <v>0</v>
      </c>
      <c r="BO61">
        <v>0</v>
      </c>
      <c r="BP61">
        <v>0</v>
      </c>
      <c r="BQ61">
        <v>0</v>
      </c>
      <c r="BR61">
        <v>0</v>
      </c>
      <c r="BS61">
        <v>0</v>
      </c>
      <c r="BT61">
        <v>0</v>
      </c>
      <c r="BU61">
        <v>0</v>
      </c>
      <c r="BV61">
        <v>0</v>
      </c>
      <c r="BW61">
        <v>0</v>
      </c>
      <c r="CU61">
        <f>ROUND(AT61*Source!I124*AH61*AL61,2)</f>
        <v>0</v>
      </c>
      <c r="CV61">
        <f>ROUND(Y61*Source!I124,9)</f>
        <v>38.001600000000003</v>
      </c>
      <c r="CW61">
        <v>0</v>
      </c>
      <c r="CX61">
        <f>ROUND(Y61*Source!I124,9)</f>
        <v>38.001600000000003</v>
      </c>
      <c r="CY61">
        <f>AD61</f>
        <v>0</v>
      </c>
      <c r="CZ61">
        <f>AH61</f>
        <v>0</v>
      </c>
      <c r="DA61">
        <f>AL61</f>
        <v>1</v>
      </c>
      <c r="DB61">
        <f t="shared" si="27"/>
        <v>0</v>
      </c>
      <c r="DC61">
        <f t="shared" si="28"/>
        <v>0</v>
      </c>
      <c r="DD61" t="s">
        <v>3</v>
      </c>
      <c r="DE61" t="s">
        <v>3</v>
      </c>
      <c r="DF61">
        <f t="shared" si="22"/>
        <v>0</v>
      </c>
      <c r="DG61">
        <f t="shared" si="23"/>
        <v>0</v>
      </c>
      <c r="DH61">
        <f t="shared" si="24"/>
        <v>0</v>
      </c>
      <c r="DI61">
        <f t="shared" si="25"/>
        <v>0</v>
      </c>
      <c r="DJ61">
        <f>DI61</f>
        <v>0</v>
      </c>
      <c r="DK61">
        <v>0</v>
      </c>
      <c r="DL61" t="s">
        <v>3</v>
      </c>
      <c r="DM61">
        <v>0</v>
      </c>
      <c r="DN61" t="s">
        <v>3</v>
      </c>
      <c r="DO61">
        <v>0</v>
      </c>
    </row>
    <row r="62" spans="1:119" x14ac:dyDescent="0.2">
      <c r="A62">
        <f>ROW(Source!A124)</f>
        <v>124</v>
      </c>
      <c r="B62">
        <v>78131199</v>
      </c>
      <c r="C62">
        <v>78131019</v>
      </c>
      <c r="D62">
        <v>77805913</v>
      </c>
      <c r="E62">
        <v>37</v>
      </c>
      <c r="F62">
        <v>1</v>
      </c>
      <c r="G62">
        <v>37</v>
      </c>
      <c r="H62">
        <v>2</v>
      </c>
      <c r="I62" t="s">
        <v>319</v>
      </c>
      <c r="J62" t="s">
        <v>320</v>
      </c>
      <c r="K62" t="s">
        <v>321</v>
      </c>
      <c r="L62">
        <v>1368</v>
      </c>
      <c r="N62">
        <v>1011</v>
      </c>
      <c r="O62" t="s">
        <v>260</v>
      </c>
      <c r="P62" t="s">
        <v>260</v>
      </c>
      <c r="Q62">
        <v>1</v>
      </c>
      <c r="W62">
        <v>0</v>
      </c>
      <c r="X62">
        <v>-1343798885</v>
      </c>
      <c r="Y62">
        <f t="shared" si="26"/>
        <v>6.5</v>
      </c>
      <c r="AA62">
        <v>0</v>
      </c>
      <c r="AB62">
        <v>485.7</v>
      </c>
      <c r="AC62">
        <v>0</v>
      </c>
      <c r="AD62">
        <v>0</v>
      </c>
      <c r="AE62">
        <v>0</v>
      </c>
      <c r="AF62">
        <v>485.7</v>
      </c>
      <c r="AG62">
        <v>0</v>
      </c>
      <c r="AH62">
        <v>0</v>
      </c>
      <c r="AI62">
        <v>1</v>
      </c>
      <c r="AJ62">
        <v>1</v>
      </c>
      <c r="AK62">
        <v>1</v>
      </c>
      <c r="AL62">
        <v>1</v>
      </c>
      <c r="AM62">
        <v>-2</v>
      </c>
      <c r="AN62">
        <v>0</v>
      </c>
      <c r="AO62">
        <v>1</v>
      </c>
      <c r="AP62">
        <v>0</v>
      </c>
      <c r="AQ62">
        <v>0</v>
      </c>
      <c r="AR62">
        <v>0</v>
      </c>
      <c r="AS62" t="s">
        <v>3</v>
      </c>
      <c r="AT62">
        <v>6.5</v>
      </c>
      <c r="AU62" t="s">
        <v>3</v>
      </c>
      <c r="AV62">
        <v>0</v>
      </c>
      <c r="AW62">
        <v>1</v>
      </c>
      <c r="AX62">
        <v>-1</v>
      </c>
      <c r="AY62">
        <v>0</v>
      </c>
      <c r="AZ62">
        <v>0</v>
      </c>
      <c r="BA62" t="s">
        <v>3</v>
      </c>
      <c r="BB62">
        <v>0</v>
      </c>
      <c r="BC62">
        <v>0</v>
      </c>
      <c r="BD62">
        <v>0</v>
      </c>
      <c r="BE62">
        <v>0</v>
      </c>
      <c r="BF62">
        <v>0</v>
      </c>
      <c r="BG62">
        <v>0</v>
      </c>
      <c r="BH62">
        <v>0</v>
      </c>
      <c r="BI62">
        <v>0</v>
      </c>
      <c r="BJ62">
        <v>0</v>
      </c>
      <c r="BK62">
        <v>0</v>
      </c>
      <c r="BL62">
        <v>0</v>
      </c>
      <c r="BM62">
        <v>0</v>
      </c>
      <c r="BN62">
        <v>0</v>
      </c>
      <c r="BO62">
        <v>0</v>
      </c>
      <c r="BP62">
        <v>0</v>
      </c>
      <c r="BQ62">
        <v>0</v>
      </c>
      <c r="BR62">
        <v>0</v>
      </c>
      <c r="BS62">
        <v>0</v>
      </c>
      <c r="BT62">
        <v>0</v>
      </c>
      <c r="BU62">
        <v>0</v>
      </c>
      <c r="BV62">
        <v>0</v>
      </c>
      <c r="BW62">
        <v>0</v>
      </c>
      <c r="CV62">
        <v>0</v>
      </c>
      <c r="CW62">
        <f>ROUND(Y62*Source!I124*DO62,9)</f>
        <v>0</v>
      </c>
      <c r="CX62">
        <f>ROUND(Y62*Source!I124,9)</f>
        <v>4.0949999999999998</v>
      </c>
      <c r="CY62">
        <f>AB62</f>
        <v>485.7</v>
      </c>
      <c r="CZ62">
        <f>AF62</f>
        <v>485.7</v>
      </c>
      <c r="DA62">
        <f>AJ62</f>
        <v>1</v>
      </c>
      <c r="DB62">
        <f t="shared" si="27"/>
        <v>3157.05</v>
      </c>
      <c r="DC62">
        <f t="shared" si="28"/>
        <v>0</v>
      </c>
      <c r="DD62" t="s">
        <v>3</v>
      </c>
      <c r="DE62" t="s">
        <v>3</v>
      </c>
      <c r="DF62">
        <f t="shared" si="22"/>
        <v>0</v>
      </c>
      <c r="DG62">
        <f t="shared" si="23"/>
        <v>1988.94</v>
      </c>
      <c r="DH62">
        <f t="shared" si="24"/>
        <v>0</v>
      </c>
      <c r="DI62">
        <f t="shared" si="25"/>
        <v>0</v>
      </c>
      <c r="DJ62">
        <f>DG62</f>
        <v>1988.94</v>
      </c>
      <c r="DK62">
        <v>0</v>
      </c>
      <c r="DL62" t="s">
        <v>3</v>
      </c>
      <c r="DM62">
        <v>0</v>
      </c>
      <c r="DN62" t="s">
        <v>3</v>
      </c>
      <c r="DO62">
        <v>0</v>
      </c>
    </row>
    <row r="63" spans="1:119" x14ac:dyDescent="0.2">
      <c r="A63">
        <f>ROW(Source!A124)</f>
        <v>124</v>
      </c>
      <c r="B63">
        <v>78131199</v>
      </c>
      <c r="C63">
        <v>78131019</v>
      </c>
      <c r="D63">
        <v>77806461</v>
      </c>
      <c r="E63">
        <v>37</v>
      </c>
      <c r="F63">
        <v>1</v>
      </c>
      <c r="G63">
        <v>37</v>
      </c>
      <c r="H63">
        <v>3</v>
      </c>
      <c r="I63" t="s">
        <v>322</v>
      </c>
      <c r="J63" t="s">
        <v>3</v>
      </c>
      <c r="K63" t="s">
        <v>323</v>
      </c>
      <c r="L63">
        <v>1348</v>
      </c>
      <c r="N63">
        <v>1009</v>
      </c>
      <c r="O63" t="s">
        <v>200</v>
      </c>
      <c r="P63" t="s">
        <v>200</v>
      </c>
      <c r="Q63">
        <v>1000</v>
      </c>
      <c r="W63">
        <v>0</v>
      </c>
      <c r="X63">
        <v>1489638031</v>
      </c>
      <c r="Y63">
        <f t="shared" si="26"/>
        <v>0.42199999999999999</v>
      </c>
      <c r="AA63">
        <v>0</v>
      </c>
      <c r="AB63">
        <v>0</v>
      </c>
      <c r="AC63">
        <v>0</v>
      </c>
      <c r="AD63">
        <v>0</v>
      </c>
      <c r="AE63">
        <v>0</v>
      </c>
      <c r="AF63">
        <v>0</v>
      </c>
      <c r="AG63">
        <v>0</v>
      </c>
      <c r="AH63">
        <v>0</v>
      </c>
      <c r="AI63">
        <v>1</v>
      </c>
      <c r="AJ63">
        <v>1</v>
      </c>
      <c r="AK63">
        <v>1</v>
      </c>
      <c r="AL63">
        <v>1</v>
      </c>
      <c r="AM63">
        <v>-2</v>
      </c>
      <c r="AN63">
        <v>0</v>
      </c>
      <c r="AO63">
        <v>1</v>
      </c>
      <c r="AP63">
        <v>0</v>
      </c>
      <c r="AQ63">
        <v>0</v>
      </c>
      <c r="AR63">
        <v>0</v>
      </c>
      <c r="AS63" t="s">
        <v>3</v>
      </c>
      <c r="AT63">
        <v>0.42199999999999999</v>
      </c>
      <c r="AU63" t="s">
        <v>3</v>
      </c>
      <c r="AV63">
        <v>0</v>
      </c>
      <c r="AW63">
        <v>2</v>
      </c>
      <c r="AX63">
        <v>78131255</v>
      </c>
      <c r="AY63">
        <v>1</v>
      </c>
      <c r="AZ63">
        <v>0</v>
      </c>
      <c r="BA63">
        <v>57</v>
      </c>
      <c r="BB63">
        <v>0</v>
      </c>
      <c r="BC63">
        <v>0</v>
      </c>
      <c r="BD63">
        <v>0</v>
      </c>
      <c r="BE63">
        <v>0</v>
      </c>
      <c r="BF63">
        <v>0</v>
      </c>
      <c r="BG63">
        <v>0</v>
      </c>
      <c r="BH63">
        <v>0</v>
      </c>
      <c r="BI63">
        <v>0</v>
      </c>
      <c r="BJ63">
        <v>0</v>
      </c>
      <c r="BK63">
        <v>0</v>
      </c>
      <c r="BL63">
        <v>0</v>
      </c>
      <c r="BM63">
        <v>0</v>
      </c>
      <c r="BN63">
        <v>0</v>
      </c>
      <c r="BO63">
        <v>0</v>
      </c>
      <c r="BP63">
        <v>0</v>
      </c>
      <c r="BQ63">
        <v>0</v>
      </c>
      <c r="BR63">
        <v>0</v>
      </c>
      <c r="BS63">
        <v>0</v>
      </c>
      <c r="BT63">
        <v>0</v>
      </c>
      <c r="BU63">
        <v>0</v>
      </c>
      <c r="BV63">
        <v>0</v>
      </c>
      <c r="BW63">
        <v>0</v>
      </c>
      <c r="CV63">
        <v>0</v>
      </c>
      <c r="CW63">
        <v>0</v>
      </c>
      <c r="CX63">
        <f>ROUND(Y63*Source!I124,9)</f>
        <v>0.26585999999999999</v>
      </c>
      <c r="CY63">
        <f>AA63</f>
        <v>0</v>
      </c>
      <c r="CZ63">
        <f>AE63</f>
        <v>0</v>
      </c>
      <c r="DA63">
        <f>AI63</f>
        <v>1</v>
      </c>
      <c r="DB63">
        <f t="shared" si="27"/>
        <v>0</v>
      </c>
      <c r="DC63">
        <f t="shared" si="28"/>
        <v>0</v>
      </c>
      <c r="DD63" t="s">
        <v>3</v>
      </c>
      <c r="DE63" t="s">
        <v>3</v>
      </c>
      <c r="DF63">
        <f t="shared" si="22"/>
        <v>0</v>
      </c>
      <c r="DG63">
        <f t="shared" si="23"/>
        <v>0</v>
      </c>
      <c r="DH63">
        <f t="shared" si="24"/>
        <v>0</v>
      </c>
      <c r="DI63">
        <f t="shared" si="25"/>
        <v>0</v>
      </c>
      <c r="DJ63">
        <f>DF63</f>
        <v>0</v>
      </c>
      <c r="DK63">
        <v>0</v>
      </c>
      <c r="DL63" t="s">
        <v>3</v>
      </c>
      <c r="DM63">
        <v>0</v>
      </c>
      <c r="DN63" t="s">
        <v>3</v>
      </c>
      <c r="DO63">
        <v>0</v>
      </c>
    </row>
    <row r="64" spans="1:119" x14ac:dyDescent="0.2">
      <c r="A64">
        <f>ROW(Source!A125)</f>
        <v>125</v>
      </c>
      <c r="B64">
        <v>78131199</v>
      </c>
      <c r="C64">
        <v>78131026</v>
      </c>
      <c r="D64">
        <v>77806460</v>
      </c>
      <c r="E64">
        <v>37</v>
      </c>
      <c r="F64">
        <v>1</v>
      </c>
      <c r="G64">
        <v>37</v>
      </c>
      <c r="H64">
        <v>1</v>
      </c>
      <c r="I64" t="s">
        <v>254</v>
      </c>
      <c r="J64" t="s">
        <v>3</v>
      </c>
      <c r="K64" t="s">
        <v>255</v>
      </c>
      <c r="L64">
        <v>1191</v>
      </c>
      <c r="N64">
        <v>1013</v>
      </c>
      <c r="O64" t="s">
        <v>256</v>
      </c>
      <c r="P64" t="s">
        <v>256</v>
      </c>
      <c r="Q64">
        <v>1</v>
      </c>
      <c r="W64">
        <v>0</v>
      </c>
      <c r="X64">
        <v>476480486</v>
      </c>
      <c r="Y64">
        <f t="shared" si="26"/>
        <v>59.13</v>
      </c>
      <c r="AA64">
        <v>0</v>
      </c>
      <c r="AB64">
        <v>0</v>
      </c>
      <c r="AC64">
        <v>0</v>
      </c>
      <c r="AD64">
        <v>0</v>
      </c>
      <c r="AE64">
        <v>0</v>
      </c>
      <c r="AF64">
        <v>0</v>
      </c>
      <c r="AG64">
        <v>0</v>
      </c>
      <c r="AH64">
        <v>0</v>
      </c>
      <c r="AI64">
        <v>1</v>
      </c>
      <c r="AJ64">
        <v>1</v>
      </c>
      <c r="AK64">
        <v>1</v>
      </c>
      <c r="AL64">
        <v>1</v>
      </c>
      <c r="AM64">
        <v>-2</v>
      </c>
      <c r="AN64">
        <v>0</v>
      </c>
      <c r="AO64">
        <v>1</v>
      </c>
      <c r="AP64">
        <v>0</v>
      </c>
      <c r="AQ64">
        <v>0</v>
      </c>
      <c r="AR64">
        <v>0</v>
      </c>
      <c r="AS64" t="s">
        <v>3</v>
      </c>
      <c r="AT64">
        <v>59.13</v>
      </c>
      <c r="AU64" t="s">
        <v>3</v>
      </c>
      <c r="AV64">
        <v>1</v>
      </c>
      <c r="AW64">
        <v>2</v>
      </c>
      <c r="AX64">
        <v>78131256</v>
      </c>
      <c r="AY64">
        <v>1</v>
      </c>
      <c r="AZ64">
        <v>0</v>
      </c>
      <c r="BA64">
        <v>58</v>
      </c>
      <c r="BB64">
        <v>0</v>
      </c>
      <c r="BC64">
        <v>0</v>
      </c>
      <c r="BD64">
        <v>0</v>
      </c>
      <c r="BE64">
        <v>0</v>
      </c>
      <c r="BF64">
        <v>0</v>
      </c>
      <c r="BG64">
        <v>0</v>
      </c>
      <c r="BH64">
        <v>0</v>
      </c>
      <c r="BI64">
        <v>0</v>
      </c>
      <c r="BJ64">
        <v>0</v>
      </c>
      <c r="BK64">
        <v>0</v>
      </c>
      <c r="BL64">
        <v>0</v>
      </c>
      <c r="BM64">
        <v>0</v>
      </c>
      <c r="BN64">
        <v>0</v>
      </c>
      <c r="BO64">
        <v>0</v>
      </c>
      <c r="BP64">
        <v>0</v>
      </c>
      <c r="BQ64">
        <v>0</v>
      </c>
      <c r="BR64">
        <v>0</v>
      </c>
      <c r="BS64">
        <v>0</v>
      </c>
      <c r="BT64">
        <v>0</v>
      </c>
      <c r="BU64">
        <v>0</v>
      </c>
      <c r="BV64">
        <v>0</v>
      </c>
      <c r="BW64">
        <v>0</v>
      </c>
      <c r="CU64">
        <f>ROUND(AT64*Source!I125*AH64*AL64,2)</f>
        <v>0</v>
      </c>
      <c r="CV64">
        <f>ROUND(Y64*Source!I125,9)</f>
        <v>40.799700000000001</v>
      </c>
      <c r="CW64">
        <v>0</v>
      </c>
      <c r="CX64">
        <f>ROUND(Y64*Source!I125,9)</f>
        <v>40.799700000000001</v>
      </c>
      <c r="CY64">
        <f>AD64</f>
        <v>0</v>
      </c>
      <c r="CZ64">
        <f>AH64</f>
        <v>0</v>
      </c>
      <c r="DA64">
        <f>AL64</f>
        <v>1</v>
      </c>
      <c r="DB64">
        <f t="shared" si="27"/>
        <v>0</v>
      </c>
      <c r="DC64">
        <f t="shared" si="28"/>
        <v>0</v>
      </c>
      <c r="DD64" t="s">
        <v>3</v>
      </c>
      <c r="DE64" t="s">
        <v>3</v>
      </c>
      <c r="DF64">
        <f t="shared" si="22"/>
        <v>0</v>
      </c>
      <c r="DG64">
        <f t="shared" si="23"/>
        <v>0</v>
      </c>
      <c r="DH64">
        <f t="shared" si="24"/>
        <v>0</v>
      </c>
      <c r="DI64">
        <f t="shared" si="25"/>
        <v>0</v>
      </c>
      <c r="DJ64">
        <f>DI64</f>
        <v>0</v>
      </c>
      <c r="DK64">
        <v>0</v>
      </c>
      <c r="DL64" t="s">
        <v>3</v>
      </c>
      <c r="DM64">
        <v>0</v>
      </c>
      <c r="DN64" t="s">
        <v>3</v>
      </c>
      <c r="DO64">
        <v>0</v>
      </c>
    </row>
    <row r="65" spans="1:119" x14ac:dyDescent="0.2">
      <c r="A65">
        <f>ROW(Source!A125)</f>
        <v>125</v>
      </c>
      <c r="B65">
        <v>78131199</v>
      </c>
      <c r="C65">
        <v>78131026</v>
      </c>
      <c r="D65">
        <v>77807927</v>
      </c>
      <c r="E65">
        <v>1</v>
      </c>
      <c r="F65">
        <v>1</v>
      </c>
      <c r="G65">
        <v>37</v>
      </c>
      <c r="H65">
        <v>2</v>
      </c>
      <c r="I65" t="s">
        <v>324</v>
      </c>
      <c r="J65" t="s">
        <v>325</v>
      </c>
      <c r="K65" t="s">
        <v>326</v>
      </c>
      <c r="L65">
        <v>1368</v>
      </c>
      <c r="N65">
        <v>1011</v>
      </c>
      <c r="O65" t="s">
        <v>260</v>
      </c>
      <c r="P65" t="s">
        <v>260</v>
      </c>
      <c r="Q65">
        <v>1</v>
      </c>
      <c r="W65">
        <v>0</v>
      </c>
      <c r="X65">
        <v>-165772356</v>
      </c>
      <c r="Y65">
        <f t="shared" si="26"/>
        <v>7.98</v>
      </c>
      <c r="AA65">
        <v>0</v>
      </c>
      <c r="AB65">
        <v>7.29</v>
      </c>
      <c r="AC65">
        <v>0.24</v>
      </c>
      <c r="AD65">
        <v>0</v>
      </c>
      <c r="AE65">
        <v>0</v>
      </c>
      <c r="AF65">
        <v>7.29</v>
      </c>
      <c r="AG65">
        <v>0.24</v>
      </c>
      <c r="AH65">
        <v>0</v>
      </c>
      <c r="AI65">
        <v>1</v>
      </c>
      <c r="AJ65">
        <v>1</v>
      </c>
      <c r="AK65">
        <v>1</v>
      </c>
      <c r="AL65">
        <v>1</v>
      </c>
      <c r="AM65">
        <v>-2</v>
      </c>
      <c r="AN65">
        <v>0</v>
      </c>
      <c r="AO65">
        <v>1</v>
      </c>
      <c r="AP65">
        <v>0</v>
      </c>
      <c r="AQ65">
        <v>0</v>
      </c>
      <c r="AR65">
        <v>0</v>
      </c>
      <c r="AS65" t="s">
        <v>3</v>
      </c>
      <c r="AT65">
        <v>7.98</v>
      </c>
      <c r="AU65" t="s">
        <v>3</v>
      </c>
      <c r="AV65">
        <v>0</v>
      </c>
      <c r="AW65">
        <v>2</v>
      </c>
      <c r="AX65">
        <v>78131257</v>
      </c>
      <c r="AY65">
        <v>1</v>
      </c>
      <c r="AZ65">
        <v>0</v>
      </c>
      <c r="BA65">
        <v>59</v>
      </c>
      <c r="BB65">
        <v>0</v>
      </c>
      <c r="BC65">
        <v>0</v>
      </c>
      <c r="BD65">
        <v>0</v>
      </c>
      <c r="BE65">
        <v>0</v>
      </c>
      <c r="BF65">
        <v>0</v>
      </c>
      <c r="BG65">
        <v>0</v>
      </c>
      <c r="BH65">
        <v>0</v>
      </c>
      <c r="BI65">
        <v>0</v>
      </c>
      <c r="BJ65">
        <v>0</v>
      </c>
      <c r="BK65">
        <v>0</v>
      </c>
      <c r="BL65">
        <v>0</v>
      </c>
      <c r="BM65">
        <v>0</v>
      </c>
      <c r="BN65">
        <v>0</v>
      </c>
      <c r="BO65">
        <v>0</v>
      </c>
      <c r="BP65">
        <v>0</v>
      </c>
      <c r="BQ65">
        <v>0</v>
      </c>
      <c r="BR65">
        <v>0</v>
      </c>
      <c r="BS65">
        <v>0</v>
      </c>
      <c r="BT65">
        <v>0</v>
      </c>
      <c r="BU65">
        <v>0</v>
      </c>
      <c r="BV65">
        <v>0</v>
      </c>
      <c r="BW65">
        <v>0</v>
      </c>
      <c r="CV65">
        <v>0</v>
      </c>
      <c r="CW65">
        <f>ROUND(Y65*Source!I125*DO65,9)</f>
        <v>0</v>
      </c>
      <c r="CX65">
        <f>ROUND(Y65*Source!I125,9)</f>
        <v>5.5061999999999998</v>
      </c>
      <c r="CY65">
        <f>AB65</f>
        <v>7.29</v>
      </c>
      <c r="CZ65">
        <f>AF65</f>
        <v>7.29</v>
      </c>
      <c r="DA65">
        <f>AJ65</f>
        <v>1</v>
      </c>
      <c r="DB65">
        <f t="shared" si="27"/>
        <v>58.17</v>
      </c>
      <c r="DC65">
        <f t="shared" si="28"/>
        <v>1.92</v>
      </c>
      <c r="DD65" t="s">
        <v>3</v>
      </c>
      <c r="DE65" t="s">
        <v>3</v>
      </c>
      <c r="DF65">
        <f t="shared" ref="DF65:DF96" si="29">ROUND(ROUND(AE65,2)*CX65,2)</f>
        <v>0</v>
      </c>
      <c r="DG65">
        <f t="shared" ref="DG65:DG96" si="30">ROUND(ROUND(AF65,2)*CX65,2)</f>
        <v>40.14</v>
      </c>
      <c r="DH65">
        <f t="shared" ref="DH65:DH96" si="31">ROUND(ROUND(AG65,2)*CX65,2)</f>
        <v>1.32</v>
      </c>
      <c r="DI65">
        <f t="shared" ref="DI65:DI96" si="32">ROUND(ROUND(AH65,2)*CX65,2)</f>
        <v>0</v>
      </c>
      <c r="DJ65">
        <f>DG65</f>
        <v>40.14</v>
      </c>
      <c r="DK65">
        <v>0</v>
      </c>
      <c r="DL65" t="s">
        <v>3</v>
      </c>
      <c r="DM65">
        <v>0</v>
      </c>
      <c r="DN65" t="s">
        <v>3</v>
      </c>
      <c r="DO65">
        <v>0</v>
      </c>
    </row>
    <row r="66" spans="1:119" x14ac:dyDescent="0.2">
      <c r="A66">
        <f>ROW(Source!A125)</f>
        <v>125</v>
      </c>
      <c r="B66">
        <v>78131199</v>
      </c>
      <c r="C66">
        <v>78131026</v>
      </c>
      <c r="D66">
        <v>77808724</v>
      </c>
      <c r="E66">
        <v>1</v>
      </c>
      <c r="F66">
        <v>1</v>
      </c>
      <c r="G66">
        <v>37</v>
      </c>
      <c r="H66">
        <v>3</v>
      </c>
      <c r="I66" t="s">
        <v>301</v>
      </c>
      <c r="J66" t="s">
        <v>302</v>
      </c>
      <c r="K66" t="s">
        <v>303</v>
      </c>
      <c r="L66">
        <v>1339</v>
      </c>
      <c r="N66">
        <v>1007</v>
      </c>
      <c r="O66" t="s">
        <v>281</v>
      </c>
      <c r="P66" t="s">
        <v>281</v>
      </c>
      <c r="Q66">
        <v>1</v>
      </c>
      <c r="W66">
        <v>0</v>
      </c>
      <c r="X66">
        <v>622145326</v>
      </c>
      <c r="Y66">
        <f t="shared" si="26"/>
        <v>1.52</v>
      </c>
      <c r="AA66">
        <v>89.3</v>
      </c>
      <c r="AB66">
        <v>0</v>
      </c>
      <c r="AC66">
        <v>0</v>
      </c>
      <c r="AD66">
        <v>0</v>
      </c>
      <c r="AE66">
        <v>89.3</v>
      </c>
      <c r="AF66">
        <v>0</v>
      </c>
      <c r="AG66">
        <v>0</v>
      </c>
      <c r="AH66">
        <v>0</v>
      </c>
      <c r="AI66">
        <v>1</v>
      </c>
      <c r="AJ66">
        <v>1</v>
      </c>
      <c r="AK66">
        <v>1</v>
      </c>
      <c r="AL66">
        <v>1</v>
      </c>
      <c r="AM66">
        <v>-2</v>
      </c>
      <c r="AN66">
        <v>0</v>
      </c>
      <c r="AO66">
        <v>1</v>
      </c>
      <c r="AP66">
        <v>0</v>
      </c>
      <c r="AQ66">
        <v>0</v>
      </c>
      <c r="AR66">
        <v>0</v>
      </c>
      <c r="AS66" t="s">
        <v>3</v>
      </c>
      <c r="AT66">
        <v>1.52</v>
      </c>
      <c r="AU66" t="s">
        <v>3</v>
      </c>
      <c r="AV66">
        <v>0</v>
      </c>
      <c r="AW66">
        <v>2</v>
      </c>
      <c r="AX66">
        <v>78131258</v>
      </c>
      <c r="AY66">
        <v>1</v>
      </c>
      <c r="AZ66">
        <v>0</v>
      </c>
      <c r="BA66">
        <v>60</v>
      </c>
      <c r="BB66">
        <v>0</v>
      </c>
      <c r="BC66">
        <v>0</v>
      </c>
      <c r="BD66">
        <v>0</v>
      </c>
      <c r="BE66">
        <v>0</v>
      </c>
      <c r="BF66">
        <v>0</v>
      </c>
      <c r="BG66">
        <v>0</v>
      </c>
      <c r="BH66">
        <v>0</v>
      </c>
      <c r="BI66">
        <v>0</v>
      </c>
      <c r="BJ66">
        <v>0</v>
      </c>
      <c r="BK66">
        <v>0</v>
      </c>
      <c r="BL66">
        <v>0</v>
      </c>
      <c r="BM66">
        <v>0</v>
      </c>
      <c r="BN66">
        <v>0</v>
      </c>
      <c r="BO66">
        <v>0</v>
      </c>
      <c r="BP66">
        <v>0</v>
      </c>
      <c r="BQ66">
        <v>0</v>
      </c>
      <c r="BR66">
        <v>0</v>
      </c>
      <c r="BS66">
        <v>0</v>
      </c>
      <c r="BT66">
        <v>0</v>
      </c>
      <c r="BU66">
        <v>0</v>
      </c>
      <c r="BV66">
        <v>0</v>
      </c>
      <c r="BW66">
        <v>0</v>
      </c>
      <c r="CV66">
        <v>0</v>
      </c>
      <c r="CW66">
        <v>0</v>
      </c>
      <c r="CX66">
        <f>ROUND(Y66*Source!I125,9)</f>
        <v>1.0488</v>
      </c>
      <c r="CY66">
        <f>AA66</f>
        <v>89.3</v>
      </c>
      <c r="CZ66">
        <f>AE66</f>
        <v>89.3</v>
      </c>
      <c r="DA66">
        <f>AI66</f>
        <v>1</v>
      </c>
      <c r="DB66">
        <f t="shared" si="27"/>
        <v>135.74</v>
      </c>
      <c r="DC66">
        <f t="shared" si="28"/>
        <v>0</v>
      </c>
      <c r="DD66" t="s">
        <v>3</v>
      </c>
      <c r="DE66" t="s">
        <v>3</v>
      </c>
      <c r="DF66">
        <f t="shared" si="29"/>
        <v>93.66</v>
      </c>
      <c r="DG66">
        <f t="shared" si="30"/>
        <v>0</v>
      </c>
      <c r="DH66">
        <f t="shared" si="31"/>
        <v>0</v>
      </c>
      <c r="DI66">
        <f t="shared" si="32"/>
        <v>0</v>
      </c>
      <c r="DJ66">
        <f>DF66</f>
        <v>93.66</v>
      </c>
      <c r="DK66">
        <v>0</v>
      </c>
      <c r="DL66" t="s">
        <v>3</v>
      </c>
      <c r="DM66">
        <v>0</v>
      </c>
      <c r="DN66" t="s">
        <v>3</v>
      </c>
      <c r="DO66">
        <v>0</v>
      </c>
    </row>
    <row r="67" spans="1:119" x14ac:dyDescent="0.2">
      <c r="A67">
        <f>ROW(Source!A125)</f>
        <v>125</v>
      </c>
      <c r="B67">
        <v>78131199</v>
      </c>
      <c r="C67">
        <v>78131026</v>
      </c>
      <c r="D67">
        <v>77808716</v>
      </c>
      <c r="E67">
        <v>1</v>
      </c>
      <c r="F67">
        <v>1</v>
      </c>
      <c r="G67">
        <v>37</v>
      </c>
      <c r="H67">
        <v>3</v>
      </c>
      <c r="I67" t="s">
        <v>304</v>
      </c>
      <c r="J67" t="s">
        <v>305</v>
      </c>
      <c r="K67" t="s">
        <v>306</v>
      </c>
      <c r="L67">
        <v>1339</v>
      </c>
      <c r="N67">
        <v>1007</v>
      </c>
      <c r="O67" t="s">
        <v>281</v>
      </c>
      <c r="P67" t="s">
        <v>281</v>
      </c>
      <c r="Q67">
        <v>1</v>
      </c>
      <c r="W67">
        <v>0</v>
      </c>
      <c r="X67">
        <v>1431951903</v>
      </c>
      <c r="Y67">
        <f t="shared" si="26"/>
        <v>0.33</v>
      </c>
      <c r="AA67">
        <v>698.15</v>
      </c>
      <c r="AB67">
        <v>0</v>
      </c>
      <c r="AC67">
        <v>0</v>
      </c>
      <c r="AD67">
        <v>0</v>
      </c>
      <c r="AE67">
        <v>698.15</v>
      </c>
      <c r="AF67">
        <v>0</v>
      </c>
      <c r="AG67">
        <v>0</v>
      </c>
      <c r="AH67">
        <v>0</v>
      </c>
      <c r="AI67">
        <v>1</v>
      </c>
      <c r="AJ67">
        <v>1</v>
      </c>
      <c r="AK67">
        <v>1</v>
      </c>
      <c r="AL67">
        <v>1</v>
      </c>
      <c r="AM67">
        <v>-2</v>
      </c>
      <c r="AN67">
        <v>0</v>
      </c>
      <c r="AO67">
        <v>1</v>
      </c>
      <c r="AP67">
        <v>0</v>
      </c>
      <c r="AQ67">
        <v>0</v>
      </c>
      <c r="AR67">
        <v>0</v>
      </c>
      <c r="AS67" t="s">
        <v>3</v>
      </c>
      <c r="AT67">
        <v>0.33</v>
      </c>
      <c r="AU67" t="s">
        <v>3</v>
      </c>
      <c r="AV67">
        <v>0</v>
      </c>
      <c r="AW67">
        <v>2</v>
      </c>
      <c r="AX67">
        <v>78131259</v>
      </c>
      <c r="AY67">
        <v>1</v>
      </c>
      <c r="AZ67">
        <v>0</v>
      </c>
      <c r="BA67">
        <v>61</v>
      </c>
      <c r="BB67">
        <v>0</v>
      </c>
      <c r="BC67">
        <v>0</v>
      </c>
      <c r="BD67">
        <v>0</v>
      </c>
      <c r="BE67">
        <v>0</v>
      </c>
      <c r="BF67">
        <v>0</v>
      </c>
      <c r="BG67">
        <v>0</v>
      </c>
      <c r="BH67">
        <v>0</v>
      </c>
      <c r="BI67">
        <v>0</v>
      </c>
      <c r="BJ67">
        <v>0</v>
      </c>
      <c r="BK67">
        <v>0</v>
      </c>
      <c r="BL67">
        <v>0</v>
      </c>
      <c r="BM67">
        <v>0</v>
      </c>
      <c r="BN67">
        <v>0</v>
      </c>
      <c r="BO67">
        <v>0</v>
      </c>
      <c r="BP67">
        <v>0</v>
      </c>
      <c r="BQ67">
        <v>0</v>
      </c>
      <c r="BR67">
        <v>0</v>
      </c>
      <c r="BS67">
        <v>0</v>
      </c>
      <c r="BT67">
        <v>0</v>
      </c>
      <c r="BU67">
        <v>0</v>
      </c>
      <c r="BV67">
        <v>0</v>
      </c>
      <c r="BW67">
        <v>0</v>
      </c>
      <c r="CV67">
        <v>0</v>
      </c>
      <c r="CW67">
        <v>0</v>
      </c>
      <c r="CX67">
        <f>ROUND(Y67*Source!I125,9)</f>
        <v>0.22770000000000001</v>
      </c>
      <c r="CY67">
        <f>AA67</f>
        <v>698.15</v>
      </c>
      <c r="CZ67">
        <f>AE67</f>
        <v>698.15</v>
      </c>
      <c r="DA67">
        <f>AI67</f>
        <v>1</v>
      </c>
      <c r="DB67">
        <f t="shared" si="27"/>
        <v>230.39</v>
      </c>
      <c r="DC67">
        <f t="shared" si="28"/>
        <v>0</v>
      </c>
      <c r="DD67" t="s">
        <v>3</v>
      </c>
      <c r="DE67" t="s">
        <v>3</v>
      </c>
      <c r="DF67">
        <f t="shared" si="29"/>
        <v>158.97</v>
      </c>
      <c r="DG67">
        <f t="shared" si="30"/>
        <v>0</v>
      </c>
      <c r="DH67">
        <f t="shared" si="31"/>
        <v>0</v>
      </c>
      <c r="DI67">
        <f t="shared" si="32"/>
        <v>0</v>
      </c>
      <c r="DJ67">
        <f>DF67</f>
        <v>158.97</v>
      </c>
      <c r="DK67">
        <v>0</v>
      </c>
      <c r="DL67" t="s">
        <v>3</v>
      </c>
      <c r="DM67">
        <v>0</v>
      </c>
      <c r="DN67" t="s">
        <v>3</v>
      </c>
      <c r="DO67">
        <v>0</v>
      </c>
    </row>
    <row r="68" spans="1:119" x14ac:dyDescent="0.2">
      <c r="A68">
        <f>ROW(Source!A126)</f>
        <v>126</v>
      </c>
      <c r="B68">
        <v>78131199</v>
      </c>
      <c r="C68">
        <v>78131403</v>
      </c>
      <c r="D68">
        <v>77806460</v>
      </c>
      <c r="E68">
        <v>37</v>
      </c>
      <c r="F68">
        <v>1</v>
      </c>
      <c r="G68">
        <v>37</v>
      </c>
      <c r="H68">
        <v>1</v>
      </c>
      <c r="I68" t="s">
        <v>254</v>
      </c>
      <c r="J68" t="s">
        <v>3</v>
      </c>
      <c r="K68" t="s">
        <v>255</v>
      </c>
      <c r="L68">
        <v>1191</v>
      </c>
      <c r="N68">
        <v>1013</v>
      </c>
      <c r="O68" t="s">
        <v>256</v>
      </c>
      <c r="P68" t="s">
        <v>256</v>
      </c>
      <c r="Q68">
        <v>1</v>
      </c>
      <c r="W68">
        <v>0</v>
      </c>
      <c r="X68">
        <v>476480486</v>
      </c>
      <c r="Y68">
        <f t="shared" si="26"/>
        <v>63.6</v>
      </c>
      <c r="AA68">
        <v>0</v>
      </c>
      <c r="AB68">
        <v>0</v>
      </c>
      <c r="AC68">
        <v>0</v>
      </c>
      <c r="AD68">
        <v>0</v>
      </c>
      <c r="AE68">
        <v>0</v>
      </c>
      <c r="AF68">
        <v>0</v>
      </c>
      <c r="AG68">
        <v>0</v>
      </c>
      <c r="AH68">
        <v>0</v>
      </c>
      <c r="AI68">
        <v>1</v>
      </c>
      <c r="AJ68">
        <v>1</v>
      </c>
      <c r="AK68">
        <v>1</v>
      </c>
      <c r="AL68">
        <v>1</v>
      </c>
      <c r="AM68">
        <v>-2</v>
      </c>
      <c r="AN68">
        <v>0</v>
      </c>
      <c r="AO68">
        <v>1</v>
      </c>
      <c r="AP68">
        <v>1</v>
      </c>
      <c r="AQ68">
        <v>0</v>
      </c>
      <c r="AR68">
        <v>0</v>
      </c>
      <c r="AS68" t="s">
        <v>3</v>
      </c>
      <c r="AT68">
        <v>63.6</v>
      </c>
      <c r="AU68" t="s">
        <v>3</v>
      </c>
      <c r="AV68">
        <v>1</v>
      </c>
      <c r="AW68">
        <v>2</v>
      </c>
      <c r="AX68">
        <v>78131404</v>
      </c>
      <c r="AY68">
        <v>1</v>
      </c>
      <c r="AZ68">
        <v>0</v>
      </c>
      <c r="BA68">
        <v>62</v>
      </c>
      <c r="BB68">
        <v>0</v>
      </c>
      <c r="BC68">
        <v>0</v>
      </c>
      <c r="BD68">
        <v>0</v>
      </c>
      <c r="BE68">
        <v>0</v>
      </c>
      <c r="BF68">
        <v>0</v>
      </c>
      <c r="BG68">
        <v>0</v>
      </c>
      <c r="BH68">
        <v>0</v>
      </c>
      <c r="BI68">
        <v>0</v>
      </c>
      <c r="BJ68">
        <v>0</v>
      </c>
      <c r="BK68">
        <v>0</v>
      </c>
      <c r="BL68">
        <v>0</v>
      </c>
      <c r="BM68">
        <v>0</v>
      </c>
      <c r="BN68">
        <v>0</v>
      </c>
      <c r="BO68">
        <v>0</v>
      </c>
      <c r="BP68">
        <v>0</v>
      </c>
      <c r="BQ68">
        <v>0</v>
      </c>
      <c r="BR68">
        <v>0</v>
      </c>
      <c r="BS68">
        <v>0</v>
      </c>
      <c r="BT68">
        <v>0</v>
      </c>
      <c r="BU68">
        <v>0</v>
      </c>
      <c r="BV68">
        <v>0</v>
      </c>
      <c r="BW68">
        <v>0</v>
      </c>
      <c r="CU68">
        <f>ROUND(AT68*Source!I126*AH68*AL68,2)</f>
        <v>0</v>
      </c>
      <c r="CV68">
        <f>ROUND(Y68*Source!I126,9)</f>
        <v>40.067999999999998</v>
      </c>
      <c r="CW68">
        <v>0</v>
      </c>
      <c r="CX68">
        <f>ROUND(Y68*Source!I126,9)</f>
        <v>40.067999999999998</v>
      </c>
      <c r="CY68">
        <f>AD68</f>
        <v>0</v>
      </c>
      <c r="CZ68">
        <f>AH68</f>
        <v>0</v>
      </c>
      <c r="DA68">
        <f>AL68</f>
        <v>1</v>
      </c>
      <c r="DB68">
        <f t="shared" si="27"/>
        <v>0</v>
      </c>
      <c r="DC68">
        <f t="shared" si="28"/>
        <v>0</v>
      </c>
      <c r="DD68" t="s">
        <v>3</v>
      </c>
      <c r="DE68" t="s">
        <v>3</v>
      </c>
      <c r="DF68">
        <f t="shared" si="29"/>
        <v>0</v>
      </c>
      <c r="DG68">
        <f t="shared" si="30"/>
        <v>0</v>
      </c>
      <c r="DH68">
        <f t="shared" si="31"/>
        <v>0</v>
      </c>
      <c r="DI68">
        <f t="shared" si="32"/>
        <v>0</v>
      </c>
      <c r="DJ68">
        <f>DI68</f>
        <v>0</v>
      </c>
      <c r="DK68">
        <v>0</v>
      </c>
      <c r="DL68" t="s">
        <v>3</v>
      </c>
      <c r="DM68">
        <v>0</v>
      </c>
      <c r="DN68" t="s">
        <v>3</v>
      </c>
      <c r="DO68">
        <v>0</v>
      </c>
    </row>
    <row r="69" spans="1:119" x14ac:dyDescent="0.2">
      <c r="A69">
        <f>ROW(Source!A126)</f>
        <v>126</v>
      </c>
      <c r="B69">
        <v>78131199</v>
      </c>
      <c r="C69">
        <v>78131403</v>
      </c>
      <c r="D69">
        <v>77807927</v>
      </c>
      <c r="E69">
        <v>1</v>
      </c>
      <c r="F69">
        <v>1</v>
      </c>
      <c r="G69">
        <v>37</v>
      </c>
      <c r="H69">
        <v>2</v>
      </c>
      <c r="I69" t="s">
        <v>324</v>
      </c>
      <c r="J69" t="s">
        <v>325</v>
      </c>
      <c r="K69" t="s">
        <v>326</v>
      </c>
      <c r="L69">
        <v>1368</v>
      </c>
      <c r="N69">
        <v>1011</v>
      </c>
      <c r="O69" t="s">
        <v>260</v>
      </c>
      <c r="P69" t="s">
        <v>260</v>
      </c>
      <c r="Q69">
        <v>1</v>
      </c>
      <c r="W69">
        <v>0</v>
      </c>
      <c r="X69">
        <v>-165772356</v>
      </c>
      <c r="Y69">
        <f t="shared" si="26"/>
        <v>20.75</v>
      </c>
      <c r="AA69">
        <v>0</v>
      </c>
      <c r="AB69">
        <v>7.29</v>
      </c>
      <c r="AC69">
        <v>0.24</v>
      </c>
      <c r="AD69">
        <v>0</v>
      </c>
      <c r="AE69">
        <v>0</v>
      </c>
      <c r="AF69">
        <v>7.29</v>
      </c>
      <c r="AG69">
        <v>0.24</v>
      </c>
      <c r="AH69">
        <v>0</v>
      </c>
      <c r="AI69">
        <v>1</v>
      </c>
      <c r="AJ69">
        <v>1</v>
      </c>
      <c r="AK69">
        <v>1</v>
      </c>
      <c r="AL69">
        <v>1</v>
      </c>
      <c r="AM69">
        <v>-2</v>
      </c>
      <c r="AN69">
        <v>0</v>
      </c>
      <c r="AO69">
        <v>1</v>
      </c>
      <c r="AP69">
        <v>1</v>
      </c>
      <c r="AQ69">
        <v>0</v>
      </c>
      <c r="AR69">
        <v>0</v>
      </c>
      <c r="AS69" t="s">
        <v>3</v>
      </c>
      <c r="AT69">
        <v>20.75</v>
      </c>
      <c r="AU69" t="s">
        <v>3</v>
      </c>
      <c r="AV69">
        <v>0</v>
      </c>
      <c r="AW69">
        <v>2</v>
      </c>
      <c r="AX69">
        <v>78131405</v>
      </c>
      <c r="AY69">
        <v>1</v>
      </c>
      <c r="AZ69">
        <v>0</v>
      </c>
      <c r="BA69">
        <v>63</v>
      </c>
      <c r="BB69">
        <v>0</v>
      </c>
      <c r="BC69">
        <v>0</v>
      </c>
      <c r="BD69">
        <v>0</v>
      </c>
      <c r="BE69">
        <v>0</v>
      </c>
      <c r="BF69">
        <v>0</v>
      </c>
      <c r="BG69">
        <v>0</v>
      </c>
      <c r="BH69">
        <v>0</v>
      </c>
      <c r="BI69">
        <v>0</v>
      </c>
      <c r="BJ69">
        <v>0</v>
      </c>
      <c r="BK69">
        <v>0</v>
      </c>
      <c r="BL69">
        <v>0</v>
      </c>
      <c r="BM69">
        <v>0</v>
      </c>
      <c r="BN69">
        <v>0</v>
      </c>
      <c r="BO69">
        <v>0</v>
      </c>
      <c r="BP69">
        <v>0</v>
      </c>
      <c r="BQ69">
        <v>0</v>
      </c>
      <c r="BR69">
        <v>0</v>
      </c>
      <c r="BS69">
        <v>0</v>
      </c>
      <c r="BT69">
        <v>0</v>
      </c>
      <c r="BU69">
        <v>0</v>
      </c>
      <c r="BV69">
        <v>0</v>
      </c>
      <c r="BW69">
        <v>0</v>
      </c>
      <c r="CV69">
        <v>0</v>
      </c>
      <c r="CW69">
        <f>ROUND(Y69*Source!I126*DO69,9)</f>
        <v>0</v>
      </c>
      <c r="CX69">
        <f>ROUND(Y69*Source!I126,9)</f>
        <v>13.0725</v>
      </c>
      <c r="CY69">
        <f>AB69</f>
        <v>7.29</v>
      </c>
      <c r="CZ69">
        <f>AF69</f>
        <v>7.29</v>
      </c>
      <c r="DA69">
        <f>AJ69</f>
        <v>1</v>
      </c>
      <c r="DB69">
        <f t="shared" si="27"/>
        <v>151.27000000000001</v>
      </c>
      <c r="DC69">
        <f t="shared" si="28"/>
        <v>4.9800000000000004</v>
      </c>
      <c r="DD69" t="s">
        <v>3</v>
      </c>
      <c r="DE69" t="s">
        <v>3</v>
      </c>
      <c r="DF69">
        <f t="shared" si="29"/>
        <v>0</v>
      </c>
      <c r="DG69">
        <f t="shared" si="30"/>
        <v>95.3</v>
      </c>
      <c r="DH69">
        <f t="shared" si="31"/>
        <v>3.14</v>
      </c>
      <c r="DI69">
        <f t="shared" si="32"/>
        <v>0</v>
      </c>
      <c r="DJ69">
        <f>DG69</f>
        <v>95.3</v>
      </c>
      <c r="DK69">
        <v>0</v>
      </c>
      <c r="DL69" t="s">
        <v>3</v>
      </c>
      <c r="DM69">
        <v>0</v>
      </c>
      <c r="DN69" t="s">
        <v>3</v>
      </c>
      <c r="DO69">
        <v>0</v>
      </c>
    </row>
    <row r="70" spans="1:119" x14ac:dyDescent="0.2">
      <c r="A70">
        <f>ROW(Source!A126)</f>
        <v>126</v>
      </c>
      <c r="B70">
        <v>78131199</v>
      </c>
      <c r="C70">
        <v>78131403</v>
      </c>
      <c r="D70">
        <v>77806705</v>
      </c>
      <c r="E70">
        <v>37</v>
      </c>
      <c r="F70">
        <v>1</v>
      </c>
      <c r="G70">
        <v>37</v>
      </c>
      <c r="H70">
        <v>3</v>
      </c>
      <c r="I70" t="s">
        <v>275</v>
      </c>
      <c r="J70" t="s">
        <v>3</v>
      </c>
      <c r="K70" t="s">
        <v>277</v>
      </c>
      <c r="L70">
        <v>1346</v>
      </c>
      <c r="N70">
        <v>1009</v>
      </c>
      <c r="O70" t="s">
        <v>264</v>
      </c>
      <c r="P70" t="s">
        <v>264</v>
      </c>
      <c r="Q70">
        <v>1</v>
      </c>
      <c r="W70">
        <v>0</v>
      </c>
      <c r="X70">
        <v>-1881013310</v>
      </c>
      <c r="Y70">
        <f t="shared" si="26"/>
        <v>1.66E-2</v>
      </c>
      <c r="AA70">
        <v>67.22</v>
      </c>
      <c r="AB70">
        <v>0</v>
      </c>
      <c r="AC70">
        <v>0</v>
      </c>
      <c r="AD70">
        <v>0</v>
      </c>
      <c r="AE70">
        <v>67.221419999999995</v>
      </c>
      <c r="AF70">
        <v>0</v>
      </c>
      <c r="AG70">
        <v>0</v>
      </c>
      <c r="AH70">
        <v>0</v>
      </c>
      <c r="AI70">
        <v>1</v>
      </c>
      <c r="AJ70">
        <v>1</v>
      </c>
      <c r="AK70">
        <v>1</v>
      </c>
      <c r="AL70">
        <v>1</v>
      </c>
      <c r="AM70">
        <v>-2</v>
      </c>
      <c r="AN70">
        <v>0</v>
      </c>
      <c r="AO70">
        <v>1</v>
      </c>
      <c r="AP70">
        <v>1</v>
      </c>
      <c r="AQ70">
        <v>0</v>
      </c>
      <c r="AR70">
        <v>0</v>
      </c>
      <c r="AS70" t="s">
        <v>3</v>
      </c>
      <c r="AT70">
        <v>1.66E-2</v>
      </c>
      <c r="AU70" t="s">
        <v>3</v>
      </c>
      <c r="AV70">
        <v>0</v>
      </c>
      <c r="AW70">
        <v>2</v>
      </c>
      <c r="AX70">
        <v>78131413</v>
      </c>
      <c r="AY70">
        <v>1</v>
      </c>
      <c r="AZ70">
        <v>0</v>
      </c>
      <c r="BA70">
        <v>65</v>
      </c>
      <c r="BB70">
        <v>0</v>
      </c>
      <c r="BC70">
        <v>0</v>
      </c>
      <c r="BD70">
        <v>0</v>
      </c>
      <c r="BE70">
        <v>0</v>
      </c>
      <c r="BF70">
        <v>0</v>
      </c>
      <c r="BG70">
        <v>0</v>
      </c>
      <c r="BH70">
        <v>0</v>
      </c>
      <c r="BI70">
        <v>0</v>
      </c>
      <c r="BJ70">
        <v>0</v>
      </c>
      <c r="BK70">
        <v>0</v>
      </c>
      <c r="BL70">
        <v>0</v>
      </c>
      <c r="BM70">
        <v>0</v>
      </c>
      <c r="BN70">
        <v>0</v>
      </c>
      <c r="BO70">
        <v>0</v>
      </c>
      <c r="BP70">
        <v>0</v>
      </c>
      <c r="BQ70">
        <v>0</v>
      </c>
      <c r="BR70">
        <v>0</v>
      </c>
      <c r="BS70">
        <v>0</v>
      </c>
      <c r="BT70">
        <v>0</v>
      </c>
      <c r="BU70">
        <v>0</v>
      </c>
      <c r="BV70">
        <v>0</v>
      </c>
      <c r="BW70">
        <v>0</v>
      </c>
      <c r="CV70">
        <v>0</v>
      </c>
      <c r="CW70">
        <v>0</v>
      </c>
      <c r="CX70">
        <f>ROUND(Y70*Source!I126,9)</f>
        <v>1.0458E-2</v>
      </c>
      <c r="CY70">
        <f t="shared" ref="CY70:CY77" si="33">AA70</f>
        <v>67.22</v>
      </c>
      <c r="CZ70">
        <f t="shared" ref="CZ70:CZ77" si="34">AE70</f>
        <v>67.221419999999995</v>
      </c>
      <c r="DA70">
        <f t="shared" ref="DA70:DA77" si="35">AI70</f>
        <v>1</v>
      </c>
      <c r="DB70">
        <f t="shared" si="27"/>
        <v>1.1200000000000001</v>
      </c>
      <c r="DC70">
        <f t="shared" si="28"/>
        <v>0</v>
      </c>
      <c r="DD70" t="s">
        <v>3</v>
      </c>
      <c r="DE70" t="s">
        <v>3</v>
      </c>
      <c r="DF70">
        <f t="shared" si="29"/>
        <v>0.7</v>
      </c>
      <c r="DG70">
        <f t="shared" si="30"/>
        <v>0</v>
      </c>
      <c r="DH70">
        <f t="shared" si="31"/>
        <v>0</v>
      </c>
      <c r="DI70">
        <f t="shared" si="32"/>
        <v>0</v>
      </c>
      <c r="DJ70">
        <f t="shared" ref="DJ70:DJ77" si="36">DF70</f>
        <v>0.7</v>
      </c>
      <c r="DK70">
        <v>0</v>
      </c>
      <c r="DL70" t="s">
        <v>3</v>
      </c>
      <c r="DM70">
        <v>0</v>
      </c>
      <c r="DN70" t="s">
        <v>3</v>
      </c>
      <c r="DO70">
        <v>0</v>
      </c>
    </row>
    <row r="71" spans="1:119" x14ac:dyDescent="0.2">
      <c r="A71">
        <f>ROW(Source!A126)</f>
        <v>126</v>
      </c>
      <c r="B71">
        <v>78131199</v>
      </c>
      <c r="C71">
        <v>78131403</v>
      </c>
      <c r="D71">
        <v>77814373</v>
      </c>
      <c r="E71">
        <v>1</v>
      </c>
      <c r="F71">
        <v>1</v>
      </c>
      <c r="G71">
        <v>37</v>
      </c>
      <c r="H71">
        <v>3</v>
      </c>
      <c r="I71" t="s">
        <v>166</v>
      </c>
      <c r="J71" t="s">
        <v>168</v>
      </c>
      <c r="K71" t="s">
        <v>167</v>
      </c>
      <c r="L71">
        <v>1301</v>
      </c>
      <c r="N71">
        <v>1003</v>
      </c>
      <c r="O71" t="s">
        <v>33</v>
      </c>
      <c r="P71" t="s">
        <v>33</v>
      </c>
      <c r="Q71">
        <v>1</v>
      </c>
      <c r="W71">
        <v>0</v>
      </c>
      <c r="X71">
        <v>1423491498</v>
      </c>
      <c r="Y71">
        <f t="shared" si="26"/>
        <v>100</v>
      </c>
      <c r="AA71">
        <v>765.86</v>
      </c>
      <c r="AB71">
        <v>0</v>
      </c>
      <c r="AC71">
        <v>0</v>
      </c>
      <c r="AD71">
        <v>0</v>
      </c>
      <c r="AE71">
        <v>765.86</v>
      </c>
      <c r="AF71">
        <v>0</v>
      </c>
      <c r="AG71">
        <v>0</v>
      </c>
      <c r="AH71">
        <v>0</v>
      </c>
      <c r="AI71">
        <v>1</v>
      </c>
      <c r="AJ71">
        <v>1</v>
      </c>
      <c r="AK71">
        <v>1</v>
      </c>
      <c r="AL71">
        <v>1</v>
      </c>
      <c r="AM71">
        <v>0</v>
      </c>
      <c r="AN71">
        <v>0</v>
      </c>
      <c r="AO71">
        <v>0</v>
      </c>
      <c r="AP71">
        <v>1</v>
      </c>
      <c r="AQ71">
        <v>0</v>
      </c>
      <c r="AR71">
        <v>0</v>
      </c>
      <c r="AS71" t="s">
        <v>3</v>
      </c>
      <c r="AT71">
        <v>100</v>
      </c>
      <c r="AU71" t="s">
        <v>3</v>
      </c>
      <c r="AV71">
        <v>0</v>
      </c>
      <c r="AW71">
        <v>1</v>
      </c>
      <c r="AX71">
        <v>-1</v>
      </c>
      <c r="AY71">
        <v>0</v>
      </c>
      <c r="AZ71">
        <v>0</v>
      </c>
      <c r="BA71" t="s">
        <v>3</v>
      </c>
      <c r="BB71">
        <v>0</v>
      </c>
      <c r="BC71">
        <v>0</v>
      </c>
      <c r="BD71">
        <v>0</v>
      </c>
      <c r="BE71">
        <v>0</v>
      </c>
      <c r="BF71">
        <v>0</v>
      </c>
      <c r="BG71">
        <v>0</v>
      </c>
      <c r="BH71">
        <v>0</v>
      </c>
      <c r="BI71">
        <v>0</v>
      </c>
      <c r="BJ71">
        <v>0</v>
      </c>
      <c r="BK71">
        <v>0</v>
      </c>
      <c r="BL71">
        <v>0</v>
      </c>
      <c r="BM71">
        <v>0</v>
      </c>
      <c r="BN71">
        <v>0</v>
      </c>
      <c r="BO71">
        <v>0</v>
      </c>
      <c r="BP71">
        <v>0</v>
      </c>
      <c r="BQ71">
        <v>0</v>
      </c>
      <c r="BR71">
        <v>0</v>
      </c>
      <c r="BS71">
        <v>0</v>
      </c>
      <c r="BT71">
        <v>0</v>
      </c>
      <c r="BU71">
        <v>0</v>
      </c>
      <c r="BV71">
        <v>0</v>
      </c>
      <c r="BW71">
        <v>0</v>
      </c>
      <c r="CV71">
        <v>0</v>
      </c>
      <c r="CW71">
        <v>0</v>
      </c>
      <c r="CX71">
        <f>ROUND(Y71*Source!I126,9)</f>
        <v>63</v>
      </c>
      <c r="CY71">
        <f t="shared" si="33"/>
        <v>765.86</v>
      </c>
      <c r="CZ71">
        <f t="shared" si="34"/>
        <v>765.86</v>
      </c>
      <c r="DA71">
        <f t="shared" si="35"/>
        <v>1</v>
      </c>
      <c r="DB71">
        <f t="shared" si="27"/>
        <v>76586</v>
      </c>
      <c r="DC71">
        <f t="shared" si="28"/>
        <v>0</v>
      </c>
      <c r="DD71" t="s">
        <v>3</v>
      </c>
      <c r="DE71" t="s">
        <v>3</v>
      </c>
      <c r="DF71">
        <f t="shared" si="29"/>
        <v>48249.18</v>
      </c>
      <c r="DG71">
        <f t="shared" si="30"/>
        <v>0</v>
      </c>
      <c r="DH71">
        <f t="shared" si="31"/>
        <v>0</v>
      </c>
      <c r="DI71">
        <f t="shared" si="32"/>
        <v>0</v>
      </c>
      <c r="DJ71">
        <f t="shared" si="36"/>
        <v>48249.18</v>
      </c>
      <c r="DK71">
        <v>0</v>
      </c>
      <c r="DL71" t="s">
        <v>3</v>
      </c>
      <c r="DM71">
        <v>0</v>
      </c>
      <c r="DN71" t="s">
        <v>3</v>
      </c>
      <c r="DO71">
        <v>0</v>
      </c>
    </row>
    <row r="72" spans="1:119" x14ac:dyDescent="0.2">
      <c r="A72">
        <f>ROW(Source!A126)</f>
        <v>126</v>
      </c>
      <c r="B72">
        <v>78131199</v>
      </c>
      <c r="C72">
        <v>78131403</v>
      </c>
      <c r="D72">
        <v>77814390</v>
      </c>
      <c r="E72">
        <v>1</v>
      </c>
      <c r="F72">
        <v>1</v>
      </c>
      <c r="G72">
        <v>37</v>
      </c>
      <c r="H72">
        <v>3</v>
      </c>
      <c r="I72" t="s">
        <v>170</v>
      </c>
      <c r="J72" t="s">
        <v>172</v>
      </c>
      <c r="K72" t="s">
        <v>171</v>
      </c>
      <c r="L72">
        <v>1301</v>
      </c>
      <c r="N72">
        <v>1003</v>
      </c>
      <c r="O72" t="s">
        <v>33</v>
      </c>
      <c r="P72" t="s">
        <v>33</v>
      </c>
      <c r="Q72">
        <v>1</v>
      </c>
      <c r="W72">
        <v>1</v>
      </c>
      <c r="X72">
        <v>94505362</v>
      </c>
      <c r="Y72">
        <f t="shared" si="26"/>
        <v>-100</v>
      </c>
      <c r="AA72">
        <v>476.24</v>
      </c>
      <c r="AB72">
        <v>0</v>
      </c>
      <c r="AC72">
        <v>0</v>
      </c>
      <c r="AD72">
        <v>0</v>
      </c>
      <c r="AE72">
        <v>476.24</v>
      </c>
      <c r="AF72">
        <v>0</v>
      </c>
      <c r="AG72">
        <v>0</v>
      </c>
      <c r="AH72">
        <v>0</v>
      </c>
      <c r="AI72">
        <v>1</v>
      </c>
      <c r="AJ72">
        <v>1</v>
      </c>
      <c r="AK72">
        <v>1</v>
      </c>
      <c r="AL72">
        <v>1</v>
      </c>
      <c r="AM72">
        <v>-2</v>
      </c>
      <c r="AN72">
        <v>0</v>
      </c>
      <c r="AO72">
        <v>1</v>
      </c>
      <c r="AP72">
        <v>1</v>
      </c>
      <c r="AQ72">
        <v>0</v>
      </c>
      <c r="AR72">
        <v>0</v>
      </c>
      <c r="AS72" t="s">
        <v>3</v>
      </c>
      <c r="AT72">
        <v>-100</v>
      </c>
      <c r="AU72" t="s">
        <v>3</v>
      </c>
      <c r="AV72">
        <v>0</v>
      </c>
      <c r="AW72">
        <v>2</v>
      </c>
      <c r="AX72">
        <v>78131411</v>
      </c>
      <c r="AY72">
        <v>1</v>
      </c>
      <c r="AZ72">
        <v>6144</v>
      </c>
      <c r="BA72">
        <v>66</v>
      </c>
      <c r="BB72">
        <v>0</v>
      </c>
      <c r="BC72">
        <v>0</v>
      </c>
      <c r="BD72">
        <v>0</v>
      </c>
      <c r="BE72">
        <v>0</v>
      </c>
      <c r="BF72">
        <v>0</v>
      </c>
      <c r="BG72">
        <v>0</v>
      </c>
      <c r="BH72">
        <v>0</v>
      </c>
      <c r="BI72">
        <v>0</v>
      </c>
      <c r="BJ72">
        <v>0</v>
      </c>
      <c r="BK72">
        <v>0</v>
      </c>
      <c r="BL72">
        <v>0</v>
      </c>
      <c r="BM72">
        <v>0</v>
      </c>
      <c r="BN72">
        <v>0</v>
      </c>
      <c r="BO72">
        <v>0</v>
      </c>
      <c r="BP72">
        <v>0</v>
      </c>
      <c r="BQ72">
        <v>0</v>
      </c>
      <c r="BR72">
        <v>0</v>
      </c>
      <c r="BS72">
        <v>0</v>
      </c>
      <c r="BT72">
        <v>0</v>
      </c>
      <c r="BU72">
        <v>0</v>
      </c>
      <c r="BV72">
        <v>0</v>
      </c>
      <c r="BW72">
        <v>0</v>
      </c>
      <c r="CV72">
        <v>0</v>
      </c>
      <c r="CW72">
        <v>0</v>
      </c>
      <c r="CX72">
        <f>ROUND(Y72*Source!I126,9)</f>
        <v>-63</v>
      </c>
      <c r="CY72">
        <f t="shared" si="33"/>
        <v>476.24</v>
      </c>
      <c r="CZ72">
        <f t="shared" si="34"/>
        <v>476.24</v>
      </c>
      <c r="DA72">
        <f t="shared" si="35"/>
        <v>1</v>
      </c>
      <c r="DB72">
        <f t="shared" si="27"/>
        <v>-47624</v>
      </c>
      <c r="DC72">
        <f t="shared" si="28"/>
        <v>0</v>
      </c>
      <c r="DD72" t="s">
        <v>3</v>
      </c>
      <c r="DE72" t="s">
        <v>3</v>
      </c>
      <c r="DF72">
        <f t="shared" si="29"/>
        <v>-30003.119999999999</v>
      </c>
      <c r="DG72">
        <f t="shared" si="30"/>
        <v>0</v>
      </c>
      <c r="DH72">
        <f t="shared" si="31"/>
        <v>0</v>
      </c>
      <c r="DI72">
        <f t="shared" si="32"/>
        <v>0</v>
      </c>
      <c r="DJ72">
        <f t="shared" si="36"/>
        <v>-30003.119999999999</v>
      </c>
      <c r="DK72">
        <v>0</v>
      </c>
      <c r="DL72" t="s">
        <v>3</v>
      </c>
      <c r="DM72">
        <v>0</v>
      </c>
      <c r="DN72" t="s">
        <v>3</v>
      </c>
      <c r="DO72">
        <v>0</v>
      </c>
    </row>
    <row r="73" spans="1:119" x14ac:dyDescent="0.2">
      <c r="A73">
        <f>ROW(Source!A126)</f>
        <v>126</v>
      </c>
      <c r="B73">
        <v>78131199</v>
      </c>
      <c r="C73">
        <v>78131403</v>
      </c>
      <c r="D73">
        <v>77810391</v>
      </c>
      <c r="E73">
        <v>1</v>
      </c>
      <c r="F73">
        <v>1</v>
      </c>
      <c r="G73">
        <v>37</v>
      </c>
      <c r="H73">
        <v>3</v>
      </c>
      <c r="I73" t="s">
        <v>327</v>
      </c>
      <c r="J73" t="s">
        <v>328</v>
      </c>
      <c r="K73" t="s">
        <v>329</v>
      </c>
      <c r="L73">
        <v>1346</v>
      </c>
      <c r="N73">
        <v>1009</v>
      </c>
      <c r="O73" t="s">
        <v>264</v>
      </c>
      <c r="P73" t="s">
        <v>264</v>
      </c>
      <c r="Q73">
        <v>1</v>
      </c>
      <c r="W73">
        <v>0</v>
      </c>
      <c r="X73">
        <v>737612236</v>
      </c>
      <c r="Y73">
        <f t="shared" si="26"/>
        <v>2.9999999999999997E-4</v>
      </c>
      <c r="AA73">
        <v>168.83</v>
      </c>
      <c r="AB73">
        <v>0</v>
      </c>
      <c r="AC73">
        <v>0</v>
      </c>
      <c r="AD73">
        <v>0</v>
      </c>
      <c r="AE73">
        <v>168.83</v>
      </c>
      <c r="AF73">
        <v>0</v>
      </c>
      <c r="AG73">
        <v>0</v>
      </c>
      <c r="AH73">
        <v>0</v>
      </c>
      <c r="AI73">
        <v>1</v>
      </c>
      <c r="AJ73">
        <v>1</v>
      </c>
      <c r="AK73">
        <v>1</v>
      </c>
      <c r="AL73">
        <v>1</v>
      </c>
      <c r="AM73">
        <v>-2</v>
      </c>
      <c r="AN73">
        <v>0</v>
      </c>
      <c r="AO73">
        <v>1</v>
      </c>
      <c r="AP73">
        <v>1</v>
      </c>
      <c r="AQ73">
        <v>0</v>
      </c>
      <c r="AR73">
        <v>0</v>
      </c>
      <c r="AS73" t="s">
        <v>3</v>
      </c>
      <c r="AT73">
        <v>2.9999999999999997E-4</v>
      </c>
      <c r="AU73" t="s">
        <v>3</v>
      </c>
      <c r="AV73">
        <v>0</v>
      </c>
      <c r="AW73">
        <v>2</v>
      </c>
      <c r="AX73">
        <v>78131407</v>
      </c>
      <c r="AY73">
        <v>1</v>
      </c>
      <c r="AZ73">
        <v>0</v>
      </c>
      <c r="BA73">
        <v>67</v>
      </c>
      <c r="BB73">
        <v>0</v>
      </c>
      <c r="BC73">
        <v>0</v>
      </c>
      <c r="BD73">
        <v>0</v>
      </c>
      <c r="BE73">
        <v>0</v>
      </c>
      <c r="BF73">
        <v>0</v>
      </c>
      <c r="BG73">
        <v>0</v>
      </c>
      <c r="BH73">
        <v>0</v>
      </c>
      <c r="BI73">
        <v>0</v>
      </c>
      <c r="BJ73">
        <v>0</v>
      </c>
      <c r="BK73">
        <v>0</v>
      </c>
      <c r="BL73">
        <v>0</v>
      </c>
      <c r="BM73">
        <v>0</v>
      </c>
      <c r="BN73">
        <v>0</v>
      </c>
      <c r="BO73">
        <v>0</v>
      </c>
      <c r="BP73">
        <v>0</v>
      </c>
      <c r="BQ73">
        <v>0</v>
      </c>
      <c r="BR73">
        <v>0</v>
      </c>
      <c r="BS73">
        <v>0</v>
      </c>
      <c r="BT73">
        <v>0</v>
      </c>
      <c r="BU73">
        <v>0</v>
      </c>
      <c r="BV73">
        <v>0</v>
      </c>
      <c r="BW73">
        <v>0</v>
      </c>
      <c r="CV73">
        <v>0</v>
      </c>
      <c r="CW73">
        <v>0</v>
      </c>
      <c r="CX73">
        <f>ROUND(Y73*Source!I126,9)</f>
        <v>1.8900000000000001E-4</v>
      </c>
      <c r="CY73">
        <f t="shared" si="33"/>
        <v>168.83</v>
      </c>
      <c r="CZ73">
        <f t="shared" si="34"/>
        <v>168.83</v>
      </c>
      <c r="DA73">
        <f t="shared" si="35"/>
        <v>1</v>
      </c>
      <c r="DB73">
        <f t="shared" si="27"/>
        <v>0.05</v>
      </c>
      <c r="DC73">
        <f t="shared" si="28"/>
        <v>0</v>
      </c>
      <c r="DD73" t="s">
        <v>3</v>
      </c>
      <c r="DE73" t="s">
        <v>3</v>
      </c>
      <c r="DF73">
        <f t="shared" si="29"/>
        <v>0.03</v>
      </c>
      <c r="DG73">
        <f t="shared" si="30"/>
        <v>0</v>
      </c>
      <c r="DH73">
        <f t="shared" si="31"/>
        <v>0</v>
      </c>
      <c r="DI73">
        <f t="shared" si="32"/>
        <v>0</v>
      </c>
      <c r="DJ73">
        <f t="shared" si="36"/>
        <v>0.03</v>
      </c>
      <c r="DK73">
        <v>0</v>
      </c>
      <c r="DL73" t="s">
        <v>3</v>
      </c>
      <c r="DM73">
        <v>0</v>
      </c>
      <c r="DN73" t="s">
        <v>3</v>
      </c>
      <c r="DO73">
        <v>0</v>
      </c>
    </row>
    <row r="74" spans="1:119" x14ac:dyDescent="0.2">
      <c r="A74">
        <f>ROW(Source!A126)</f>
        <v>126</v>
      </c>
      <c r="B74">
        <v>78131199</v>
      </c>
      <c r="C74">
        <v>78131403</v>
      </c>
      <c r="D74">
        <v>77810520</v>
      </c>
      <c r="E74">
        <v>1</v>
      </c>
      <c r="F74">
        <v>1</v>
      </c>
      <c r="G74">
        <v>37</v>
      </c>
      <c r="H74">
        <v>3</v>
      </c>
      <c r="I74" t="s">
        <v>278</v>
      </c>
      <c r="J74" t="s">
        <v>279</v>
      </c>
      <c r="K74" t="s">
        <v>280</v>
      </c>
      <c r="L74">
        <v>1339</v>
      </c>
      <c r="N74">
        <v>1007</v>
      </c>
      <c r="O74" t="s">
        <v>281</v>
      </c>
      <c r="P74" t="s">
        <v>281</v>
      </c>
      <c r="Q74">
        <v>1</v>
      </c>
      <c r="W74">
        <v>0</v>
      </c>
      <c r="X74">
        <v>-1393929784</v>
      </c>
      <c r="Y74">
        <f t="shared" si="26"/>
        <v>4.6399999999999997</v>
      </c>
      <c r="AA74">
        <v>49.83</v>
      </c>
      <c r="AB74">
        <v>0</v>
      </c>
      <c r="AC74">
        <v>0</v>
      </c>
      <c r="AD74">
        <v>0</v>
      </c>
      <c r="AE74">
        <v>49.83</v>
      </c>
      <c r="AF74">
        <v>0</v>
      </c>
      <c r="AG74">
        <v>0</v>
      </c>
      <c r="AH74">
        <v>0</v>
      </c>
      <c r="AI74">
        <v>1</v>
      </c>
      <c r="AJ74">
        <v>1</v>
      </c>
      <c r="AK74">
        <v>1</v>
      </c>
      <c r="AL74">
        <v>1</v>
      </c>
      <c r="AM74">
        <v>-2</v>
      </c>
      <c r="AN74">
        <v>0</v>
      </c>
      <c r="AO74">
        <v>1</v>
      </c>
      <c r="AP74">
        <v>1</v>
      </c>
      <c r="AQ74">
        <v>0</v>
      </c>
      <c r="AR74">
        <v>0</v>
      </c>
      <c r="AS74" t="s">
        <v>3</v>
      </c>
      <c r="AT74">
        <v>4.6399999999999997</v>
      </c>
      <c r="AU74" t="s">
        <v>3</v>
      </c>
      <c r="AV74">
        <v>0</v>
      </c>
      <c r="AW74">
        <v>2</v>
      </c>
      <c r="AX74">
        <v>78131408</v>
      </c>
      <c r="AY74">
        <v>1</v>
      </c>
      <c r="AZ74">
        <v>0</v>
      </c>
      <c r="BA74">
        <v>68</v>
      </c>
      <c r="BB74">
        <v>0</v>
      </c>
      <c r="BC74">
        <v>0</v>
      </c>
      <c r="BD74">
        <v>0</v>
      </c>
      <c r="BE74">
        <v>0</v>
      </c>
      <c r="BF74">
        <v>0</v>
      </c>
      <c r="BG74">
        <v>0</v>
      </c>
      <c r="BH74">
        <v>0</v>
      </c>
      <c r="BI74">
        <v>0</v>
      </c>
      <c r="BJ74">
        <v>0</v>
      </c>
      <c r="BK74">
        <v>0</v>
      </c>
      <c r="BL74">
        <v>0</v>
      </c>
      <c r="BM74">
        <v>0</v>
      </c>
      <c r="BN74">
        <v>0</v>
      </c>
      <c r="BO74">
        <v>0</v>
      </c>
      <c r="BP74">
        <v>0</v>
      </c>
      <c r="BQ74">
        <v>0</v>
      </c>
      <c r="BR74">
        <v>0</v>
      </c>
      <c r="BS74">
        <v>0</v>
      </c>
      <c r="BT74">
        <v>0</v>
      </c>
      <c r="BU74">
        <v>0</v>
      </c>
      <c r="BV74">
        <v>0</v>
      </c>
      <c r="BW74">
        <v>0</v>
      </c>
      <c r="CV74">
        <v>0</v>
      </c>
      <c r="CW74">
        <v>0</v>
      </c>
      <c r="CX74">
        <f>ROUND(Y74*Source!I126,9)</f>
        <v>2.9232</v>
      </c>
      <c r="CY74">
        <f t="shared" si="33"/>
        <v>49.83</v>
      </c>
      <c r="CZ74">
        <f t="shared" si="34"/>
        <v>49.83</v>
      </c>
      <c r="DA74">
        <f t="shared" si="35"/>
        <v>1</v>
      </c>
      <c r="DB74">
        <f t="shared" si="27"/>
        <v>231.21</v>
      </c>
      <c r="DC74">
        <f t="shared" si="28"/>
        <v>0</v>
      </c>
      <c r="DD74" t="s">
        <v>3</v>
      </c>
      <c r="DE74" t="s">
        <v>3</v>
      </c>
      <c r="DF74">
        <f t="shared" si="29"/>
        <v>145.66</v>
      </c>
      <c r="DG74">
        <f t="shared" si="30"/>
        <v>0</v>
      </c>
      <c r="DH74">
        <f t="shared" si="31"/>
        <v>0</v>
      </c>
      <c r="DI74">
        <f t="shared" si="32"/>
        <v>0</v>
      </c>
      <c r="DJ74">
        <f t="shared" si="36"/>
        <v>145.66</v>
      </c>
      <c r="DK74">
        <v>0</v>
      </c>
      <c r="DL74" t="s">
        <v>3</v>
      </c>
      <c r="DM74">
        <v>0</v>
      </c>
      <c r="DN74" t="s">
        <v>3</v>
      </c>
      <c r="DO74">
        <v>0</v>
      </c>
    </row>
    <row r="75" spans="1:119" x14ac:dyDescent="0.2">
      <c r="A75">
        <f>ROW(Source!A126)</f>
        <v>126</v>
      </c>
      <c r="B75">
        <v>78131199</v>
      </c>
      <c r="C75">
        <v>78131403</v>
      </c>
      <c r="D75">
        <v>77808724</v>
      </c>
      <c r="E75">
        <v>1</v>
      </c>
      <c r="F75">
        <v>1</v>
      </c>
      <c r="G75">
        <v>37</v>
      </c>
      <c r="H75">
        <v>3</v>
      </c>
      <c r="I75" t="s">
        <v>301</v>
      </c>
      <c r="J75" t="s">
        <v>302</v>
      </c>
      <c r="K75" t="s">
        <v>303</v>
      </c>
      <c r="L75">
        <v>1339</v>
      </c>
      <c r="N75">
        <v>1007</v>
      </c>
      <c r="O75" t="s">
        <v>281</v>
      </c>
      <c r="P75" t="s">
        <v>281</v>
      </c>
      <c r="Q75">
        <v>1</v>
      </c>
      <c r="W75">
        <v>0</v>
      </c>
      <c r="X75">
        <v>622145326</v>
      </c>
      <c r="Y75">
        <f t="shared" si="26"/>
        <v>0.45</v>
      </c>
      <c r="AA75">
        <v>89.3</v>
      </c>
      <c r="AB75">
        <v>0</v>
      </c>
      <c r="AC75">
        <v>0</v>
      </c>
      <c r="AD75">
        <v>0</v>
      </c>
      <c r="AE75">
        <v>89.3</v>
      </c>
      <c r="AF75">
        <v>0</v>
      </c>
      <c r="AG75">
        <v>0</v>
      </c>
      <c r="AH75">
        <v>0</v>
      </c>
      <c r="AI75">
        <v>1</v>
      </c>
      <c r="AJ75">
        <v>1</v>
      </c>
      <c r="AK75">
        <v>1</v>
      </c>
      <c r="AL75">
        <v>1</v>
      </c>
      <c r="AM75">
        <v>-2</v>
      </c>
      <c r="AN75">
        <v>0</v>
      </c>
      <c r="AO75">
        <v>1</v>
      </c>
      <c r="AP75">
        <v>1</v>
      </c>
      <c r="AQ75">
        <v>0</v>
      </c>
      <c r="AR75">
        <v>0</v>
      </c>
      <c r="AS75" t="s">
        <v>3</v>
      </c>
      <c r="AT75">
        <v>0.45</v>
      </c>
      <c r="AU75" t="s">
        <v>3</v>
      </c>
      <c r="AV75">
        <v>0</v>
      </c>
      <c r="AW75">
        <v>2</v>
      </c>
      <c r="AX75">
        <v>78131409</v>
      </c>
      <c r="AY75">
        <v>1</v>
      </c>
      <c r="AZ75">
        <v>0</v>
      </c>
      <c r="BA75">
        <v>69</v>
      </c>
      <c r="BB75">
        <v>0</v>
      </c>
      <c r="BC75">
        <v>0</v>
      </c>
      <c r="BD75">
        <v>0</v>
      </c>
      <c r="BE75">
        <v>0</v>
      </c>
      <c r="BF75">
        <v>0</v>
      </c>
      <c r="BG75">
        <v>0</v>
      </c>
      <c r="BH75">
        <v>0</v>
      </c>
      <c r="BI75">
        <v>0</v>
      </c>
      <c r="BJ75">
        <v>0</v>
      </c>
      <c r="BK75">
        <v>0</v>
      </c>
      <c r="BL75">
        <v>0</v>
      </c>
      <c r="BM75">
        <v>0</v>
      </c>
      <c r="BN75">
        <v>0</v>
      </c>
      <c r="BO75">
        <v>0</v>
      </c>
      <c r="BP75">
        <v>0</v>
      </c>
      <c r="BQ75">
        <v>0</v>
      </c>
      <c r="BR75">
        <v>0</v>
      </c>
      <c r="BS75">
        <v>0</v>
      </c>
      <c r="BT75">
        <v>0</v>
      </c>
      <c r="BU75">
        <v>0</v>
      </c>
      <c r="BV75">
        <v>0</v>
      </c>
      <c r="BW75">
        <v>0</v>
      </c>
      <c r="CV75">
        <v>0</v>
      </c>
      <c r="CW75">
        <v>0</v>
      </c>
      <c r="CX75">
        <f>ROUND(Y75*Source!I126,9)</f>
        <v>0.28349999999999997</v>
      </c>
      <c r="CY75">
        <f t="shared" si="33"/>
        <v>89.3</v>
      </c>
      <c r="CZ75">
        <f t="shared" si="34"/>
        <v>89.3</v>
      </c>
      <c r="DA75">
        <f t="shared" si="35"/>
        <v>1</v>
      </c>
      <c r="DB75">
        <f t="shared" si="27"/>
        <v>40.19</v>
      </c>
      <c r="DC75">
        <f t="shared" si="28"/>
        <v>0</v>
      </c>
      <c r="DD75" t="s">
        <v>3</v>
      </c>
      <c r="DE75" t="s">
        <v>3</v>
      </c>
      <c r="DF75">
        <f t="shared" si="29"/>
        <v>25.32</v>
      </c>
      <c r="DG75">
        <f t="shared" si="30"/>
        <v>0</v>
      </c>
      <c r="DH75">
        <f t="shared" si="31"/>
        <v>0</v>
      </c>
      <c r="DI75">
        <f t="shared" si="32"/>
        <v>0</v>
      </c>
      <c r="DJ75">
        <f t="shared" si="36"/>
        <v>25.32</v>
      </c>
      <c r="DK75">
        <v>0</v>
      </c>
      <c r="DL75" t="s">
        <v>3</v>
      </c>
      <c r="DM75">
        <v>0</v>
      </c>
      <c r="DN75" t="s">
        <v>3</v>
      </c>
      <c r="DO75">
        <v>0</v>
      </c>
    </row>
    <row r="76" spans="1:119" x14ac:dyDescent="0.2">
      <c r="A76">
        <f>ROW(Source!A126)</f>
        <v>126</v>
      </c>
      <c r="B76">
        <v>78131199</v>
      </c>
      <c r="C76">
        <v>78131403</v>
      </c>
      <c r="D76">
        <v>77808716</v>
      </c>
      <c r="E76">
        <v>1</v>
      </c>
      <c r="F76">
        <v>1</v>
      </c>
      <c r="G76">
        <v>37</v>
      </c>
      <c r="H76">
        <v>3</v>
      </c>
      <c r="I76" t="s">
        <v>304</v>
      </c>
      <c r="J76" t="s">
        <v>305</v>
      </c>
      <c r="K76" t="s">
        <v>306</v>
      </c>
      <c r="L76">
        <v>1339</v>
      </c>
      <c r="N76">
        <v>1007</v>
      </c>
      <c r="O76" t="s">
        <v>281</v>
      </c>
      <c r="P76" t="s">
        <v>281</v>
      </c>
      <c r="Q76">
        <v>1</v>
      </c>
      <c r="W76">
        <v>0</v>
      </c>
      <c r="X76">
        <v>1431951903</v>
      </c>
      <c r="Y76">
        <f t="shared" si="26"/>
        <v>0.41</v>
      </c>
      <c r="AA76">
        <v>698.15</v>
      </c>
      <c r="AB76">
        <v>0</v>
      </c>
      <c r="AC76">
        <v>0</v>
      </c>
      <c r="AD76">
        <v>0</v>
      </c>
      <c r="AE76">
        <v>698.15</v>
      </c>
      <c r="AF76">
        <v>0</v>
      </c>
      <c r="AG76">
        <v>0</v>
      </c>
      <c r="AH76">
        <v>0</v>
      </c>
      <c r="AI76">
        <v>1</v>
      </c>
      <c r="AJ76">
        <v>1</v>
      </c>
      <c r="AK76">
        <v>1</v>
      </c>
      <c r="AL76">
        <v>1</v>
      </c>
      <c r="AM76">
        <v>-2</v>
      </c>
      <c r="AN76">
        <v>0</v>
      </c>
      <c r="AO76">
        <v>1</v>
      </c>
      <c r="AP76">
        <v>1</v>
      </c>
      <c r="AQ76">
        <v>0</v>
      </c>
      <c r="AR76">
        <v>0</v>
      </c>
      <c r="AS76" t="s">
        <v>3</v>
      </c>
      <c r="AT76">
        <v>0.41</v>
      </c>
      <c r="AU76" t="s">
        <v>3</v>
      </c>
      <c r="AV76">
        <v>0</v>
      </c>
      <c r="AW76">
        <v>2</v>
      </c>
      <c r="AX76">
        <v>78131410</v>
      </c>
      <c r="AY76">
        <v>1</v>
      </c>
      <c r="AZ76">
        <v>0</v>
      </c>
      <c r="BA76">
        <v>70</v>
      </c>
      <c r="BB76">
        <v>0</v>
      </c>
      <c r="BC76">
        <v>0</v>
      </c>
      <c r="BD76">
        <v>0</v>
      </c>
      <c r="BE76">
        <v>0</v>
      </c>
      <c r="BF76">
        <v>0</v>
      </c>
      <c r="BG76">
        <v>0</v>
      </c>
      <c r="BH76">
        <v>0</v>
      </c>
      <c r="BI76">
        <v>0</v>
      </c>
      <c r="BJ76">
        <v>0</v>
      </c>
      <c r="BK76">
        <v>0</v>
      </c>
      <c r="BL76">
        <v>0</v>
      </c>
      <c r="BM76">
        <v>0</v>
      </c>
      <c r="BN76">
        <v>0</v>
      </c>
      <c r="BO76">
        <v>0</v>
      </c>
      <c r="BP76">
        <v>0</v>
      </c>
      <c r="BQ76">
        <v>0</v>
      </c>
      <c r="BR76">
        <v>0</v>
      </c>
      <c r="BS76">
        <v>0</v>
      </c>
      <c r="BT76">
        <v>0</v>
      </c>
      <c r="BU76">
        <v>0</v>
      </c>
      <c r="BV76">
        <v>0</v>
      </c>
      <c r="BW76">
        <v>0</v>
      </c>
      <c r="CV76">
        <v>0</v>
      </c>
      <c r="CW76">
        <v>0</v>
      </c>
      <c r="CX76">
        <f>ROUND(Y76*Source!I126,9)</f>
        <v>0.25829999999999997</v>
      </c>
      <c r="CY76">
        <f t="shared" si="33"/>
        <v>698.15</v>
      </c>
      <c r="CZ76">
        <f t="shared" si="34"/>
        <v>698.15</v>
      </c>
      <c r="DA76">
        <f t="shared" si="35"/>
        <v>1</v>
      </c>
      <c r="DB76">
        <f t="shared" si="27"/>
        <v>286.24</v>
      </c>
      <c r="DC76">
        <f t="shared" si="28"/>
        <v>0</v>
      </c>
      <c r="DD76" t="s">
        <v>3</v>
      </c>
      <c r="DE76" t="s">
        <v>3</v>
      </c>
      <c r="DF76">
        <f t="shared" si="29"/>
        <v>180.33</v>
      </c>
      <c r="DG76">
        <f t="shared" si="30"/>
        <v>0</v>
      </c>
      <c r="DH76">
        <f t="shared" si="31"/>
        <v>0</v>
      </c>
      <c r="DI76">
        <f t="shared" si="32"/>
        <v>0</v>
      </c>
      <c r="DJ76">
        <f t="shared" si="36"/>
        <v>180.33</v>
      </c>
      <c r="DK76">
        <v>0</v>
      </c>
      <c r="DL76" t="s">
        <v>3</v>
      </c>
      <c r="DM76">
        <v>0</v>
      </c>
      <c r="DN76" t="s">
        <v>3</v>
      </c>
      <c r="DO76">
        <v>0</v>
      </c>
    </row>
    <row r="77" spans="1:119" x14ac:dyDescent="0.2">
      <c r="A77">
        <f>ROW(Source!A126)</f>
        <v>126</v>
      </c>
      <c r="B77">
        <v>78131199</v>
      </c>
      <c r="C77">
        <v>78131403</v>
      </c>
      <c r="D77">
        <v>77811604</v>
      </c>
      <c r="E77">
        <v>1</v>
      </c>
      <c r="F77">
        <v>1</v>
      </c>
      <c r="G77">
        <v>37</v>
      </c>
      <c r="H77">
        <v>3</v>
      </c>
      <c r="I77" t="s">
        <v>330</v>
      </c>
      <c r="J77" t="s">
        <v>331</v>
      </c>
      <c r="K77" t="s">
        <v>332</v>
      </c>
      <c r="L77">
        <v>1339</v>
      </c>
      <c r="N77">
        <v>1007</v>
      </c>
      <c r="O77" t="s">
        <v>281</v>
      </c>
      <c r="P77" t="s">
        <v>281</v>
      </c>
      <c r="Q77">
        <v>1</v>
      </c>
      <c r="W77">
        <v>0</v>
      </c>
      <c r="X77">
        <v>2013185010</v>
      </c>
      <c r="Y77">
        <f t="shared" si="26"/>
        <v>7.0000000000000001E-3</v>
      </c>
      <c r="AA77">
        <v>4969.8599999999997</v>
      </c>
      <c r="AB77">
        <v>0</v>
      </c>
      <c r="AC77">
        <v>0</v>
      </c>
      <c r="AD77">
        <v>0</v>
      </c>
      <c r="AE77">
        <v>4969.8599999999997</v>
      </c>
      <c r="AF77">
        <v>0</v>
      </c>
      <c r="AG77">
        <v>0</v>
      </c>
      <c r="AH77">
        <v>0</v>
      </c>
      <c r="AI77">
        <v>1</v>
      </c>
      <c r="AJ77">
        <v>1</v>
      </c>
      <c r="AK77">
        <v>1</v>
      </c>
      <c r="AL77">
        <v>1</v>
      </c>
      <c r="AM77">
        <v>-2</v>
      </c>
      <c r="AN77">
        <v>0</v>
      </c>
      <c r="AO77">
        <v>1</v>
      </c>
      <c r="AP77">
        <v>1</v>
      </c>
      <c r="AQ77">
        <v>0</v>
      </c>
      <c r="AR77">
        <v>0</v>
      </c>
      <c r="AS77" t="s">
        <v>3</v>
      </c>
      <c r="AT77">
        <v>7.0000000000000001E-3</v>
      </c>
      <c r="AU77" t="s">
        <v>3</v>
      </c>
      <c r="AV77">
        <v>0</v>
      </c>
      <c r="AW77">
        <v>2</v>
      </c>
      <c r="AX77">
        <v>78131412</v>
      </c>
      <c r="AY77">
        <v>1</v>
      </c>
      <c r="AZ77">
        <v>0</v>
      </c>
      <c r="BA77">
        <v>71</v>
      </c>
      <c r="BB77">
        <v>0</v>
      </c>
      <c r="BC77">
        <v>0</v>
      </c>
      <c r="BD77">
        <v>0</v>
      </c>
      <c r="BE77">
        <v>0</v>
      </c>
      <c r="BF77">
        <v>0</v>
      </c>
      <c r="BG77">
        <v>0</v>
      </c>
      <c r="BH77">
        <v>0</v>
      </c>
      <c r="BI77">
        <v>0</v>
      </c>
      <c r="BJ77">
        <v>0</v>
      </c>
      <c r="BK77">
        <v>0</v>
      </c>
      <c r="BL77">
        <v>0</v>
      </c>
      <c r="BM77">
        <v>0</v>
      </c>
      <c r="BN77">
        <v>0</v>
      </c>
      <c r="BO77">
        <v>0</v>
      </c>
      <c r="BP77">
        <v>0</v>
      </c>
      <c r="BQ77">
        <v>0</v>
      </c>
      <c r="BR77">
        <v>0</v>
      </c>
      <c r="BS77">
        <v>0</v>
      </c>
      <c r="BT77">
        <v>0</v>
      </c>
      <c r="BU77">
        <v>0</v>
      </c>
      <c r="BV77">
        <v>0</v>
      </c>
      <c r="BW77">
        <v>0</v>
      </c>
      <c r="CV77">
        <v>0</v>
      </c>
      <c r="CW77">
        <v>0</v>
      </c>
      <c r="CX77">
        <f>ROUND(Y77*Source!I126,9)</f>
        <v>4.4099999999999999E-3</v>
      </c>
      <c r="CY77">
        <f t="shared" si="33"/>
        <v>4969.8599999999997</v>
      </c>
      <c r="CZ77">
        <f t="shared" si="34"/>
        <v>4969.8599999999997</v>
      </c>
      <c r="DA77">
        <f t="shared" si="35"/>
        <v>1</v>
      </c>
      <c r="DB77">
        <f t="shared" si="27"/>
        <v>34.79</v>
      </c>
      <c r="DC77">
        <f t="shared" si="28"/>
        <v>0</v>
      </c>
      <c r="DD77" t="s">
        <v>3</v>
      </c>
      <c r="DE77" t="s">
        <v>3</v>
      </c>
      <c r="DF77">
        <f t="shared" si="29"/>
        <v>21.92</v>
      </c>
      <c r="DG77">
        <f t="shared" si="30"/>
        <v>0</v>
      </c>
      <c r="DH77">
        <f t="shared" si="31"/>
        <v>0</v>
      </c>
      <c r="DI77">
        <f t="shared" si="32"/>
        <v>0</v>
      </c>
      <c r="DJ77">
        <f t="shared" si="36"/>
        <v>21.92</v>
      </c>
      <c r="DK77">
        <v>0</v>
      </c>
      <c r="DL77" t="s">
        <v>3</v>
      </c>
      <c r="DM77">
        <v>0</v>
      </c>
      <c r="DN77" t="s">
        <v>3</v>
      </c>
      <c r="DO77">
        <v>0</v>
      </c>
    </row>
    <row r="78" spans="1:119" x14ac:dyDescent="0.2">
      <c r="A78">
        <f>ROW(Source!A129)</f>
        <v>129</v>
      </c>
      <c r="B78">
        <v>78131199</v>
      </c>
      <c r="C78">
        <v>78131415</v>
      </c>
      <c r="D78">
        <v>77806460</v>
      </c>
      <c r="E78">
        <v>37</v>
      </c>
      <c r="F78">
        <v>1</v>
      </c>
      <c r="G78">
        <v>37</v>
      </c>
      <c r="H78">
        <v>1</v>
      </c>
      <c r="I78" t="s">
        <v>254</v>
      </c>
      <c r="J78" t="s">
        <v>3</v>
      </c>
      <c r="K78" t="s">
        <v>255</v>
      </c>
      <c r="L78">
        <v>1191</v>
      </c>
      <c r="N78">
        <v>1013</v>
      </c>
      <c r="O78" t="s">
        <v>256</v>
      </c>
      <c r="P78" t="s">
        <v>256</v>
      </c>
      <c r="Q78">
        <v>1</v>
      </c>
      <c r="W78">
        <v>0</v>
      </c>
      <c r="X78">
        <v>476480486</v>
      </c>
      <c r="Y78">
        <f t="shared" si="26"/>
        <v>83.38</v>
      </c>
      <c r="AA78">
        <v>0</v>
      </c>
      <c r="AB78">
        <v>0</v>
      </c>
      <c r="AC78">
        <v>0</v>
      </c>
      <c r="AD78">
        <v>0</v>
      </c>
      <c r="AE78">
        <v>0</v>
      </c>
      <c r="AF78">
        <v>0</v>
      </c>
      <c r="AG78">
        <v>0</v>
      </c>
      <c r="AH78">
        <v>0</v>
      </c>
      <c r="AI78">
        <v>1</v>
      </c>
      <c r="AJ78">
        <v>1</v>
      </c>
      <c r="AK78">
        <v>1</v>
      </c>
      <c r="AL78">
        <v>1</v>
      </c>
      <c r="AM78">
        <v>-2</v>
      </c>
      <c r="AN78">
        <v>0</v>
      </c>
      <c r="AO78">
        <v>1</v>
      </c>
      <c r="AP78">
        <v>1</v>
      </c>
      <c r="AQ78">
        <v>0</v>
      </c>
      <c r="AR78">
        <v>0</v>
      </c>
      <c r="AS78" t="s">
        <v>3</v>
      </c>
      <c r="AT78">
        <v>83.38</v>
      </c>
      <c r="AU78" t="s">
        <v>3</v>
      </c>
      <c r="AV78">
        <v>1</v>
      </c>
      <c r="AW78">
        <v>2</v>
      </c>
      <c r="AX78">
        <v>78131416</v>
      </c>
      <c r="AY78">
        <v>1</v>
      </c>
      <c r="AZ78">
        <v>0</v>
      </c>
      <c r="BA78">
        <v>72</v>
      </c>
      <c r="BB78">
        <v>0</v>
      </c>
      <c r="BC78">
        <v>0</v>
      </c>
      <c r="BD78">
        <v>0</v>
      </c>
      <c r="BE78">
        <v>0</v>
      </c>
      <c r="BF78">
        <v>0</v>
      </c>
      <c r="BG78">
        <v>0</v>
      </c>
      <c r="BH78">
        <v>0</v>
      </c>
      <c r="BI78">
        <v>0</v>
      </c>
      <c r="BJ78">
        <v>0</v>
      </c>
      <c r="BK78">
        <v>0</v>
      </c>
      <c r="BL78">
        <v>0</v>
      </c>
      <c r="BM78">
        <v>0</v>
      </c>
      <c r="BN78">
        <v>0</v>
      </c>
      <c r="BO78">
        <v>0</v>
      </c>
      <c r="BP78">
        <v>0</v>
      </c>
      <c r="BQ78">
        <v>0</v>
      </c>
      <c r="BR78">
        <v>0</v>
      </c>
      <c r="BS78">
        <v>0</v>
      </c>
      <c r="BT78">
        <v>0</v>
      </c>
      <c r="BU78">
        <v>0</v>
      </c>
      <c r="BV78">
        <v>0</v>
      </c>
      <c r="BW78">
        <v>0</v>
      </c>
      <c r="CU78">
        <f>ROUND(AT78*Source!I129*AH78*AL78,2)</f>
        <v>0</v>
      </c>
      <c r="CV78">
        <f>ROUND(Y78*Source!I129,9)</f>
        <v>57.532200000000003</v>
      </c>
      <c r="CW78">
        <v>0</v>
      </c>
      <c r="CX78">
        <f>ROUND(Y78*Source!I129,9)</f>
        <v>57.532200000000003</v>
      </c>
      <c r="CY78">
        <f>AD78</f>
        <v>0</v>
      </c>
      <c r="CZ78">
        <f>AH78</f>
        <v>0</v>
      </c>
      <c r="DA78">
        <f>AL78</f>
        <v>1</v>
      </c>
      <c r="DB78">
        <f t="shared" si="27"/>
        <v>0</v>
      </c>
      <c r="DC78">
        <f t="shared" si="28"/>
        <v>0</v>
      </c>
      <c r="DD78" t="s">
        <v>3</v>
      </c>
      <c r="DE78" t="s">
        <v>3</v>
      </c>
      <c r="DF78">
        <f t="shared" si="29"/>
        <v>0</v>
      </c>
      <c r="DG78">
        <f t="shared" si="30"/>
        <v>0</v>
      </c>
      <c r="DH78">
        <f t="shared" si="31"/>
        <v>0</v>
      </c>
      <c r="DI78">
        <f t="shared" si="32"/>
        <v>0</v>
      </c>
      <c r="DJ78">
        <f>DI78</f>
        <v>0</v>
      </c>
      <c r="DK78">
        <v>0</v>
      </c>
      <c r="DL78" t="s">
        <v>3</v>
      </c>
      <c r="DM78">
        <v>0</v>
      </c>
      <c r="DN78" t="s">
        <v>3</v>
      </c>
      <c r="DO78">
        <v>0</v>
      </c>
    </row>
    <row r="79" spans="1:119" x14ac:dyDescent="0.2">
      <c r="A79">
        <f>ROW(Source!A129)</f>
        <v>129</v>
      </c>
      <c r="B79">
        <v>78131199</v>
      </c>
      <c r="C79">
        <v>78131415</v>
      </c>
      <c r="D79">
        <v>77807927</v>
      </c>
      <c r="E79">
        <v>1</v>
      </c>
      <c r="F79">
        <v>1</v>
      </c>
      <c r="G79">
        <v>37</v>
      </c>
      <c r="H79">
        <v>2</v>
      </c>
      <c r="I79" t="s">
        <v>324</v>
      </c>
      <c r="J79" t="s">
        <v>325</v>
      </c>
      <c r="K79" t="s">
        <v>326</v>
      </c>
      <c r="L79">
        <v>1368</v>
      </c>
      <c r="N79">
        <v>1011</v>
      </c>
      <c r="O79" t="s">
        <v>260</v>
      </c>
      <c r="P79" t="s">
        <v>260</v>
      </c>
      <c r="Q79">
        <v>1</v>
      </c>
      <c r="W79">
        <v>0</v>
      </c>
      <c r="X79">
        <v>-165772356</v>
      </c>
      <c r="Y79">
        <f t="shared" si="26"/>
        <v>37.619999999999997</v>
      </c>
      <c r="AA79">
        <v>0</v>
      </c>
      <c r="AB79">
        <v>7.29</v>
      </c>
      <c r="AC79">
        <v>0.24</v>
      </c>
      <c r="AD79">
        <v>0</v>
      </c>
      <c r="AE79">
        <v>0</v>
      </c>
      <c r="AF79">
        <v>7.29</v>
      </c>
      <c r="AG79">
        <v>0.24</v>
      </c>
      <c r="AH79">
        <v>0</v>
      </c>
      <c r="AI79">
        <v>1</v>
      </c>
      <c r="AJ79">
        <v>1</v>
      </c>
      <c r="AK79">
        <v>1</v>
      </c>
      <c r="AL79">
        <v>1</v>
      </c>
      <c r="AM79">
        <v>-2</v>
      </c>
      <c r="AN79">
        <v>0</v>
      </c>
      <c r="AO79">
        <v>1</v>
      </c>
      <c r="AP79">
        <v>1</v>
      </c>
      <c r="AQ79">
        <v>0</v>
      </c>
      <c r="AR79">
        <v>0</v>
      </c>
      <c r="AS79" t="s">
        <v>3</v>
      </c>
      <c r="AT79">
        <v>37.619999999999997</v>
      </c>
      <c r="AU79" t="s">
        <v>3</v>
      </c>
      <c r="AV79">
        <v>0</v>
      </c>
      <c r="AW79">
        <v>2</v>
      </c>
      <c r="AX79">
        <v>78131417</v>
      </c>
      <c r="AY79">
        <v>1</v>
      </c>
      <c r="AZ79">
        <v>0</v>
      </c>
      <c r="BA79">
        <v>73</v>
      </c>
      <c r="BB79">
        <v>0</v>
      </c>
      <c r="BC79">
        <v>0</v>
      </c>
      <c r="BD79">
        <v>0</v>
      </c>
      <c r="BE79">
        <v>0</v>
      </c>
      <c r="BF79">
        <v>0</v>
      </c>
      <c r="BG79">
        <v>0</v>
      </c>
      <c r="BH79">
        <v>0</v>
      </c>
      <c r="BI79">
        <v>0</v>
      </c>
      <c r="BJ79">
        <v>0</v>
      </c>
      <c r="BK79">
        <v>0</v>
      </c>
      <c r="BL79">
        <v>0</v>
      </c>
      <c r="BM79">
        <v>0</v>
      </c>
      <c r="BN79">
        <v>0</v>
      </c>
      <c r="BO79">
        <v>0</v>
      </c>
      <c r="BP79">
        <v>0</v>
      </c>
      <c r="BQ79">
        <v>0</v>
      </c>
      <c r="BR79">
        <v>0</v>
      </c>
      <c r="BS79">
        <v>0</v>
      </c>
      <c r="BT79">
        <v>0</v>
      </c>
      <c r="BU79">
        <v>0</v>
      </c>
      <c r="BV79">
        <v>0</v>
      </c>
      <c r="BW79">
        <v>0</v>
      </c>
      <c r="CV79">
        <v>0</v>
      </c>
      <c r="CW79">
        <f>ROUND(Y79*Source!I129*DO79,9)</f>
        <v>0</v>
      </c>
      <c r="CX79">
        <f>ROUND(Y79*Source!I129,9)</f>
        <v>25.957799999999999</v>
      </c>
      <c r="CY79">
        <f>AB79</f>
        <v>7.29</v>
      </c>
      <c r="CZ79">
        <f>AF79</f>
        <v>7.29</v>
      </c>
      <c r="DA79">
        <f>AJ79</f>
        <v>1</v>
      </c>
      <c r="DB79">
        <f t="shared" si="27"/>
        <v>274.25</v>
      </c>
      <c r="DC79">
        <f t="shared" si="28"/>
        <v>9.0299999999999994</v>
      </c>
      <c r="DD79" t="s">
        <v>3</v>
      </c>
      <c r="DE79" t="s">
        <v>3</v>
      </c>
      <c r="DF79">
        <f t="shared" si="29"/>
        <v>0</v>
      </c>
      <c r="DG79">
        <f t="shared" si="30"/>
        <v>189.23</v>
      </c>
      <c r="DH79">
        <f t="shared" si="31"/>
        <v>6.23</v>
      </c>
      <c r="DI79">
        <f t="shared" si="32"/>
        <v>0</v>
      </c>
      <c r="DJ79">
        <f>DG79</f>
        <v>189.23</v>
      </c>
      <c r="DK79">
        <v>0</v>
      </c>
      <c r="DL79" t="s">
        <v>3</v>
      </c>
      <c r="DM79">
        <v>0</v>
      </c>
      <c r="DN79" t="s">
        <v>3</v>
      </c>
      <c r="DO79">
        <v>0</v>
      </c>
    </row>
    <row r="80" spans="1:119" x14ac:dyDescent="0.2">
      <c r="A80">
        <f>ROW(Source!A129)</f>
        <v>129</v>
      </c>
      <c r="B80">
        <v>78131199</v>
      </c>
      <c r="C80">
        <v>78131415</v>
      </c>
      <c r="D80">
        <v>77806705</v>
      </c>
      <c r="E80">
        <v>37</v>
      </c>
      <c r="F80">
        <v>1</v>
      </c>
      <c r="G80">
        <v>37</v>
      </c>
      <c r="H80">
        <v>3</v>
      </c>
      <c r="I80" t="s">
        <v>275</v>
      </c>
      <c r="J80" t="s">
        <v>3</v>
      </c>
      <c r="K80" t="s">
        <v>277</v>
      </c>
      <c r="L80">
        <v>1346</v>
      </c>
      <c r="N80">
        <v>1009</v>
      </c>
      <c r="O80" t="s">
        <v>264</v>
      </c>
      <c r="P80" t="s">
        <v>264</v>
      </c>
      <c r="Q80">
        <v>1</v>
      </c>
      <c r="W80">
        <v>0</v>
      </c>
      <c r="X80">
        <v>-1881013310</v>
      </c>
      <c r="Y80">
        <f t="shared" si="26"/>
        <v>2.5100000000000001E-2</v>
      </c>
      <c r="AA80">
        <v>67.22</v>
      </c>
      <c r="AB80">
        <v>0</v>
      </c>
      <c r="AC80">
        <v>0</v>
      </c>
      <c r="AD80">
        <v>0</v>
      </c>
      <c r="AE80">
        <v>67.221419999999995</v>
      </c>
      <c r="AF80">
        <v>0</v>
      </c>
      <c r="AG80">
        <v>0</v>
      </c>
      <c r="AH80">
        <v>0</v>
      </c>
      <c r="AI80">
        <v>1</v>
      </c>
      <c r="AJ80">
        <v>1</v>
      </c>
      <c r="AK80">
        <v>1</v>
      </c>
      <c r="AL80">
        <v>1</v>
      </c>
      <c r="AM80">
        <v>-2</v>
      </c>
      <c r="AN80">
        <v>0</v>
      </c>
      <c r="AO80">
        <v>1</v>
      </c>
      <c r="AP80">
        <v>1</v>
      </c>
      <c r="AQ80">
        <v>0</v>
      </c>
      <c r="AR80">
        <v>0</v>
      </c>
      <c r="AS80" t="s">
        <v>3</v>
      </c>
      <c r="AT80">
        <v>2.5100000000000001E-2</v>
      </c>
      <c r="AU80" t="s">
        <v>3</v>
      </c>
      <c r="AV80">
        <v>0</v>
      </c>
      <c r="AW80">
        <v>2</v>
      </c>
      <c r="AX80">
        <v>78131425</v>
      </c>
      <c r="AY80">
        <v>1</v>
      </c>
      <c r="AZ80">
        <v>0</v>
      </c>
      <c r="BA80">
        <v>75</v>
      </c>
      <c r="BB80">
        <v>0</v>
      </c>
      <c r="BC80">
        <v>0</v>
      </c>
      <c r="BD80">
        <v>0</v>
      </c>
      <c r="BE80">
        <v>0</v>
      </c>
      <c r="BF80">
        <v>0</v>
      </c>
      <c r="BG80">
        <v>0</v>
      </c>
      <c r="BH80">
        <v>0</v>
      </c>
      <c r="BI80">
        <v>0</v>
      </c>
      <c r="BJ80">
        <v>0</v>
      </c>
      <c r="BK80">
        <v>0</v>
      </c>
      <c r="BL80">
        <v>0</v>
      </c>
      <c r="BM80">
        <v>0</v>
      </c>
      <c r="BN80">
        <v>0</v>
      </c>
      <c r="BO80">
        <v>0</v>
      </c>
      <c r="BP80">
        <v>0</v>
      </c>
      <c r="BQ80">
        <v>0</v>
      </c>
      <c r="BR80">
        <v>0</v>
      </c>
      <c r="BS80">
        <v>0</v>
      </c>
      <c r="BT80">
        <v>0</v>
      </c>
      <c r="BU80">
        <v>0</v>
      </c>
      <c r="BV80">
        <v>0</v>
      </c>
      <c r="BW80">
        <v>0</v>
      </c>
      <c r="CV80">
        <v>0</v>
      </c>
      <c r="CW80">
        <v>0</v>
      </c>
      <c r="CX80">
        <f>ROUND(Y80*Source!I129,9)</f>
        <v>1.7319000000000001E-2</v>
      </c>
      <c r="CY80">
        <f t="shared" ref="CY80:CY87" si="37">AA80</f>
        <v>67.22</v>
      </c>
      <c r="CZ80">
        <f t="shared" ref="CZ80:CZ87" si="38">AE80</f>
        <v>67.221419999999995</v>
      </c>
      <c r="DA80">
        <f t="shared" ref="DA80:DA87" si="39">AI80</f>
        <v>1</v>
      </c>
      <c r="DB80">
        <f t="shared" si="27"/>
        <v>1.69</v>
      </c>
      <c r="DC80">
        <f t="shared" si="28"/>
        <v>0</v>
      </c>
      <c r="DD80" t="s">
        <v>3</v>
      </c>
      <c r="DE80" t="s">
        <v>3</v>
      </c>
      <c r="DF80">
        <f t="shared" si="29"/>
        <v>1.1599999999999999</v>
      </c>
      <c r="DG80">
        <f t="shared" si="30"/>
        <v>0</v>
      </c>
      <c r="DH80">
        <f t="shared" si="31"/>
        <v>0</v>
      </c>
      <c r="DI80">
        <f t="shared" si="32"/>
        <v>0</v>
      </c>
      <c r="DJ80">
        <f t="shared" ref="DJ80:DJ87" si="40">DF80</f>
        <v>1.1599999999999999</v>
      </c>
      <c r="DK80">
        <v>0</v>
      </c>
      <c r="DL80" t="s">
        <v>3</v>
      </c>
      <c r="DM80">
        <v>0</v>
      </c>
      <c r="DN80" t="s">
        <v>3</v>
      </c>
      <c r="DO80">
        <v>0</v>
      </c>
    </row>
    <row r="81" spans="1:119" x14ac:dyDescent="0.2">
      <c r="A81">
        <f>ROW(Source!A129)</f>
        <v>129</v>
      </c>
      <c r="B81">
        <v>78131199</v>
      </c>
      <c r="C81">
        <v>78131415</v>
      </c>
      <c r="D81">
        <v>77814377</v>
      </c>
      <c r="E81">
        <v>1</v>
      </c>
      <c r="F81">
        <v>1</v>
      </c>
      <c r="G81">
        <v>37</v>
      </c>
      <c r="H81">
        <v>3</v>
      </c>
      <c r="I81" t="s">
        <v>178</v>
      </c>
      <c r="J81" t="s">
        <v>180</v>
      </c>
      <c r="K81" t="s">
        <v>179</v>
      </c>
      <c r="L81">
        <v>1301</v>
      </c>
      <c r="N81">
        <v>1003</v>
      </c>
      <c r="O81" t="s">
        <v>33</v>
      </c>
      <c r="P81" t="s">
        <v>33</v>
      </c>
      <c r="Q81">
        <v>1</v>
      </c>
      <c r="W81">
        <v>0</v>
      </c>
      <c r="X81">
        <v>-514763295</v>
      </c>
      <c r="Y81">
        <f t="shared" si="26"/>
        <v>100</v>
      </c>
      <c r="AA81">
        <v>1896.47</v>
      </c>
      <c r="AB81">
        <v>0</v>
      </c>
      <c r="AC81">
        <v>0</v>
      </c>
      <c r="AD81">
        <v>0</v>
      </c>
      <c r="AE81">
        <v>1896.47</v>
      </c>
      <c r="AF81">
        <v>0</v>
      </c>
      <c r="AG81">
        <v>0</v>
      </c>
      <c r="AH81">
        <v>0</v>
      </c>
      <c r="AI81">
        <v>1</v>
      </c>
      <c r="AJ81">
        <v>1</v>
      </c>
      <c r="AK81">
        <v>1</v>
      </c>
      <c r="AL81">
        <v>1</v>
      </c>
      <c r="AM81">
        <v>0</v>
      </c>
      <c r="AN81">
        <v>0</v>
      </c>
      <c r="AO81">
        <v>0</v>
      </c>
      <c r="AP81">
        <v>1</v>
      </c>
      <c r="AQ81">
        <v>0</v>
      </c>
      <c r="AR81">
        <v>0</v>
      </c>
      <c r="AS81" t="s">
        <v>3</v>
      </c>
      <c r="AT81">
        <v>100</v>
      </c>
      <c r="AU81" t="s">
        <v>3</v>
      </c>
      <c r="AV81">
        <v>0</v>
      </c>
      <c r="AW81">
        <v>1</v>
      </c>
      <c r="AX81">
        <v>-1</v>
      </c>
      <c r="AY81">
        <v>0</v>
      </c>
      <c r="AZ81">
        <v>0</v>
      </c>
      <c r="BA81" t="s">
        <v>3</v>
      </c>
      <c r="BB81">
        <v>0</v>
      </c>
      <c r="BC81">
        <v>0</v>
      </c>
      <c r="BD81">
        <v>0</v>
      </c>
      <c r="BE81">
        <v>0</v>
      </c>
      <c r="BF81">
        <v>0</v>
      </c>
      <c r="BG81">
        <v>0</v>
      </c>
      <c r="BH81">
        <v>0</v>
      </c>
      <c r="BI81">
        <v>0</v>
      </c>
      <c r="BJ81">
        <v>0</v>
      </c>
      <c r="BK81">
        <v>0</v>
      </c>
      <c r="BL81">
        <v>0</v>
      </c>
      <c r="BM81">
        <v>0</v>
      </c>
      <c r="BN81">
        <v>0</v>
      </c>
      <c r="BO81">
        <v>0</v>
      </c>
      <c r="BP81">
        <v>0</v>
      </c>
      <c r="BQ81">
        <v>0</v>
      </c>
      <c r="BR81">
        <v>0</v>
      </c>
      <c r="BS81">
        <v>0</v>
      </c>
      <c r="BT81">
        <v>0</v>
      </c>
      <c r="BU81">
        <v>0</v>
      </c>
      <c r="BV81">
        <v>0</v>
      </c>
      <c r="BW81">
        <v>0</v>
      </c>
      <c r="CV81">
        <v>0</v>
      </c>
      <c r="CW81">
        <v>0</v>
      </c>
      <c r="CX81">
        <f>ROUND(Y81*Source!I129,9)</f>
        <v>69</v>
      </c>
      <c r="CY81">
        <f t="shared" si="37"/>
        <v>1896.47</v>
      </c>
      <c r="CZ81">
        <f t="shared" si="38"/>
        <v>1896.47</v>
      </c>
      <c r="DA81">
        <f t="shared" si="39"/>
        <v>1</v>
      </c>
      <c r="DB81">
        <f t="shared" si="27"/>
        <v>189647</v>
      </c>
      <c r="DC81">
        <f t="shared" si="28"/>
        <v>0</v>
      </c>
      <c r="DD81" t="s">
        <v>3</v>
      </c>
      <c r="DE81" t="s">
        <v>3</v>
      </c>
      <c r="DF81">
        <f t="shared" si="29"/>
        <v>130856.43</v>
      </c>
      <c r="DG81">
        <f t="shared" si="30"/>
        <v>0</v>
      </c>
      <c r="DH81">
        <f t="shared" si="31"/>
        <v>0</v>
      </c>
      <c r="DI81">
        <f t="shared" si="32"/>
        <v>0</v>
      </c>
      <c r="DJ81">
        <f t="shared" si="40"/>
        <v>130856.43</v>
      </c>
      <c r="DK81">
        <v>0</v>
      </c>
      <c r="DL81" t="s">
        <v>3</v>
      </c>
      <c r="DM81">
        <v>0</v>
      </c>
      <c r="DN81" t="s">
        <v>3</v>
      </c>
      <c r="DO81">
        <v>0</v>
      </c>
    </row>
    <row r="82" spans="1:119" x14ac:dyDescent="0.2">
      <c r="A82">
        <f>ROW(Source!A129)</f>
        <v>129</v>
      </c>
      <c r="B82">
        <v>78131199</v>
      </c>
      <c r="C82">
        <v>78131415</v>
      </c>
      <c r="D82">
        <v>77814392</v>
      </c>
      <c r="E82">
        <v>1</v>
      </c>
      <c r="F82">
        <v>1</v>
      </c>
      <c r="G82">
        <v>37</v>
      </c>
      <c r="H82">
        <v>3</v>
      </c>
      <c r="I82" t="s">
        <v>182</v>
      </c>
      <c r="J82" t="s">
        <v>184</v>
      </c>
      <c r="K82" t="s">
        <v>183</v>
      </c>
      <c r="L82">
        <v>1301</v>
      </c>
      <c r="N82">
        <v>1003</v>
      </c>
      <c r="O82" t="s">
        <v>33</v>
      </c>
      <c r="P82" t="s">
        <v>33</v>
      </c>
      <c r="Q82">
        <v>1</v>
      </c>
      <c r="W82">
        <v>1</v>
      </c>
      <c r="X82">
        <v>234213022</v>
      </c>
      <c r="Y82">
        <f t="shared" si="26"/>
        <v>-100</v>
      </c>
      <c r="AA82">
        <v>752.92</v>
      </c>
      <c r="AB82">
        <v>0</v>
      </c>
      <c r="AC82">
        <v>0</v>
      </c>
      <c r="AD82">
        <v>0</v>
      </c>
      <c r="AE82">
        <v>752.92</v>
      </c>
      <c r="AF82">
        <v>0</v>
      </c>
      <c r="AG82">
        <v>0</v>
      </c>
      <c r="AH82">
        <v>0</v>
      </c>
      <c r="AI82">
        <v>1</v>
      </c>
      <c r="AJ82">
        <v>1</v>
      </c>
      <c r="AK82">
        <v>1</v>
      </c>
      <c r="AL82">
        <v>1</v>
      </c>
      <c r="AM82">
        <v>-2</v>
      </c>
      <c r="AN82">
        <v>0</v>
      </c>
      <c r="AO82">
        <v>1</v>
      </c>
      <c r="AP82">
        <v>1</v>
      </c>
      <c r="AQ82">
        <v>0</v>
      </c>
      <c r="AR82">
        <v>0</v>
      </c>
      <c r="AS82" t="s">
        <v>3</v>
      </c>
      <c r="AT82">
        <v>-100</v>
      </c>
      <c r="AU82" t="s">
        <v>3</v>
      </c>
      <c r="AV82">
        <v>0</v>
      </c>
      <c r="AW82">
        <v>2</v>
      </c>
      <c r="AX82">
        <v>78131423</v>
      </c>
      <c r="AY82">
        <v>1</v>
      </c>
      <c r="AZ82">
        <v>6144</v>
      </c>
      <c r="BA82">
        <v>76</v>
      </c>
      <c r="BB82">
        <v>0</v>
      </c>
      <c r="BC82">
        <v>0</v>
      </c>
      <c r="BD82">
        <v>0</v>
      </c>
      <c r="BE82">
        <v>0</v>
      </c>
      <c r="BF82">
        <v>0</v>
      </c>
      <c r="BG82">
        <v>0</v>
      </c>
      <c r="BH82">
        <v>0</v>
      </c>
      <c r="BI82">
        <v>0</v>
      </c>
      <c r="BJ82">
        <v>0</v>
      </c>
      <c r="BK82">
        <v>0</v>
      </c>
      <c r="BL82">
        <v>0</v>
      </c>
      <c r="BM82">
        <v>0</v>
      </c>
      <c r="BN82">
        <v>0</v>
      </c>
      <c r="BO82">
        <v>0</v>
      </c>
      <c r="BP82">
        <v>0</v>
      </c>
      <c r="BQ82">
        <v>0</v>
      </c>
      <c r="BR82">
        <v>0</v>
      </c>
      <c r="BS82">
        <v>0</v>
      </c>
      <c r="BT82">
        <v>0</v>
      </c>
      <c r="BU82">
        <v>0</v>
      </c>
      <c r="BV82">
        <v>0</v>
      </c>
      <c r="BW82">
        <v>0</v>
      </c>
      <c r="CV82">
        <v>0</v>
      </c>
      <c r="CW82">
        <v>0</v>
      </c>
      <c r="CX82">
        <f>ROUND(Y82*Source!I129,9)</f>
        <v>-69</v>
      </c>
      <c r="CY82">
        <f t="shared" si="37"/>
        <v>752.92</v>
      </c>
      <c r="CZ82">
        <f t="shared" si="38"/>
        <v>752.92</v>
      </c>
      <c r="DA82">
        <f t="shared" si="39"/>
        <v>1</v>
      </c>
      <c r="DB82">
        <f t="shared" si="27"/>
        <v>-75292</v>
      </c>
      <c r="DC82">
        <f t="shared" si="28"/>
        <v>0</v>
      </c>
      <c r="DD82" t="s">
        <v>3</v>
      </c>
      <c r="DE82" t="s">
        <v>3</v>
      </c>
      <c r="DF82">
        <f t="shared" si="29"/>
        <v>-51951.48</v>
      </c>
      <c r="DG82">
        <f t="shared" si="30"/>
        <v>0</v>
      </c>
      <c r="DH82">
        <f t="shared" si="31"/>
        <v>0</v>
      </c>
      <c r="DI82">
        <f t="shared" si="32"/>
        <v>0</v>
      </c>
      <c r="DJ82">
        <f t="shared" si="40"/>
        <v>-51951.48</v>
      </c>
      <c r="DK82">
        <v>0</v>
      </c>
      <c r="DL82" t="s">
        <v>3</v>
      </c>
      <c r="DM82">
        <v>0</v>
      </c>
      <c r="DN82" t="s">
        <v>3</v>
      </c>
      <c r="DO82">
        <v>0</v>
      </c>
    </row>
    <row r="83" spans="1:119" x14ac:dyDescent="0.2">
      <c r="A83">
        <f>ROW(Source!A129)</f>
        <v>129</v>
      </c>
      <c r="B83">
        <v>78131199</v>
      </c>
      <c r="C83">
        <v>78131415</v>
      </c>
      <c r="D83">
        <v>77810391</v>
      </c>
      <c r="E83">
        <v>1</v>
      </c>
      <c r="F83">
        <v>1</v>
      </c>
      <c r="G83">
        <v>37</v>
      </c>
      <c r="H83">
        <v>3</v>
      </c>
      <c r="I83" t="s">
        <v>327</v>
      </c>
      <c r="J83" t="s">
        <v>328</v>
      </c>
      <c r="K83" t="s">
        <v>329</v>
      </c>
      <c r="L83">
        <v>1346</v>
      </c>
      <c r="N83">
        <v>1009</v>
      </c>
      <c r="O83" t="s">
        <v>264</v>
      </c>
      <c r="P83" t="s">
        <v>264</v>
      </c>
      <c r="Q83">
        <v>1</v>
      </c>
      <c r="W83">
        <v>0</v>
      </c>
      <c r="X83">
        <v>737612236</v>
      </c>
      <c r="Y83">
        <f t="shared" ref="Y83:Y114" si="41">AT83</f>
        <v>5.0000000000000001E-4</v>
      </c>
      <c r="AA83">
        <v>168.83</v>
      </c>
      <c r="AB83">
        <v>0</v>
      </c>
      <c r="AC83">
        <v>0</v>
      </c>
      <c r="AD83">
        <v>0</v>
      </c>
      <c r="AE83">
        <v>168.83</v>
      </c>
      <c r="AF83">
        <v>0</v>
      </c>
      <c r="AG83">
        <v>0</v>
      </c>
      <c r="AH83">
        <v>0</v>
      </c>
      <c r="AI83">
        <v>1</v>
      </c>
      <c r="AJ83">
        <v>1</v>
      </c>
      <c r="AK83">
        <v>1</v>
      </c>
      <c r="AL83">
        <v>1</v>
      </c>
      <c r="AM83">
        <v>-2</v>
      </c>
      <c r="AN83">
        <v>0</v>
      </c>
      <c r="AO83">
        <v>1</v>
      </c>
      <c r="AP83">
        <v>1</v>
      </c>
      <c r="AQ83">
        <v>0</v>
      </c>
      <c r="AR83">
        <v>0</v>
      </c>
      <c r="AS83" t="s">
        <v>3</v>
      </c>
      <c r="AT83">
        <v>5.0000000000000001E-4</v>
      </c>
      <c r="AU83" t="s">
        <v>3</v>
      </c>
      <c r="AV83">
        <v>0</v>
      </c>
      <c r="AW83">
        <v>2</v>
      </c>
      <c r="AX83">
        <v>78131419</v>
      </c>
      <c r="AY83">
        <v>1</v>
      </c>
      <c r="AZ83">
        <v>0</v>
      </c>
      <c r="BA83">
        <v>77</v>
      </c>
      <c r="BB83">
        <v>0</v>
      </c>
      <c r="BC83">
        <v>0</v>
      </c>
      <c r="BD83">
        <v>0</v>
      </c>
      <c r="BE83">
        <v>0</v>
      </c>
      <c r="BF83">
        <v>0</v>
      </c>
      <c r="BG83">
        <v>0</v>
      </c>
      <c r="BH83">
        <v>0</v>
      </c>
      <c r="BI83">
        <v>0</v>
      </c>
      <c r="BJ83">
        <v>0</v>
      </c>
      <c r="BK83">
        <v>0</v>
      </c>
      <c r="BL83">
        <v>0</v>
      </c>
      <c r="BM83">
        <v>0</v>
      </c>
      <c r="BN83">
        <v>0</v>
      </c>
      <c r="BO83">
        <v>0</v>
      </c>
      <c r="BP83">
        <v>0</v>
      </c>
      <c r="BQ83">
        <v>0</v>
      </c>
      <c r="BR83">
        <v>0</v>
      </c>
      <c r="BS83">
        <v>0</v>
      </c>
      <c r="BT83">
        <v>0</v>
      </c>
      <c r="BU83">
        <v>0</v>
      </c>
      <c r="BV83">
        <v>0</v>
      </c>
      <c r="BW83">
        <v>0</v>
      </c>
      <c r="CV83">
        <v>0</v>
      </c>
      <c r="CW83">
        <v>0</v>
      </c>
      <c r="CX83">
        <f>ROUND(Y83*Source!I129,9)</f>
        <v>3.4499999999999998E-4</v>
      </c>
      <c r="CY83">
        <f t="shared" si="37"/>
        <v>168.83</v>
      </c>
      <c r="CZ83">
        <f t="shared" si="38"/>
        <v>168.83</v>
      </c>
      <c r="DA83">
        <f t="shared" si="39"/>
        <v>1</v>
      </c>
      <c r="DB83">
        <f t="shared" ref="DB83:DB114" si="42">ROUND(ROUND(AT83*CZ83,2),6)</f>
        <v>0.08</v>
      </c>
      <c r="DC83">
        <f t="shared" ref="DC83:DC114" si="43">ROUND(ROUND(AT83*AG83,2),6)</f>
        <v>0</v>
      </c>
      <c r="DD83" t="s">
        <v>3</v>
      </c>
      <c r="DE83" t="s">
        <v>3</v>
      </c>
      <c r="DF83">
        <f t="shared" si="29"/>
        <v>0.06</v>
      </c>
      <c r="DG83">
        <f t="shared" si="30"/>
        <v>0</v>
      </c>
      <c r="DH83">
        <f t="shared" si="31"/>
        <v>0</v>
      </c>
      <c r="DI83">
        <f t="shared" si="32"/>
        <v>0</v>
      </c>
      <c r="DJ83">
        <f t="shared" si="40"/>
        <v>0.06</v>
      </c>
      <c r="DK83">
        <v>0</v>
      </c>
      <c r="DL83" t="s">
        <v>3</v>
      </c>
      <c r="DM83">
        <v>0</v>
      </c>
      <c r="DN83" t="s">
        <v>3</v>
      </c>
      <c r="DO83">
        <v>0</v>
      </c>
    </row>
    <row r="84" spans="1:119" x14ac:dyDescent="0.2">
      <c r="A84">
        <f>ROW(Source!A129)</f>
        <v>129</v>
      </c>
      <c r="B84">
        <v>78131199</v>
      </c>
      <c r="C84">
        <v>78131415</v>
      </c>
      <c r="D84">
        <v>77810520</v>
      </c>
      <c r="E84">
        <v>1</v>
      </c>
      <c r="F84">
        <v>1</v>
      </c>
      <c r="G84">
        <v>37</v>
      </c>
      <c r="H84">
        <v>3</v>
      </c>
      <c r="I84" t="s">
        <v>278</v>
      </c>
      <c r="J84" t="s">
        <v>279</v>
      </c>
      <c r="K84" t="s">
        <v>280</v>
      </c>
      <c r="L84">
        <v>1339</v>
      </c>
      <c r="N84">
        <v>1007</v>
      </c>
      <c r="O84" t="s">
        <v>281</v>
      </c>
      <c r="P84" t="s">
        <v>281</v>
      </c>
      <c r="Q84">
        <v>1</v>
      </c>
      <c r="W84">
        <v>0</v>
      </c>
      <c r="X84">
        <v>-1393929784</v>
      </c>
      <c r="Y84">
        <f t="shared" si="41"/>
        <v>7.03</v>
      </c>
      <c r="AA84">
        <v>49.83</v>
      </c>
      <c r="AB84">
        <v>0</v>
      </c>
      <c r="AC84">
        <v>0</v>
      </c>
      <c r="AD84">
        <v>0</v>
      </c>
      <c r="AE84">
        <v>49.83</v>
      </c>
      <c r="AF84">
        <v>0</v>
      </c>
      <c r="AG84">
        <v>0</v>
      </c>
      <c r="AH84">
        <v>0</v>
      </c>
      <c r="AI84">
        <v>1</v>
      </c>
      <c r="AJ84">
        <v>1</v>
      </c>
      <c r="AK84">
        <v>1</v>
      </c>
      <c r="AL84">
        <v>1</v>
      </c>
      <c r="AM84">
        <v>-2</v>
      </c>
      <c r="AN84">
        <v>0</v>
      </c>
      <c r="AO84">
        <v>1</v>
      </c>
      <c r="AP84">
        <v>1</v>
      </c>
      <c r="AQ84">
        <v>0</v>
      </c>
      <c r="AR84">
        <v>0</v>
      </c>
      <c r="AS84" t="s">
        <v>3</v>
      </c>
      <c r="AT84">
        <v>7.03</v>
      </c>
      <c r="AU84" t="s">
        <v>3</v>
      </c>
      <c r="AV84">
        <v>0</v>
      </c>
      <c r="AW84">
        <v>2</v>
      </c>
      <c r="AX84">
        <v>78131420</v>
      </c>
      <c r="AY84">
        <v>1</v>
      </c>
      <c r="AZ84">
        <v>0</v>
      </c>
      <c r="BA84">
        <v>78</v>
      </c>
      <c r="BB84">
        <v>0</v>
      </c>
      <c r="BC84">
        <v>0</v>
      </c>
      <c r="BD84">
        <v>0</v>
      </c>
      <c r="BE84">
        <v>0</v>
      </c>
      <c r="BF84">
        <v>0</v>
      </c>
      <c r="BG84">
        <v>0</v>
      </c>
      <c r="BH84">
        <v>0</v>
      </c>
      <c r="BI84">
        <v>0</v>
      </c>
      <c r="BJ84">
        <v>0</v>
      </c>
      <c r="BK84">
        <v>0</v>
      </c>
      <c r="BL84">
        <v>0</v>
      </c>
      <c r="BM84">
        <v>0</v>
      </c>
      <c r="BN84">
        <v>0</v>
      </c>
      <c r="BO84">
        <v>0</v>
      </c>
      <c r="BP84">
        <v>0</v>
      </c>
      <c r="BQ84">
        <v>0</v>
      </c>
      <c r="BR84">
        <v>0</v>
      </c>
      <c r="BS84">
        <v>0</v>
      </c>
      <c r="BT84">
        <v>0</v>
      </c>
      <c r="BU84">
        <v>0</v>
      </c>
      <c r="BV84">
        <v>0</v>
      </c>
      <c r="BW84">
        <v>0</v>
      </c>
      <c r="CV84">
        <v>0</v>
      </c>
      <c r="CW84">
        <v>0</v>
      </c>
      <c r="CX84">
        <f>ROUND(Y84*Source!I129,9)</f>
        <v>4.8506999999999998</v>
      </c>
      <c r="CY84">
        <f t="shared" si="37"/>
        <v>49.83</v>
      </c>
      <c r="CZ84">
        <f t="shared" si="38"/>
        <v>49.83</v>
      </c>
      <c r="DA84">
        <f t="shared" si="39"/>
        <v>1</v>
      </c>
      <c r="DB84">
        <f t="shared" si="42"/>
        <v>350.3</v>
      </c>
      <c r="DC84">
        <f t="shared" si="43"/>
        <v>0</v>
      </c>
      <c r="DD84" t="s">
        <v>3</v>
      </c>
      <c r="DE84" t="s">
        <v>3</v>
      </c>
      <c r="DF84">
        <f t="shared" si="29"/>
        <v>241.71</v>
      </c>
      <c r="DG84">
        <f t="shared" si="30"/>
        <v>0</v>
      </c>
      <c r="DH84">
        <f t="shared" si="31"/>
        <v>0</v>
      </c>
      <c r="DI84">
        <f t="shared" si="32"/>
        <v>0</v>
      </c>
      <c r="DJ84">
        <f t="shared" si="40"/>
        <v>241.71</v>
      </c>
      <c r="DK84">
        <v>0</v>
      </c>
      <c r="DL84" t="s">
        <v>3</v>
      </c>
      <c r="DM84">
        <v>0</v>
      </c>
      <c r="DN84" t="s">
        <v>3</v>
      </c>
      <c r="DO84">
        <v>0</v>
      </c>
    </row>
    <row r="85" spans="1:119" x14ac:dyDescent="0.2">
      <c r="A85">
        <f>ROW(Source!A129)</f>
        <v>129</v>
      </c>
      <c r="B85">
        <v>78131199</v>
      </c>
      <c r="C85">
        <v>78131415</v>
      </c>
      <c r="D85">
        <v>77808724</v>
      </c>
      <c r="E85">
        <v>1</v>
      </c>
      <c r="F85">
        <v>1</v>
      </c>
      <c r="G85">
        <v>37</v>
      </c>
      <c r="H85">
        <v>3</v>
      </c>
      <c r="I85" t="s">
        <v>301</v>
      </c>
      <c r="J85" t="s">
        <v>302</v>
      </c>
      <c r="K85" t="s">
        <v>303</v>
      </c>
      <c r="L85">
        <v>1339</v>
      </c>
      <c r="N85">
        <v>1007</v>
      </c>
      <c r="O85" t="s">
        <v>281</v>
      </c>
      <c r="P85" t="s">
        <v>281</v>
      </c>
      <c r="Q85">
        <v>1</v>
      </c>
      <c r="W85">
        <v>0</v>
      </c>
      <c r="X85">
        <v>622145326</v>
      </c>
      <c r="Y85">
        <f t="shared" si="41"/>
        <v>0.67</v>
      </c>
      <c r="AA85">
        <v>89.3</v>
      </c>
      <c r="AB85">
        <v>0</v>
      </c>
      <c r="AC85">
        <v>0</v>
      </c>
      <c r="AD85">
        <v>0</v>
      </c>
      <c r="AE85">
        <v>89.3</v>
      </c>
      <c r="AF85">
        <v>0</v>
      </c>
      <c r="AG85">
        <v>0</v>
      </c>
      <c r="AH85">
        <v>0</v>
      </c>
      <c r="AI85">
        <v>1</v>
      </c>
      <c r="AJ85">
        <v>1</v>
      </c>
      <c r="AK85">
        <v>1</v>
      </c>
      <c r="AL85">
        <v>1</v>
      </c>
      <c r="AM85">
        <v>-2</v>
      </c>
      <c r="AN85">
        <v>0</v>
      </c>
      <c r="AO85">
        <v>1</v>
      </c>
      <c r="AP85">
        <v>1</v>
      </c>
      <c r="AQ85">
        <v>0</v>
      </c>
      <c r="AR85">
        <v>0</v>
      </c>
      <c r="AS85" t="s">
        <v>3</v>
      </c>
      <c r="AT85">
        <v>0.67</v>
      </c>
      <c r="AU85" t="s">
        <v>3</v>
      </c>
      <c r="AV85">
        <v>0</v>
      </c>
      <c r="AW85">
        <v>2</v>
      </c>
      <c r="AX85">
        <v>78131421</v>
      </c>
      <c r="AY85">
        <v>1</v>
      </c>
      <c r="AZ85">
        <v>0</v>
      </c>
      <c r="BA85">
        <v>79</v>
      </c>
      <c r="BB85">
        <v>0</v>
      </c>
      <c r="BC85">
        <v>0</v>
      </c>
      <c r="BD85">
        <v>0</v>
      </c>
      <c r="BE85">
        <v>0</v>
      </c>
      <c r="BF85">
        <v>0</v>
      </c>
      <c r="BG85">
        <v>0</v>
      </c>
      <c r="BH85">
        <v>0</v>
      </c>
      <c r="BI85">
        <v>0</v>
      </c>
      <c r="BJ85">
        <v>0</v>
      </c>
      <c r="BK85">
        <v>0</v>
      </c>
      <c r="BL85">
        <v>0</v>
      </c>
      <c r="BM85">
        <v>0</v>
      </c>
      <c r="BN85">
        <v>0</v>
      </c>
      <c r="BO85">
        <v>0</v>
      </c>
      <c r="BP85">
        <v>0</v>
      </c>
      <c r="BQ85">
        <v>0</v>
      </c>
      <c r="BR85">
        <v>0</v>
      </c>
      <c r="BS85">
        <v>0</v>
      </c>
      <c r="BT85">
        <v>0</v>
      </c>
      <c r="BU85">
        <v>0</v>
      </c>
      <c r="BV85">
        <v>0</v>
      </c>
      <c r="BW85">
        <v>0</v>
      </c>
      <c r="CV85">
        <v>0</v>
      </c>
      <c r="CW85">
        <v>0</v>
      </c>
      <c r="CX85">
        <f>ROUND(Y85*Source!I129,9)</f>
        <v>0.46229999999999999</v>
      </c>
      <c r="CY85">
        <f t="shared" si="37"/>
        <v>89.3</v>
      </c>
      <c r="CZ85">
        <f t="shared" si="38"/>
        <v>89.3</v>
      </c>
      <c r="DA85">
        <f t="shared" si="39"/>
        <v>1</v>
      </c>
      <c r="DB85">
        <f t="shared" si="42"/>
        <v>59.83</v>
      </c>
      <c r="DC85">
        <f t="shared" si="43"/>
        <v>0</v>
      </c>
      <c r="DD85" t="s">
        <v>3</v>
      </c>
      <c r="DE85" t="s">
        <v>3</v>
      </c>
      <c r="DF85">
        <f t="shared" si="29"/>
        <v>41.28</v>
      </c>
      <c r="DG85">
        <f t="shared" si="30"/>
        <v>0</v>
      </c>
      <c r="DH85">
        <f t="shared" si="31"/>
        <v>0</v>
      </c>
      <c r="DI85">
        <f t="shared" si="32"/>
        <v>0</v>
      </c>
      <c r="DJ85">
        <f t="shared" si="40"/>
        <v>41.28</v>
      </c>
      <c r="DK85">
        <v>0</v>
      </c>
      <c r="DL85" t="s">
        <v>3</v>
      </c>
      <c r="DM85">
        <v>0</v>
      </c>
      <c r="DN85" t="s">
        <v>3</v>
      </c>
      <c r="DO85">
        <v>0</v>
      </c>
    </row>
    <row r="86" spans="1:119" x14ac:dyDescent="0.2">
      <c r="A86">
        <f>ROW(Source!A129)</f>
        <v>129</v>
      </c>
      <c r="B86">
        <v>78131199</v>
      </c>
      <c r="C86">
        <v>78131415</v>
      </c>
      <c r="D86">
        <v>77808716</v>
      </c>
      <c r="E86">
        <v>1</v>
      </c>
      <c r="F86">
        <v>1</v>
      </c>
      <c r="G86">
        <v>37</v>
      </c>
      <c r="H86">
        <v>3</v>
      </c>
      <c r="I86" t="s">
        <v>304</v>
      </c>
      <c r="J86" t="s">
        <v>305</v>
      </c>
      <c r="K86" t="s">
        <v>306</v>
      </c>
      <c r="L86">
        <v>1339</v>
      </c>
      <c r="N86">
        <v>1007</v>
      </c>
      <c r="O86" t="s">
        <v>281</v>
      </c>
      <c r="P86" t="s">
        <v>281</v>
      </c>
      <c r="Q86">
        <v>1</v>
      </c>
      <c r="W86">
        <v>0</v>
      </c>
      <c r="X86">
        <v>1431951903</v>
      </c>
      <c r="Y86">
        <f t="shared" si="41"/>
        <v>0.61</v>
      </c>
      <c r="AA86">
        <v>698.15</v>
      </c>
      <c r="AB86">
        <v>0</v>
      </c>
      <c r="AC86">
        <v>0</v>
      </c>
      <c r="AD86">
        <v>0</v>
      </c>
      <c r="AE86">
        <v>698.15</v>
      </c>
      <c r="AF86">
        <v>0</v>
      </c>
      <c r="AG86">
        <v>0</v>
      </c>
      <c r="AH86">
        <v>0</v>
      </c>
      <c r="AI86">
        <v>1</v>
      </c>
      <c r="AJ86">
        <v>1</v>
      </c>
      <c r="AK86">
        <v>1</v>
      </c>
      <c r="AL86">
        <v>1</v>
      </c>
      <c r="AM86">
        <v>-2</v>
      </c>
      <c r="AN86">
        <v>0</v>
      </c>
      <c r="AO86">
        <v>1</v>
      </c>
      <c r="AP86">
        <v>1</v>
      </c>
      <c r="AQ86">
        <v>0</v>
      </c>
      <c r="AR86">
        <v>0</v>
      </c>
      <c r="AS86" t="s">
        <v>3</v>
      </c>
      <c r="AT86">
        <v>0.61</v>
      </c>
      <c r="AU86" t="s">
        <v>3</v>
      </c>
      <c r="AV86">
        <v>0</v>
      </c>
      <c r="AW86">
        <v>2</v>
      </c>
      <c r="AX86">
        <v>78131422</v>
      </c>
      <c r="AY86">
        <v>1</v>
      </c>
      <c r="AZ86">
        <v>0</v>
      </c>
      <c r="BA86">
        <v>80</v>
      </c>
      <c r="BB86">
        <v>0</v>
      </c>
      <c r="BC86">
        <v>0</v>
      </c>
      <c r="BD86">
        <v>0</v>
      </c>
      <c r="BE86">
        <v>0</v>
      </c>
      <c r="BF86">
        <v>0</v>
      </c>
      <c r="BG86">
        <v>0</v>
      </c>
      <c r="BH86">
        <v>0</v>
      </c>
      <c r="BI86">
        <v>0</v>
      </c>
      <c r="BJ86">
        <v>0</v>
      </c>
      <c r="BK86">
        <v>0</v>
      </c>
      <c r="BL86">
        <v>0</v>
      </c>
      <c r="BM86">
        <v>0</v>
      </c>
      <c r="BN86">
        <v>0</v>
      </c>
      <c r="BO86">
        <v>0</v>
      </c>
      <c r="BP86">
        <v>0</v>
      </c>
      <c r="BQ86">
        <v>0</v>
      </c>
      <c r="BR86">
        <v>0</v>
      </c>
      <c r="BS86">
        <v>0</v>
      </c>
      <c r="BT86">
        <v>0</v>
      </c>
      <c r="BU86">
        <v>0</v>
      </c>
      <c r="BV86">
        <v>0</v>
      </c>
      <c r="BW86">
        <v>0</v>
      </c>
      <c r="CV86">
        <v>0</v>
      </c>
      <c r="CW86">
        <v>0</v>
      </c>
      <c r="CX86">
        <f>ROUND(Y86*Source!I129,9)</f>
        <v>0.4209</v>
      </c>
      <c r="CY86">
        <f t="shared" si="37"/>
        <v>698.15</v>
      </c>
      <c r="CZ86">
        <f t="shared" si="38"/>
        <v>698.15</v>
      </c>
      <c r="DA86">
        <f t="shared" si="39"/>
        <v>1</v>
      </c>
      <c r="DB86">
        <f t="shared" si="42"/>
        <v>425.87</v>
      </c>
      <c r="DC86">
        <f t="shared" si="43"/>
        <v>0</v>
      </c>
      <c r="DD86" t="s">
        <v>3</v>
      </c>
      <c r="DE86" t="s">
        <v>3</v>
      </c>
      <c r="DF86">
        <f t="shared" si="29"/>
        <v>293.85000000000002</v>
      </c>
      <c r="DG86">
        <f t="shared" si="30"/>
        <v>0</v>
      </c>
      <c r="DH86">
        <f t="shared" si="31"/>
        <v>0</v>
      </c>
      <c r="DI86">
        <f t="shared" si="32"/>
        <v>0</v>
      </c>
      <c r="DJ86">
        <f t="shared" si="40"/>
        <v>293.85000000000002</v>
      </c>
      <c r="DK86">
        <v>0</v>
      </c>
      <c r="DL86" t="s">
        <v>3</v>
      </c>
      <c r="DM86">
        <v>0</v>
      </c>
      <c r="DN86" t="s">
        <v>3</v>
      </c>
      <c r="DO86">
        <v>0</v>
      </c>
    </row>
    <row r="87" spans="1:119" x14ac:dyDescent="0.2">
      <c r="A87">
        <f>ROW(Source!A129)</f>
        <v>129</v>
      </c>
      <c r="B87">
        <v>78131199</v>
      </c>
      <c r="C87">
        <v>78131415</v>
      </c>
      <c r="D87">
        <v>77811604</v>
      </c>
      <c r="E87">
        <v>1</v>
      </c>
      <c r="F87">
        <v>1</v>
      </c>
      <c r="G87">
        <v>37</v>
      </c>
      <c r="H87">
        <v>3</v>
      </c>
      <c r="I87" t="s">
        <v>330</v>
      </c>
      <c r="J87" t="s">
        <v>331</v>
      </c>
      <c r="K87" t="s">
        <v>332</v>
      </c>
      <c r="L87">
        <v>1339</v>
      </c>
      <c r="N87">
        <v>1007</v>
      </c>
      <c r="O87" t="s">
        <v>281</v>
      </c>
      <c r="P87" t="s">
        <v>281</v>
      </c>
      <c r="Q87">
        <v>1</v>
      </c>
      <c r="W87">
        <v>0</v>
      </c>
      <c r="X87">
        <v>2013185010</v>
      </c>
      <c r="Y87">
        <f t="shared" si="41"/>
        <v>2.1000000000000001E-2</v>
      </c>
      <c r="AA87">
        <v>4969.8599999999997</v>
      </c>
      <c r="AB87">
        <v>0</v>
      </c>
      <c r="AC87">
        <v>0</v>
      </c>
      <c r="AD87">
        <v>0</v>
      </c>
      <c r="AE87">
        <v>4969.8599999999997</v>
      </c>
      <c r="AF87">
        <v>0</v>
      </c>
      <c r="AG87">
        <v>0</v>
      </c>
      <c r="AH87">
        <v>0</v>
      </c>
      <c r="AI87">
        <v>1</v>
      </c>
      <c r="AJ87">
        <v>1</v>
      </c>
      <c r="AK87">
        <v>1</v>
      </c>
      <c r="AL87">
        <v>1</v>
      </c>
      <c r="AM87">
        <v>-2</v>
      </c>
      <c r="AN87">
        <v>0</v>
      </c>
      <c r="AO87">
        <v>1</v>
      </c>
      <c r="AP87">
        <v>1</v>
      </c>
      <c r="AQ87">
        <v>0</v>
      </c>
      <c r="AR87">
        <v>0</v>
      </c>
      <c r="AS87" t="s">
        <v>3</v>
      </c>
      <c r="AT87">
        <v>2.1000000000000001E-2</v>
      </c>
      <c r="AU87" t="s">
        <v>3</v>
      </c>
      <c r="AV87">
        <v>0</v>
      </c>
      <c r="AW87">
        <v>2</v>
      </c>
      <c r="AX87">
        <v>78131424</v>
      </c>
      <c r="AY87">
        <v>1</v>
      </c>
      <c r="AZ87">
        <v>0</v>
      </c>
      <c r="BA87">
        <v>81</v>
      </c>
      <c r="BB87">
        <v>0</v>
      </c>
      <c r="BC87">
        <v>0</v>
      </c>
      <c r="BD87">
        <v>0</v>
      </c>
      <c r="BE87">
        <v>0</v>
      </c>
      <c r="BF87">
        <v>0</v>
      </c>
      <c r="BG87">
        <v>0</v>
      </c>
      <c r="BH87">
        <v>0</v>
      </c>
      <c r="BI87">
        <v>0</v>
      </c>
      <c r="BJ87">
        <v>0</v>
      </c>
      <c r="BK87">
        <v>0</v>
      </c>
      <c r="BL87">
        <v>0</v>
      </c>
      <c r="BM87">
        <v>0</v>
      </c>
      <c r="BN87">
        <v>0</v>
      </c>
      <c r="BO87">
        <v>0</v>
      </c>
      <c r="BP87">
        <v>0</v>
      </c>
      <c r="BQ87">
        <v>0</v>
      </c>
      <c r="BR87">
        <v>0</v>
      </c>
      <c r="BS87">
        <v>0</v>
      </c>
      <c r="BT87">
        <v>0</v>
      </c>
      <c r="BU87">
        <v>0</v>
      </c>
      <c r="BV87">
        <v>0</v>
      </c>
      <c r="BW87">
        <v>0</v>
      </c>
      <c r="CV87">
        <v>0</v>
      </c>
      <c r="CW87">
        <v>0</v>
      </c>
      <c r="CX87">
        <f>ROUND(Y87*Source!I129,9)</f>
        <v>1.4489999999999999E-2</v>
      </c>
      <c r="CY87">
        <f t="shared" si="37"/>
        <v>4969.8599999999997</v>
      </c>
      <c r="CZ87">
        <f t="shared" si="38"/>
        <v>4969.8599999999997</v>
      </c>
      <c r="DA87">
        <f t="shared" si="39"/>
        <v>1</v>
      </c>
      <c r="DB87">
        <f t="shared" si="42"/>
        <v>104.37</v>
      </c>
      <c r="DC87">
        <f t="shared" si="43"/>
        <v>0</v>
      </c>
      <c r="DD87" t="s">
        <v>3</v>
      </c>
      <c r="DE87" t="s">
        <v>3</v>
      </c>
      <c r="DF87">
        <f t="shared" si="29"/>
        <v>72.010000000000005</v>
      </c>
      <c r="DG87">
        <f t="shared" si="30"/>
        <v>0</v>
      </c>
      <c r="DH87">
        <f t="shared" si="31"/>
        <v>0</v>
      </c>
      <c r="DI87">
        <f t="shared" si="32"/>
        <v>0</v>
      </c>
      <c r="DJ87">
        <f t="shared" si="40"/>
        <v>72.010000000000005</v>
      </c>
      <c r="DK87">
        <v>0</v>
      </c>
      <c r="DL87" t="s">
        <v>3</v>
      </c>
      <c r="DM87">
        <v>0</v>
      </c>
      <c r="DN87" t="s">
        <v>3</v>
      </c>
      <c r="DO87">
        <v>0</v>
      </c>
    </row>
    <row r="88" spans="1:119" x14ac:dyDescent="0.2">
      <c r="A88">
        <f>ROW(Source!A132)</f>
        <v>132</v>
      </c>
      <c r="B88">
        <v>78131199</v>
      </c>
      <c r="C88">
        <v>78131035</v>
      </c>
      <c r="D88">
        <v>77806460</v>
      </c>
      <c r="E88">
        <v>37</v>
      </c>
      <c r="F88">
        <v>1</v>
      </c>
      <c r="G88">
        <v>37</v>
      </c>
      <c r="H88">
        <v>1</v>
      </c>
      <c r="I88" t="s">
        <v>254</v>
      </c>
      <c r="J88" t="s">
        <v>3</v>
      </c>
      <c r="K88" t="s">
        <v>255</v>
      </c>
      <c r="L88">
        <v>1191</v>
      </c>
      <c r="N88">
        <v>1013</v>
      </c>
      <c r="O88" t="s">
        <v>256</v>
      </c>
      <c r="P88" t="s">
        <v>256</v>
      </c>
      <c r="Q88">
        <v>1</v>
      </c>
      <c r="W88">
        <v>0</v>
      </c>
      <c r="X88">
        <v>476480486</v>
      </c>
      <c r="Y88">
        <f t="shared" si="41"/>
        <v>49.8</v>
      </c>
      <c r="AA88">
        <v>0</v>
      </c>
      <c r="AB88">
        <v>0</v>
      </c>
      <c r="AC88">
        <v>0</v>
      </c>
      <c r="AD88">
        <v>0</v>
      </c>
      <c r="AE88">
        <v>0</v>
      </c>
      <c r="AF88">
        <v>0</v>
      </c>
      <c r="AG88">
        <v>0</v>
      </c>
      <c r="AH88">
        <v>0</v>
      </c>
      <c r="AI88">
        <v>1</v>
      </c>
      <c r="AJ88">
        <v>1</v>
      </c>
      <c r="AK88">
        <v>1</v>
      </c>
      <c r="AL88">
        <v>1</v>
      </c>
      <c r="AM88">
        <v>-2</v>
      </c>
      <c r="AN88">
        <v>0</v>
      </c>
      <c r="AO88">
        <v>1</v>
      </c>
      <c r="AP88">
        <v>0</v>
      </c>
      <c r="AQ88">
        <v>0</v>
      </c>
      <c r="AR88">
        <v>0</v>
      </c>
      <c r="AS88" t="s">
        <v>3</v>
      </c>
      <c r="AT88">
        <v>49.8</v>
      </c>
      <c r="AU88" t="s">
        <v>3</v>
      </c>
      <c r="AV88">
        <v>1</v>
      </c>
      <c r="AW88">
        <v>2</v>
      </c>
      <c r="AX88">
        <v>78131048</v>
      </c>
      <c r="AY88">
        <v>1</v>
      </c>
      <c r="AZ88">
        <v>0</v>
      </c>
      <c r="BA88">
        <v>82</v>
      </c>
      <c r="BB88">
        <v>0</v>
      </c>
      <c r="BC88">
        <v>0</v>
      </c>
      <c r="BD88">
        <v>0</v>
      </c>
      <c r="BE88">
        <v>0</v>
      </c>
      <c r="BF88">
        <v>0</v>
      </c>
      <c r="BG88">
        <v>0</v>
      </c>
      <c r="BH88">
        <v>0</v>
      </c>
      <c r="BI88">
        <v>0</v>
      </c>
      <c r="BJ88">
        <v>0</v>
      </c>
      <c r="BK88">
        <v>0</v>
      </c>
      <c r="BL88">
        <v>0</v>
      </c>
      <c r="BM88">
        <v>0</v>
      </c>
      <c r="BN88">
        <v>0</v>
      </c>
      <c r="BO88">
        <v>0</v>
      </c>
      <c r="BP88">
        <v>0</v>
      </c>
      <c r="BQ88">
        <v>0</v>
      </c>
      <c r="BR88">
        <v>0</v>
      </c>
      <c r="BS88">
        <v>0</v>
      </c>
      <c r="BT88">
        <v>0</v>
      </c>
      <c r="BU88">
        <v>0</v>
      </c>
      <c r="BV88">
        <v>0</v>
      </c>
      <c r="BW88">
        <v>0</v>
      </c>
      <c r="CU88">
        <f>ROUND(AT88*Source!I132*AH88*AL88,2)</f>
        <v>0</v>
      </c>
      <c r="CV88">
        <f>ROUND(Y88*Source!I132,9)</f>
        <v>0</v>
      </c>
      <c r="CW88">
        <v>0</v>
      </c>
      <c r="CX88">
        <f>ROUND(Y88*Source!I132,9)</f>
        <v>0</v>
      </c>
      <c r="CY88">
        <f>AD88</f>
        <v>0</v>
      </c>
      <c r="CZ88">
        <f>AH88</f>
        <v>0</v>
      </c>
      <c r="DA88">
        <f>AL88</f>
        <v>1</v>
      </c>
      <c r="DB88">
        <f t="shared" si="42"/>
        <v>0</v>
      </c>
      <c r="DC88">
        <f t="shared" si="43"/>
        <v>0</v>
      </c>
      <c r="DD88" t="s">
        <v>3</v>
      </c>
      <c r="DE88" t="s">
        <v>3</v>
      </c>
      <c r="DF88">
        <f t="shared" si="29"/>
        <v>0</v>
      </c>
      <c r="DG88">
        <f t="shared" si="30"/>
        <v>0</v>
      </c>
      <c r="DH88">
        <f t="shared" si="31"/>
        <v>0</v>
      </c>
      <c r="DI88">
        <f t="shared" si="32"/>
        <v>0</v>
      </c>
      <c r="DJ88">
        <f>DI88</f>
        <v>0</v>
      </c>
      <c r="DK88">
        <v>0</v>
      </c>
      <c r="DL88" t="s">
        <v>3</v>
      </c>
      <c r="DM88">
        <v>0</v>
      </c>
      <c r="DN88" t="s">
        <v>3</v>
      </c>
      <c r="DO88">
        <v>0</v>
      </c>
    </row>
    <row r="89" spans="1:119" x14ac:dyDescent="0.2">
      <c r="A89">
        <f>ROW(Source!A132)</f>
        <v>132</v>
      </c>
      <c r="B89">
        <v>78131199</v>
      </c>
      <c r="C89">
        <v>78131035</v>
      </c>
      <c r="D89">
        <v>77805904</v>
      </c>
      <c r="E89">
        <v>37</v>
      </c>
      <c r="F89">
        <v>1</v>
      </c>
      <c r="G89">
        <v>37</v>
      </c>
      <c r="H89">
        <v>2</v>
      </c>
      <c r="I89" t="s">
        <v>285</v>
      </c>
      <c r="J89" t="s">
        <v>286</v>
      </c>
      <c r="K89" t="s">
        <v>287</v>
      </c>
      <c r="L89">
        <v>1368</v>
      </c>
      <c r="N89">
        <v>1011</v>
      </c>
      <c r="O89" t="s">
        <v>260</v>
      </c>
      <c r="P89" t="s">
        <v>260</v>
      </c>
      <c r="Q89">
        <v>1</v>
      </c>
      <c r="W89">
        <v>0</v>
      </c>
      <c r="X89">
        <v>1399152527</v>
      </c>
      <c r="Y89">
        <f t="shared" si="41"/>
        <v>2.11</v>
      </c>
      <c r="AA89">
        <v>0</v>
      </c>
      <c r="AB89">
        <v>68.260000000000005</v>
      </c>
      <c r="AC89">
        <v>0</v>
      </c>
      <c r="AD89">
        <v>0</v>
      </c>
      <c r="AE89">
        <v>0</v>
      </c>
      <c r="AF89">
        <v>68.260000000000005</v>
      </c>
      <c r="AG89">
        <v>0</v>
      </c>
      <c r="AH89">
        <v>0</v>
      </c>
      <c r="AI89">
        <v>1</v>
      </c>
      <c r="AJ89">
        <v>1</v>
      </c>
      <c r="AK89">
        <v>1</v>
      </c>
      <c r="AL89">
        <v>1</v>
      </c>
      <c r="AM89">
        <v>-2</v>
      </c>
      <c r="AN89">
        <v>0</v>
      </c>
      <c r="AO89">
        <v>1</v>
      </c>
      <c r="AP89">
        <v>0</v>
      </c>
      <c r="AQ89">
        <v>0</v>
      </c>
      <c r="AR89">
        <v>0</v>
      </c>
      <c r="AS89" t="s">
        <v>3</v>
      </c>
      <c r="AT89">
        <v>2.11</v>
      </c>
      <c r="AU89" t="s">
        <v>3</v>
      </c>
      <c r="AV89">
        <v>0</v>
      </c>
      <c r="AW89">
        <v>2</v>
      </c>
      <c r="AX89">
        <v>78131049</v>
      </c>
      <c r="AY89">
        <v>2</v>
      </c>
      <c r="AZ89">
        <v>98304</v>
      </c>
      <c r="BA89">
        <v>83</v>
      </c>
      <c r="BB89">
        <v>0</v>
      </c>
      <c r="BC89">
        <v>0</v>
      </c>
      <c r="BD89">
        <v>0</v>
      </c>
      <c r="BE89">
        <v>0</v>
      </c>
      <c r="BF89">
        <v>0</v>
      </c>
      <c r="BG89">
        <v>0</v>
      </c>
      <c r="BH89">
        <v>0</v>
      </c>
      <c r="BI89">
        <v>0</v>
      </c>
      <c r="BJ89">
        <v>0</v>
      </c>
      <c r="BK89">
        <v>0</v>
      </c>
      <c r="BL89">
        <v>0</v>
      </c>
      <c r="BM89">
        <v>0</v>
      </c>
      <c r="BN89">
        <v>0</v>
      </c>
      <c r="BO89">
        <v>0</v>
      </c>
      <c r="BP89">
        <v>0</v>
      </c>
      <c r="BQ89">
        <v>0</v>
      </c>
      <c r="BR89">
        <v>0</v>
      </c>
      <c r="BS89">
        <v>0</v>
      </c>
      <c r="BT89">
        <v>0</v>
      </c>
      <c r="BU89">
        <v>0</v>
      </c>
      <c r="BV89">
        <v>0</v>
      </c>
      <c r="BW89">
        <v>0</v>
      </c>
      <c r="CV89">
        <v>0</v>
      </c>
      <c r="CW89">
        <f>ROUND(Y89*Source!I132*DO89,9)</f>
        <v>0</v>
      </c>
      <c r="CX89">
        <f>ROUND(Y89*Source!I132,9)</f>
        <v>0</v>
      </c>
      <c r="CY89">
        <f>AB89</f>
        <v>68.260000000000005</v>
      </c>
      <c r="CZ89">
        <f>AF89</f>
        <v>68.260000000000005</v>
      </c>
      <c r="DA89">
        <f>AJ89</f>
        <v>1</v>
      </c>
      <c r="DB89">
        <f t="shared" si="42"/>
        <v>144.03</v>
      </c>
      <c r="DC89">
        <f t="shared" si="43"/>
        <v>0</v>
      </c>
      <c r="DD89" t="s">
        <v>3</v>
      </c>
      <c r="DE89" t="s">
        <v>3</v>
      </c>
      <c r="DF89">
        <f t="shared" si="29"/>
        <v>0</v>
      </c>
      <c r="DG89">
        <f t="shared" si="30"/>
        <v>0</v>
      </c>
      <c r="DH89">
        <f t="shared" si="31"/>
        <v>0</v>
      </c>
      <c r="DI89">
        <f t="shared" si="32"/>
        <v>0</v>
      </c>
      <c r="DJ89">
        <f>DG89</f>
        <v>0</v>
      </c>
      <c r="DK89">
        <v>0</v>
      </c>
      <c r="DL89" t="s">
        <v>3</v>
      </c>
      <c r="DM89">
        <v>0</v>
      </c>
      <c r="DN89" t="s">
        <v>3</v>
      </c>
      <c r="DO89">
        <v>0</v>
      </c>
    </row>
    <row r="90" spans="1:119" x14ac:dyDescent="0.2">
      <c r="A90">
        <f>ROW(Source!A132)</f>
        <v>132</v>
      </c>
      <c r="B90">
        <v>78131199</v>
      </c>
      <c r="C90">
        <v>78131035</v>
      </c>
      <c r="D90">
        <v>77796161</v>
      </c>
      <c r="E90">
        <v>37</v>
      </c>
      <c r="F90">
        <v>1</v>
      </c>
      <c r="G90">
        <v>37</v>
      </c>
      <c r="H90">
        <v>3</v>
      </c>
      <c r="I90" t="s">
        <v>275</v>
      </c>
      <c r="J90" t="s">
        <v>276</v>
      </c>
      <c r="K90" t="s">
        <v>277</v>
      </c>
      <c r="L90">
        <v>1348</v>
      </c>
      <c r="N90">
        <v>1009</v>
      </c>
      <c r="O90" t="s">
        <v>200</v>
      </c>
      <c r="P90" t="s">
        <v>200</v>
      </c>
      <c r="Q90">
        <v>1000</v>
      </c>
      <c r="W90">
        <v>0</v>
      </c>
      <c r="X90">
        <v>1022491451</v>
      </c>
      <c r="Y90">
        <f t="shared" si="41"/>
        <v>9.9</v>
      </c>
      <c r="AA90">
        <v>67221.42</v>
      </c>
      <c r="AB90">
        <v>0</v>
      </c>
      <c r="AC90">
        <v>0</v>
      </c>
      <c r="AD90">
        <v>0</v>
      </c>
      <c r="AE90">
        <v>67221.42</v>
      </c>
      <c r="AF90">
        <v>0</v>
      </c>
      <c r="AG90">
        <v>0</v>
      </c>
      <c r="AH90">
        <v>0</v>
      </c>
      <c r="AI90">
        <v>1</v>
      </c>
      <c r="AJ90">
        <v>1</v>
      </c>
      <c r="AK90">
        <v>1</v>
      </c>
      <c r="AL90">
        <v>1</v>
      </c>
      <c r="AM90">
        <v>-2</v>
      </c>
      <c r="AN90">
        <v>0</v>
      </c>
      <c r="AO90">
        <v>1</v>
      </c>
      <c r="AP90">
        <v>0</v>
      </c>
      <c r="AQ90">
        <v>0</v>
      </c>
      <c r="AR90">
        <v>0</v>
      </c>
      <c r="AS90" t="s">
        <v>3</v>
      </c>
      <c r="AT90">
        <v>9.9</v>
      </c>
      <c r="AU90" t="s">
        <v>3</v>
      </c>
      <c r="AV90">
        <v>0</v>
      </c>
      <c r="AW90">
        <v>2</v>
      </c>
      <c r="AX90">
        <v>78131059</v>
      </c>
      <c r="AY90">
        <v>2</v>
      </c>
      <c r="AZ90">
        <v>22528</v>
      </c>
      <c r="BA90">
        <v>84</v>
      </c>
      <c r="BB90">
        <v>0</v>
      </c>
      <c r="BC90">
        <v>0</v>
      </c>
      <c r="BD90">
        <v>0</v>
      </c>
      <c r="BE90">
        <v>0</v>
      </c>
      <c r="BF90">
        <v>0</v>
      </c>
      <c r="BG90">
        <v>0</v>
      </c>
      <c r="BH90">
        <v>0</v>
      </c>
      <c r="BI90">
        <v>0</v>
      </c>
      <c r="BJ90">
        <v>0</v>
      </c>
      <c r="BK90">
        <v>0</v>
      </c>
      <c r="BL90">
        <v>0</v>
      </c>
      <c r="BM90">
        <v>0</v>
      </c>
      <c r="BN90">
        <v>0</v>
      </c>
      <c r="BO90">
        <v>0</v>
      </c>
      <c r="BP90">
        <v>0</v>
      </c>
      <c r="BQ90">
        <v>0</v>
      </c>
      <c r="BR90">
        <v>0</v>
      </c>
      <c r="BS90">
        <v>0</v>
      </c>
      <c r="BT90">
        <v>0</v>
      </c>
      <c r="BU90">
        <v>0</v>
      </c>
      <c r="BV90">
        <v>0</v>
      </c>
      <c r="BW90">
        <v>0</v>
      </c>
      <c r="CV90">
        <v>0</v>
      </c>
      <c r="CW90">
        <v>0</v>
      </c>
      <c r="CX90">
        <f>ROUND(Y90*Source!I132,9)</f>
        <v>0</v>
      </c>
      <c r="CY90">
        <f t="shared" ref="CY90:CY99" si="44">AA90</f>
        <v>67221.42</v>
      </c>
      <c r="CZ90">
        <f t="shared" ref="CZ90:CZ99" si="45">AE90</f>
        <v>67221.42</v>
      </c>
      <c r="DA90">
        <f t="shared" ref="DA90:DA99" si="46">AI90</f>
        <v>1</v>
      </c>
      <c r="DB90">
        <f t="shared" si="42"/>
        <v>665492.06000000006</v>
      </c>
      <c r="DC90">
        <f t="shared" si="43"/>
        <v>0</v>
      </c>
      <c r="DD90" t="s">
        <v>3</v>
      </c>
      <c r="DE90" t="s">
        <v>3</v>
      </c>
      <c r="DF90">
        <f t="shared" si="29"/>
        <v>0</v>
      </c>
      <c r="DG90">
        <f t="shared" si="30"/>
        <v>0</v>
      </c>
      <c r="DH90">
        <f t="shared" si="31"/>
        <v>0</v>
      </c>
      <c r="DI90">
        <f t="shared" si="32"/>
        <v>0</v>
      </c>
      <c r="DJ90">
        <f t="shared" ref="DJ90:DJ99" si="47">DF90</f>
        <v>0</v>
      </c>
      <c r="DK90">
        <v>0</v>
      </c>
      <c r="DL90" t="s">
        <v>3</v>
      </c>
      <c r="DM90">
        <v>0</v>
      </c>
      <c r="DN90" t="s">
        <v>3</v>
      </c>
      <c r="DO90">
        <v>0</v>
      </c>
    </row>
    <row r="91" spans="1:119" x14ac:dyDescent="0.2">
      <c r="A91">
        <f>ROW(Source!A132)</f>
        <v>132</v>
      </c>
      <c r="B91">
        <v>78131199</v>
      </c>
      <c r="C91">
        <v>78131035</v>
      </c>
      <c r="D91">
        <v>77795830</v>
      </c>
      <c r="E91">
        <v>37</v>
      </c>
      <c r="F91">
        <v>1</v>
      </c>
      <c r="G91">
        <v>37</v>
      </c>
      <c r="H91">
        <v>3</v>
      </c>
      <c r="I91" t="s">
        <v>288</v>
      </c>
      <c r="J91" t="s">
        <v>289</v>
      </c>
      <c r="K91" t="s">
        <v>290</v>
      </c>
      <c r="L91">
        <v>1356</v>
      </c>
      <c r="N91">
        <v>1010</v>
      </c>
      <c r="O91" t="s">
        <v>291</v>
      </c>
      <c r="P91" t="s">
        <v>291</v>
      </c>
      <c r="Q91">
        <v>1000</v>
      </c>
      <c r="W91">
        <v>0</v>
      </c>
      <c r="X91">
        <v>570745553</v>
      </c>
      <c r="Y91">
        <f t="shared" si="41"/>
        <v>3.4000000000000002E-2</v>
      </c>
      <c r="AA91">
        <v>43480.06</v>
      </c>
      <c r="AB91">
        <v>0</v>
      </c>
      <c r="AC91">
        <v>0</v>
      </c>
      <c r="AD91">
        <v>0</v>
      </c>
      <c r="AE91">
        <v>43480.06</v>
      </c>
      <c r="AF91">
        <v>0</v>
      </c>
      <c r="AG91">
        <v>0</v>
      </c>
      <c r="AH91">
        <v>0</v>
      </c>
      <c r="AI91">
        <v>1</v>
      </c>
      <c r="AJ91">
        <v>1</v>
      </c>
      <c r="AK91">
        <v>1</v>
      </c>
      <c r="AL91">
        <v>1</v>
      </c>
      <c r="AM91">
        <v>-2</v>
      </c>
      <c r="AN91">
        <v>0</v>
      </c>
      <c r="AO91">
        <v>1</v>
      </c>
      <c r="AP91">
        <v>0</v>
      </c>
      <c r="AQ91">
        <v>0</v>
      </c>
      <c r="AR91">
        <v>0</v>
      </c>
      <c r="AS91" t="s">
        <v>3</v>
      </c>
      <c r="AT91">
        <v>3.4000000000000002E-2</v>
      </c>
      <c r="AU91" t="s">
        <v>3</v>
      </c>
      <c r="AV91">
        <v>0</v>
      </c>
      <c r="AW91">
        <v>2</v>
      </c>
      <c r="AX91">
        <v>78131058</v>
      </c>
      <c r="AY91">
        <v>2</v>
      </c>
      <c r="AZ91">
        <v>16384</v>
      </c>
      <c r="BA91">
        <v>85</v>
      </c>
      <c r="BB91">
        <v>0</v>
      </c>
      <c r="BC91">
        <v>0</v>
      </c>
      <c r="BD91">
        <v>0</v>
      </c>
      <c r="BE91">
        <v>0</v>
      </c>
      <c r="BF91">
        <v>0</v>
      </c>
      <c r="BG91">
        <v>0</v>
      </c>
      <c r="BH91">
        <v>0</v>
      </c>
      <c r="BI91">
        <v>0</v>
      </c>
      <c r="BJ91">
        <v>0</v>
      </c>
      <c r="BK91">
        <v>0</v>
      </c>
      <c r="BL91">
        <v>0</v>
      </c>
      <c r="BM91">
        <v>0</v>
      </c>
      <c r="BN91">
        <v>0</v>
      </c>
      <c r="BO91">
        <v>0</v>
      </c>
      <c r="BP91">
        <v>0</v>
      </c>
      <c r="BQ91">
        <v>0</v>
      </c>
      <c r="BR91">
        <v>0</v>
      </c>
      <c r="BS91">
        <v>0</v>
      </c>
      <c r="BT91">
        <v>0</v>
      </c>
      <c r="BU91">
        <v>0</v>
      </c>
      <c r="BV91">
        <v>0</v>
      </c>
      <c r="BW91">
        <v>0</v>
      </c>
      <c r="CV91">
        <v>0</v>
      </c>
      <c r="CW91">
        <v>0</v>
      </c>
      <c r="CX91">
        <f>ROUND(Y91*Source!I132,9)</f>
        <v>0</v>
      </c>
      <c r="CY91">
        <f t="shared" si="44"/>
        <v>43480.06</v>
      </c>
      <c r="CZ91">
        <f t="shared" si="45"/>
        <v>43480.06</v>
      </c>
      <c r="DA91">
        <f t="shared" si="46"/>
        <v>1</v>
      </c>
      <c r="DB91">
        <f t="shared" si="42"/>
        <v>1478.32</v>
      </c>
      <c r="DC91">
        <f t="shared" si="43"/>
        <v>0</v>
      </c>
      <c r="DD91" t="s">
        <v>3</v>
      </c>
      <c r="DE91" t="s">
        <v>3</v>
      </c>
      <c r="DF91">
        <f t="shared" si="29"/>
        <v>0</v>
      </c>
      <c r="DG91">
        <f t="shared" si="30"/>
        <v>0</v>
      </c>
      <c r="DH91">
        <f t="shared" si="31"/>
        <v>0</v>
      </c>
      <c r="DI91">
        <f t="shared" si="32"/>
        <v>0</v>
      </c>
      <c r="DJ91">
        <f t="shared" si="47"/>
        <v>0</v>
      </c>
      <c r="DK91">
        <v>0</v>
      </c>
      <c r="DL91" t="s">
        <v>3</v>
      </c>
      <c r="DM91">
        <v>0</v>
      </c>
      <c r="DN91" t="s">
        <v>3</v>
      </c>
      <c r="DO91">
        <v>0</v>
      </c>
    </row>
    <row r="92" spans="1:119" x14ac:dyDescent="0.2">
      <c r="A92">
        <f>ROW(Source!A132)</f>
        <v>132</v>
      </c>
      <c r="B92">
        <v>78131199</v>
      </c>
      <c r="C92">
        <v>78131035</v>
      </c>
      <c r="D92">
        <v>77801172</v>
      </c>
      <c r="E92">
        <v>37</v>
      </c>
      <c r="F92">
        <v>1</v>
      </c>
      <c r="G92">
        <v>37</v>
      </c>
      <c r="H92">
        <v>3</v>
      </c>
      <c r="I92" t="s">
        <v>166</v>
      </c>
      <c r="J92" t="s">
        <v>168</v>
      </c>
      <c r="K92" t="s">
        <v>167</v>
      </c>
      <c r="L92">
        <v>1301</v>
      </c>
      <c r="N92">
        <v>1003</v>
      </c>
      <c r="O92" t="s">
        <v>33</v>
      </c>
      <c r="P92" t="s">
        <v>33</v>
      </c>
      <c r="Q92">
        <v>1</v>
      </c>
      <c r="W92">
        <v>0</v>
      </c>
      <c r="X92">
        <v>1423491498</v>
      </c>
      <c r="Y92">
        <f t="shared" si="41"/>
        <v>100</v>
      </c>
      <c r="AA92">
        <v>765.86</v>
      </c>
      <c r="AB92">
        <v>0</v>
      </c>
      <c r="AC92">
        <v>0</v>
      </c>
      <c r="AD92">
        <v>0</v>
      </c>
      <c r="AE92">
        <v>765.86</v>
      </c>
      <c r="AF92">
        <v>0</v>
      </c>
      <c r="AG92">
        <v>0</v>
      </c>
      <c r="AH92">
        <v>0</v>
      </c>
      <c r="AI92">
        <v>1</v>
      </c>
      <c r="AJ92">
        <v>1</v>
      </c>
      <c r="AK92">
        <v>1</v>
      </c>
      <c r="AL92">
        <v>1</v>
      </c>
      <c r="AM92">
        <v>-2</v>
      </c>
      <c r="AN92">
        <v>0</v>
      </c>
      <c r="AO92">
        <v>1</v>
      </c>
      <c r="AP92">
        <v>0</v>
      </c>
      <c r="AQ92">
        <v>0</v>
      </c>
      <c r="AR92">
        <v>0</v>
      </c>
      <c r="AS92" t="s">
        <v>3</v>
      </c>
      <c r="AT92">
        <v>100</v>
      </c>
      <c r="AU92" t="s">
        <v>3</v>
      </c>
      <c r="AV92">
        <v>0</v>
      </c>
      <c r="AW92">
        <v>2</v>
      </c>
      <c r="AX92">
        <v>78131057</v>
      </c>
      <c r="AY92">
        <v>2</v>
      </c>
      <c r="AZ92">
        <v>16384</v>
      </c>
      <c r="BA92">
        <v>86</v>
      </c>
      <c r="BB92">
        <v>0</v>
      </c>
      <c r="BC92">
        <v>0</v>
      </c>
      <c r="BD92">
        <v>0</v>
      </c>
      <c r="BE92">
        <v>0</v>
      </c>
      <c r="BF92">
        <v>0</v>
      </c>
      <c r="BG92">
        <v>0</v>
      </c>
      <c r="BH92">
        <v>0</v>
      </c>
      <c r="BI92">
        <v>0</v>
      </c>
      <c r="BJ92">
        <v>0</v>
      </c>
      <c r="BK92">
        <v>0</v>
      </c>
      <c r="BL92">
        <v>0</v>
      </c>
      <c r="BM92">
        <v>0</v>
      </c>
      <c r="BN92">
        <v>0</v>
      </c>
      <c r="BO92">
        <v>0</v>
      </c>
      <c r="BP92">
        <v>0</v>
      </c>
      <c r="BQ92">
        <v>0</v>
      </c>
      <c r="BR92">
        <v>0</v>
      </c>
      <c r="BS92">
        <v>0</v>
      </c>
      <c r="BT92">
        <v>0</v>
      </c>
      <c r="BU92">
        <v>0</v>
      </c>
      <c r="BV92">
        <v>0</v>
      </c>
      <c r="BW92">
        <v>0</v>
      </c>
      <c r="CV92">
        <v>0</v>
      </c>
      <c r="CW92">
        <v>0</v>
      </c>
      <c r="CX92">
        <f>ROUND(Y92*Source!I132,9)</f>
        <v>0</v>
      </c>
      <c r="CY92">
        <f t="shared" si="44"/>
        <v>765.86</v>
      </c>
      <c r="CZ92">
        <f t="shared" si="45"/>
        <v>765.86</v>
      </c>
      <c r="DA92">
        <f t="shared" si="46"/>
        <v>1</v>
      </c>
      <c r="DB92">
        <f t="shared" si="42"/>
        <v>76586</v>
      </c>
      <c r="DC92">
        <f t="shared" si="43"/>
        <v>0</v>
      </c>
      <c r="DD92" t="s">
        <v>3</v>
      </c>
      <c r="DE92" t="s">
        <v>3</v>
      </c>
      <c r="DF92">
        <f t="shared" si="29"/>
        <v>0</v>
      </c>
      <c r="DG92">
        <f t="shared" si="30"/>
        <v>0</v>
      </c>
      <c r="DH92">
        <f t="shared" si="31"/>
        <v>0</v>
      </c>
      <c r="DI92">
        <f t="shared" si="32"/>
        <v>0</v>
      </c>
      <c r="DJ92">
        <f t="shared" si="47"/>
        <v>0</v>
      </c>
      <c r="DK92">
        <v>0</v>
      </c>
      <c r="DL92" t="s">
        <v>3</v>
      </c>
      <c r="DM92">
        <v>0</v>
      </c>
      <c r="DN92" t="s">
        <v>3</v>
      </c>
      <c r="DO92">
        <v>0</v>
      </c>
    </row>
    <row r="93" spans="1:119" x14ac:dyDescent="0.2">
      <c r="A93">
        <f>ROW(Source!A132)</f>
        <v>132</v>
      </c>
      <c r="B93">
        <v>78131199</v>
      </c>
      <c r="C93">
        <v>78131035</v>
      </c>
      <c r="D93">
        <v>77795310</v>
      </c>
      <c r="E93">
        <v>37</v>
      </c>
      <c r="F93">
        <v>1</v>
      </c>
      <c r="G93">
        <v>37</v>
      </c>
      <c r="H93">
        <v>3</v>
      </c>
      <c r="I93" t="s">
        <v>295</v>
      </c>
      <c r="J93" t="s">
        <v>296</v>
      </c>
      <c r="K93" t="s">
        <v>297</v>
      </c>
      <c r="L93">
        <v>1348</v>
      </c>
      <c r="N93">
        <v>1009</v>
      </c>
      <c r="O93" t="s">
        <v>200</v>
      </c>
      <c r="P93" t="s">
        <v>200</v>
      </c>
      <c r="Q93">
        <v>1000</v>
      </c>
      <c r="W93">
        <v>0</v>
      </c>
      <c r="X93">
        <v>555747395</v>
      </c>
      <c r="Y93">
        <f t="shared" si="41"/>
        <v>4.0000000000000002E-4</v>
      </c>
      <c r="AA93">
        <v>107698.04</v>
      </c>
      <c r="AB93">
        <v>0</v>
      </c>
      <c r="AC93">
        <v>0</v>
      </c>
      <c r="AD93">
        <v>0</v>
      </c>
      <c r="AE93">
        <v>107698.04</v>
      </c>
      <c r="AF93">
        <v>0</v>
      </c>
      <c r="AG93">
        <v>0</v>
      </c>
      <c r="AH93">
        <v>0</v>
      </c>
      <c r="AI93">
        <v>1</v>
      </c>
      <c r="AJ93">
        <v>1</v>
      </c>
      <c r="AK93">
        <v>1</v>
      </c>
      <c r="AL93">
        <v>1</v>
      </c>
      <c r="AM93">
        <v>-2</v>
      </c>
      <c r="AN93">
        <v>0</v>
      </c>
      <c r="AO93">
        <v>1</v>
      </c>
      <c r="AP93">
        <v>0</v>
      </c>
      <c r="AQ93">
        <v>0</v>
      </c>
      <c r="AR93">
        <v>0</v>
      </c>
      <c r="AS93" t="s">
        <v>3</v>
      </c>
      <c r="AT93">
        <v>4.0000000000000002E-4</v>
      </c>
      <c r="AU93" t="s">
        <v>3</v>
      </c>
      <c r="AV93">
        <v>0</v>
      </c>
      <c r="AW93">
        <v>2</v>
      </c>
      <c r="AX93">
        <v>78131050</v>
      </c>
      <c r="AY93">
        <v>2</v>
      </c>
      <c r="AZ93">
        <v>16384</v>
      </c>
      <c r="BA93">
        <v>87</v>
      </c>
      <c r="BB93">
        <v>0</v>
      </c>
      <c r="BC93">
        <v>0</v>
      </c>
      <c r="BD93">
        <v>0</v>
      </c>
      <c r="BE93">
        <v>0</v>
      </c>
      <c r="BF93">
        <v>0</v>
      </c>
      <c r="BG93">
        <v>0</v>
      </c>
      <c r="BH93">
        <v>0</v>
      </c>
      <c r="BI93">
        <v>0</v>
      </c>
      <c r="BJ93">
        <v>0</v>
      </c>
      <c r="BK93">
        <v>0</v>
      </c>
      <c r="BL93">
        <v>0</v>
      </c>
      <c r="BM93">
        <v>0</v>
      </c>
      <c r="BN93">
        <v>0</v>
      </c>
      <c r="BO93">
        <v>0</v>
      </c>
      <c r="BP93">
        <v>0</v>
      </c>
      <c r="BQ93">
        <v>0</v>
      </c>
      <c r="BR93">
        <v>0</v>
      </c>
      <c r="BS93">
        <v>0</v>
      </c>
      <c r="BT93">
        <v>0</v>
      </c>
      <c r="BU93">
        <v>0</v>
      </c>
      <c r="BV93">
        <v>0</v>
      </c>
      <c r="BW93">
        <v>0</v>
      </c>
      <c r="CV93">
        <v>0</v>
      </c>
      <c r="CW93">
        <v>0</v>
      </c>
      <c r="CX93">
        <f>ROUND(Y93*Source!I132,9)</f>
        <v>0</v>
      </c>
      <c r="CY93">
        <f t="shared" si="44"/>
        <v>107698.04</v>
      </c>
      <c r="CZ93">
        <f t="shared" si="45"/>
        <v>107698.04</v>
      </c>
      <c r="DA93">
        <f t="shared" si="46"/>
        <v>1</v>
      </c>
      <c r="DB93">
        <f t="shared" si="42"/>
        <v>43.08</v>
      </c>
      <c r="DC93">
        <f t="shared" si="43"/>
        <v>0</v>
      </c>
      <c r="DD93" t="s">
        <v>3</v>
      </c>
      <c r="DE93" t="s">
        <v>3</v>
      </c>
      <c r="DF93">
        <f t="shared" si="29"/>
        <v>0</v>
      </c>
      <c r="DG93">
        <f t="shared" si="30"/>
        <v>0</v>
      </c>
      <c r="DH93">
        <f t="shared" si="31"/>
        <v>0</v>
      </c>
      <c r="DI93">
        <f t="shared" si="32"/>
        <v>0</v>
      </c>
      <c r="DJ93">
        <f t="shared" si="47"/>
        <v>0</v>
      </c>
      <c r="DK93">
        <v>0</v>
      </c>
      <c r="DL93" t="s">
        <v>3</v>
      </c>
      <c r="DM93">
        <v>0</v>
      </c>
      <c r="DN93" t="s">
        <v>3</v>
      </c>
      <c r="DO93">
        <v>0</v>
      </c>
    </row>
    <row r="94" spans="1:119" x14ac:dyDescent="0.2">
      <c r="A94">
        <f>ROW(Source!A132)</f>
        <v>132</v>
      </c>
      <c r="B94">
        <v>78131199</v>
      </c>
      <c r="C94">
        <v>78131035</v>
      </c>
      <c r="D94">
        <v>77794733</v>
      </c>
      <c r="E94">
        <v>37</v>
      </c>
      <c r="F94">
        <v>1</v>
      </c>
      <c r="G94">
        <v>37</v>
      </c>
      <c r="H94">
        <v>3</v>
      </c>
      <c r="I94" t="s">
        <v>278</v>
      </c>
      <c r="J94" t="s">
        <v>279</v>
      </c>
      <c r="K94" t="s">
        <v>280</v>
      </c>
      <c r="L94">
        <v>1339</v>
      </c>
      <c r="N94">
        <v>1007</v>
      </c>
      <c r="O94" t="s">
        <v>281</v>
      </c>
      <c r="P94" t="s">
        <v>281</v>
      </c>
      <c r="Q94">
        <v>1</v>
      </c>
      <c r="W94">
        <v>0</v>
      </c>
      <c r="X94">
        <v>-1393929784</v>
      </c>
      <c r="Y94">
        <f t="shared" si="41"/>
        <v>2.75</v>
      </c>
      <c r="AA94">
        <v>49.83</v>
      </c>
      <c r="AB94">
        <v>0</v>
      </c>
      <c r="AC94">
        <v>0</v>
      </c>
      <c r="AD94">
        <v>0</v>
      </c>
      <c r="AE94">
        <v>49.83</v>
      </c>
      <c r="AF94">
        <v>0</v>
      </c>
      <c r="AG94">
        <v>0</v>
      </c>
      <c r="AH94">
        <v>0</v>
      </c>
      <c r="AI94">
        <v>1</v>
      </c>
      <c r="AJ94">
        <v>1</v>
      </c>
      <c r="AK94">
        <v>1</v>
      </c>
      <c r="AL94">
        <v>1</v>
      </c>
      <c r="AM94">
        <v>-2</v>
      </c>
      <c r="AN94">
        <v>0</v>
      </c>
      <c r="AO94">
        <v>1</v>
      </c>
      <c r="AP94">
        <v>0</v>
      </c>
      <c r="AQ94">
        <v>0</v>
      </c>
      <c r="AR94">
        <v>0</v>
      </c>
      <c r="AS94" t="s">
        <v>3</v>
      </c>
      <c r="AT94">
        <v>2.75</v>
      </c>
      <c r="AU94" t="s">
        <v>3</v>
      </c>
      <c r="AV94">
        <v>0</v>
      </c>
      <c r="AW94">
        <v>2</v>
      </c>
      <c r="AX94">
        <v>78131051</v>
      </c>
      <c r="AY94">
        <v>2</v>
      </c>
      <c r="AZ94">
        <v>16384</v>
      </c>
      <c r="BA94">
        <v>88</v>
      </c>
      <c r="BB94">
        <v>0</v>
      </c>
      <c r="BC94">
        <v>0</v>
      </c>
      <c r="BD94">
        <v>0</v>
      </c>
      <c r="BE94">
        <v>0</v>
      </c>
      <c r="BF94">
        <v>0</v>
      </c>
      <c r="BG94">
        <v>0</v>
      </c>
      <c r="BH94">
        <v>0</v>
      </c>
      <c r="BI94">
        <v>0</v>
      </c>
      <c r="BJ94">
        <v>0</v>
      </c>
      <c r="BK94">
        <v>0</v>
      </c>
      <c r="BL94">
        <v>0</v>
      </c>
      <c r="BM94">
        <v>0</v>
      </c>
      <c r="BN94">
        <v>0</v>
      </c>
      <c r="BO94">
        <v>0</v>
      </c>
      <c r="BP94">
        <v>0</v>
      </c>
      <c r="BQ94">
        <v>0</v>
      </c>
      <c r="BR94">
        <v>0</v>
      </c>
      <c r="BS94">
        <v>0</v>
      </c>
      <c r="BT94">
        <v>0</v>
      </c>
      <c r="BU94">
        <v>0</v>
      </c>
      <c r="BV94">
        <v>0</v>
      </c>
      <c r="BW94">
        <v>0</v>
      </c>
      <c r="CV94">
        <v>0</v>
      </c>
      <c r="CW94">
        <v>0</v>
      </c>
      <c r="CX94">
        <f>ROUND(Y94*Source!I132,9)</f>
        <v>0</v>
      </c>
      <c r="CY94">
        <f t="shared" si="44"/>
        <v>49.83</v>
      </c>
      <c r="CZ94">
        <f t="shared" si="45"/>
        <v>49.83</v>
      </c>
      <c r="DA94">
        <f t="shared" si="46"/>
        <v>1</v>
      </c>
      <c r="DB94">
        <f t="shared" si="42"/>
        <v>137.03</v>
      </c>
      <c r="DC94">
        <f t="shared" si="43"/>
        <v>0</v>
      </c>
      <c r="DD94" t="s">
        <v>3</v>
      </c>
      <c r="DE94" t="s">
        <v>3</v>
      </c>
      <c r="DF94">
        <f t="shared" si="29"/>
        <v>0</v>
      </c>
      <c r="DG94">
        <f t="shared" si="30"/>
        <v>0</v>
      </c>
      <c r="DH94">
        <f t="shared" si="31"/>
        <v>0</v>
      </c>
      <c r="DI94">
        <f t="shared" si="32"/>
        <v>0</v>
      </c>
      <c r="DJ94">
        <f t="shared" si="47"/>
        <v>0</v>
      </c>
      <c r="DK94">
        <v>0</v>
      </c>
      <c r="DL94" t="s">
        <v>3</v>
      </c>
      <c r="DM94">
        <v>0</v>
      </c>
      <c r="DN94" t="s">
        <v>3</v>
      </c>
      <c r="DO94">
        <v>0</v>
      </c>
    </row>
    <row r="95" spans="1:119" x14ac:dyDescent="0.2">
      <c r="A95">
        <f>ROW(Source!A132)</f>
        <v>132</v>
      </c>
      <c r="B95">
        <v>78131199</v>
      </c>
      <c r="C95">
        <v>78131035</v>
      </c>
      <c r="D95">
        <v>77804876</v>
      </c>
      <c r="E95">
        <v>37</v>
      </c>
      <c r="F95">
        <v>1</v>
      </c>
      <c r="G95">
        <v>37</v>
      </c>
      <c r="H95">
        <v>3</v>
      </c>
      <c r="I95" t="s">
        <v>298</v>
      </c>
      <c r="J95" t="s">
        <v>299</v>
      </c>
      <c r="K95" t="s">
        <v>300</v>
      </c>
      <c r="L95">
        <v>1346</v>
      </c>
      <c r="N95">
        <v>1009</v>
      </c>
      <c r="O95" t="s">
        <v>264</v>
      </c>
      <c r="P95" t="s">
        <v>264</v>
      </c>
      <c r="Q95">
        <v>1</v>
      </c>
      <c r="W95">
        <v>0</v>
      </c>
      <c r="X95">
        <v>1013639029</v>
      </c>
      <c r="Y95">
        <f t="shared" si="41"/>
        <v>0.02</v>
      </c>
      <c r="AA95">
        <v>745.17</v>
      </c>
      <c r="AB95">
        <v>0</v>
      </c>
      <c r="AC95">
        <v>0</v>
      </c>
      <c r="AD95">
        <v>0</v>
      </c>
      <c r="AE95">
        <v>745.17</v>
      </c>
      <c r="AF95">
        <v>0</v>
      </c>
      <c r="AG95">
        <v>0</v>
      </c>
      <c r="AH95">
        <v>0</v>
      </c>
      <c r="AI95">
        <v>1</v>
      </c>
      <c r="AJ95">
        <v>1</v>
      </c>
      <c r="AK95">
        <v>1</v>
      </c>
      <c r="AL95">
        <v>1</v>
      </c>
      <c r="AM95">
        <v>-2</v>
      </c>
      <c r="AN95">
        <v>0</v>
      </c>
      <c r="AO95">
        <v>1</v>
      </c>
      <c r="AP95">
        <v>0</v>
      </c>
      <c r="AQ95">
        <v>0</v>
      </c>
      <c r="AR95">
        <v>0</v>
      </c>
      <c r="AS95" t="s">
        <v>3</v>
      </c>
      <c r="AT95">
        <v>0.02</v>
      </c>
      <c r="AU95" t="s">
        <v>3</v>
      </c>
      <c r="AV95">
        <v>0</v>
      </c>
      <c r="AW95">
        <v>2</v>
      </c>
      <c r="AX95">
        <v>78131052</v>
      </c>
      <c r="AY95">
        <v>2</v>
      </c>
      <c r="AZ95">
        <v>16384</v>
      </c>
      <c r="BA95">
        <v>89</v>
      </c>
      <c r="BB95">
        <v>0</v>
      </c>
      <c r="BC95">
        <v>0</v>
      </c>
      <c r="BD95">
        <v>0</v>
      </c>
      <c r="BE95">
        <v>0</v>
      </c>
      <c r="BF95">
        <v>0</v>
      </c>
      <c r="BG95">
        <v>0</v>
      </c>
      <c r="BH95">
        <v>0</v>
      </c>
      <c r="BI95">
        <v>0</v>
      </c>
      <c r="BJ95">
        <v>0</v>
      </c>
      <c r="BK95">
        <v>0</v>
      </c>
      <c r="BL95">
        <v>0</v>
      </c>
      <c r="BM95">
        <v>0</v>
      </c>
      <c r="BN95">
        <v>0</v>
      </c>
      <c r="BO95">
        <v>0</v>
      </c>
      <c r="BP95">
        <v>0</v>
      </c>
      <c r="BQ95">
        <v>0</v>
      </c>
      <c r="BR95">
        <v>0</v>
      </c>
      <c r="BS95">
        <v>0</v>
      </c>
      <c r="BT95">
        <v>0</v>
      </c>
      <c r="BU95">
        <v>0</v>
      </c>
      <c r="BV95">
        <v>0</v>
      </c>
      <c r="BW95">
        <v>0</v>
      </c>
      <c r="CV95">
        <v>0</v>
      </c>
      <c r="CW95">
        <v>0</v>
      </c>
      <c r="CX95">
        <f>ROUND(Y95*Source!I132,9)</f>
        <v>0</v>
      </c>
      <c r="CY95">
        <f t="shared" si="44"/>
        <v>745.17</v>
      </c>
      <c r="CZ95">
        <f t="shared" si="45"/>
        <v>745.17</v>
      </c>
      <c r="DA95">
        <f t="shared" si="46"/>
        <v>1</v>
      </c>
      <c r="DB95">
        <f t="shared" si="42"/>
        <v>14.9</v>
      </c>
      <c r="DC95">
        <f t="shared" si="43"/>
        <v>0</v>
      </c>
      <c r="DD95" t="s">
        <v>3</v>
      </c>
      <c r="DE95" t="s">
        <v>3</v>
      </c>
      <c r="DF95">
        <f t="shared" si="29"/>
        <v>0</v>
      </c>
      <c r="DG95">
        <f t="shared" si="30"/>
        <v>0</v>
      </c>
      <c r="DH95">
        <f t="shared" si="31"/>
        <v>0</v>
      </c>
      <c r="DI95">
        <f t="shared" si="32"/>
        <v>0</v>
      </c>
      <c r="DJ95">
        <f t="shared" si="47"/>
        <v>0</v>
      </c>
      <c r="DK95">
        <v>0</v>
      </c>
      <c r="DL95" t="s">
        <v>3</v>
      </c>
      <c r="DM95">
        <v>0</v>
      </c>
      <c r="DN95" t="s">
        <v>3</v>
      </c>
      <c r="DO95">
        <v>0</v>
      </c>
    </row>
    <row r="96" spans="1:119" x14ac:dyDescent="0.2">
      <c r="A96">
        <f>ROW(Source!A132)</f>
        <v>132</v>
      </c>
      <c r="B96">
        <v>78131199</v>
      </c>
      <c r="C96">
        <v>78131035</v>
      </c>
      <c r="D96">
        <v>77796116</v>
      </c>
      <c r="E96">
        <v>37</v>
      </c>
      <c r="F96">
        <v>1</v>
      </c>
      <c r="G96">
        <v>37</v>
      </c>
      <c r="H96">
        <v>3</v>
      </c>
      <c r="I96" t="s">
        <v>301</v>
      </c>
      <c r="J96" t="s">
        <v>302</v>
      </c>
      <c r="K96" t="s">
        <v>303</v>
      </c>
      <c r="L96">
        <v>1339</v>
      </c>
      <c r="N96">
        <v>1007</v>
      </c>
      <c r="O96" t="s">
        <v>281</v>
      </c>
      <c r="P96" t="s">
        <v>281</v>
      </c>
      <c r="Q96">
        <v>1</v>
      </c>
      <c r="W96">
        <v>0</v>
      </c>
      <c r="X96">
        <v>622145326</v>
      </c>
      <c r="Y96">
        <f t="shared" si="41"/>
        <v>0.64600000000000002</v>
      </c>
      <c r="AA96">
        <v>89.3</v>
      </c>
      <c r="AB96">
        <v>0</v>
      </c>
      <c r="AC96">
        <v>0</v>
      </c>
      <c r="AD96">
        <v>0</v>
      </c>
      <c r="AE96">
        <v>89.3</v>
      </c>
      <c r="AF96">
        <v>0</v>
      </c>
      <c r="AG96">
        <v>0</v>
      </c>
      <c r="AH96">
        <v>0</v>
      </c>
      <c r="AI96">
        <v>1</v>
      </c>
      <c r="AJ96">
        <v>1</v>
      </c>
      <c r="AK96">
        <v>1</v>
      </c>
      <c r="AL96">
        <v>1</v>
      </c>
      <c r="AM96">
        <v>-2</v>
      </c>
      <c r="AN96">
        <v>0</v>
      </c>
      <c r="AO96">
        <v>1</v>
      </c>
      <c r="AP96">
        <v>0</v>
      </c>
      <c r="AQ96">
        <v>0</v>
      </c>
      <c r="AR96">
        <v>0</v>
      </c>
      <c r="AS96" t="s">
        <v>3</v>
      </c>
      <c r="AT96">
        <v>0.64600000000000002</v>
      </c>
      <c r="AU96" t="s">
        <v>3</v>
      </c>
      <c r="AV96">
        <v>0</v>
      </c>
      <c r="AW96">
        <v>2</v>
      </c>
      <c r="AX96">
        <v>78131053</v>
      </c>
      <c r="AY96">
        <v>2</v>
      </c>
      <c r="AZ96">
        <v>16384</v>
      </c>
      <c r="BA96">
        <v>90</v>
      </c>
      <c r="BB96">
        <v>0</v>
      </c>
      <c r="BC96">
        <v>0</v>
      </c>
      <c r="BD96">
        <v>0</v>
      </c>
      <c r="BE96">
        <v>0</v>
      </c>
      <c r="BF96">
        <v>0</v>
      </c>
      <c r="BG96">
        <v>0</v>
      </c>
      <c r="BH96">
        <v>0</v>
      </c>
      <c r="BI96">
        <v>0</v>
      </c>
      <c r="BJ96">
        <v>0</v>
      </c>
      <c r="BK96">
        <v>0</v>
      </c>
      <c r="BL96">
        <v>0</v>
      </c>
      <c r="BM96">
        <v>0</v>
      </c>
      <c r="BN96">
        <v>0</v>
      </c>
      <c r="BO96">
        <v>0</v>
      </c>
      <c r="BP96">
        <v>0</v>
      </c>
      <c r="BQ96">
        <v>0</v>
      </c>
      <c r="BR96">
        <v>0</v>
      </c>
      <c r="BS96">
        <v>0</v>
      </c>
      <c r="BT96">
        <v>0</v>
      </c>
      <c r="BU96">
        <v>0</v>
      </c>
      <c r="BV96">
        <v>0</v>
      </c>
      <c r="BW96">
        <v>0</v>
      </c>
      <c r="CV96">
        <v>0</v>
      </c>
      <c r="CW96">
        <v>0</v>
      </c>
      <c r="CX96">
        <f>ROUND(Y96*Source!I132,9)</f>
        <v>0</v>
      </c>
      <c r="CY96">
        <f t="shared" si="44"/>
        <v>89.3</v>
      </c>
      <c r="CZ96">
        <f t="shared" si="45"/>
        <v>89.3</v>
      </c>
      <c r="DA96">
        <f t="shared" si="46"/>
        <v>1</v>
      </c>
      <c r="DB96">
        <f t="shared" si="42"/>
        <v>57.69</v>
      </c>
      <c r="DC96">
        <f t="shared" si="43"/>
        <v>0</v>
      </c>
      <c r="DD96" t="s">
        <v>3</v>
      </c>
      <c r="DE96" t="s">
        <v>3</v>
      </c>
      <c r="DF96">
        <f t="shared" si="29"/>
        <v>0</v>
      </c>
      <c r="DG96">
        <f t="shared" si="30"/>
        <v>0</v>
      </c>
      <c r="DH96">
        <f t="shared" si="31"/>
        <v>0</v>
      </c>
      <c r="DI96">
        <f t="shared" si="32"/>
        <v>0</v>
      </c>
      <c r="DJ96">
        <f t="shared" si="47"/>
        <v>0</v>
      </c>
      <c r="DK96">
        <v>0</v>
      </c>
      <c r="DL96" t="s">
        <v>3</v>
      </c>
      <c r="DM96">
        <v>0</v>
      </c>
      <c r="DN96" t="s">
        <v>3</v>
      </c>
      <c r="DO96">
        <v>0</v>
      </c>
    </row>
    <row r="97" spans="1:119" x14ac:dyDescent="0.2">
      <c r="A97">
        <f>ROW(Source!A132)</f>
        <v>132</v>
      </c>
      <c r="B97">
        <v>78131199</v>
      </c>
      <c r="C97">
        <v>78131035</v>
      </c>
      <c r="D97">
        <v>77797721</v>
      </c>
      <c r="E97">
        <v>37</v>
      </c>
      <c r="F97">
        <v>1</v>
      </c>
      <c r="G97">
        <v>37</v>
      </c>
      <c r="H97">
        <v>3</v>
      </c>
      <c r="I97" t="s">
        <v>304</v>
      </c>
      <c r="J97" t="s">
        <v>305</v>
      </c>
      <c r="K97" t="s">
        <v>306</v>
      </c>
      <c r="L97">
        <v>1339</v>
      </c>
      <c r="N97">
        <v>1007</v>
      </c>
      <c r="O97" t="s">
        <v>281</v>
      </c>
      <c r="P97" t="s">
        <v>281</v>
      </c>
      <c r="Q97">
        <v>1</v>
      </c>
      <c r="W97">
        <v>0</v>
      </c>
      <c r="X97">
        <v>1431951903</v>
      </c>
      <c r="Y97">
        <f t="shared" si="41"/>
        <v>0.38</v>
      </c>
      <c r="AA97">
        <v>698.15</v>
      </c>
      <c r="AB97">
        <v>0</v>
      </c>
      <c r="AC97">
        <v>0</v>
      </c>
      <c r="AD97">
        <v>0</v>
      </c>
      <c r="AE97">
        <v>698.15</v>
      </c>
      <c r="AF97">
        <v>0</v>
      </c>
      <c r="AG97">
        <v>0</v>
      </c>
      <c r="AH97">
        <v>0</v>
      </c>
      <c r="AI97">
        <v>1</v>
      </c>
      <c r="AJ97">
        <v>1</v>
      </c>
      <c r="AK97">
        <v>1</v>
      </c>
      <c r="AL97">
        <v>1</v>
      </c>
      <c r="AM97">
        <v>-2</v>
      </c>
      <c r="AN97">
        <v>0</v>
      </c>
      <c r="AO97">
        <v>1</v>
      </c>
      <c r="AP97">
        <v>0</v>
      </c>
      <c r="AQ97">
        <v>0</v>
      </c>
      <c r="AR97">
        <v>0</v>
      </c>
      <c r="AS97" t="s">
        <v>3</v>
      </c>
      <c r="AT97">
        <v>0.38</v>
      </c>
      <c r="AU97" t="s">
        <v>3</v>
      </c>
      <c r="AV97">
        <v>0</v>
      </c>
      <c r="AW97">
        <v>2</v>
      </c>
      <c r="AX97">
        <v>78131054</v>
      </c>
      <c r="AY97">
        <v>2</v>
      </c>
      <c r="AZ97">
        <v>16384</v>
      </c>
      <c r="BA97">
        <v>91</v>
      </c>
      <c r="BB97">
        <v>0</v>
      </c>
      <c r="BC97">
        <v>0</v>
      </c>
      <c r="BD97">
        <v>0</v>
      </c>
      <c r="BE97">
        <v>0</v>
      </c>
      <c r="BF97">
        <v>0</v>
      </c>
      <c r="BG97">
        <v>0</v>
      </c>
      <c r="BH97">
        <v>0</v>
      </c>
      <c r="BI97">
        <v>0</v>
      </c>
      <c r="BJ97">
        <v>0</v>
      </c>
      <c r="BK97">
        <v>0</v>
      </c>
      <c r="BL97">
        <v>0</v>
      </c>
      <c r="BM97">
        <v>0</v>
      </c>
      <c r="BN97">
        <v>0</v>
      </c>
      <c r="BO97">
        <v>0</v>
      </c>
      <c r="BP97">
        <v>0</v>
      </c>
      <c r="BQ97">
        <v>0</v>
      </c>
      <c r="BR97">
        <v>0</v>
      </c>
      <c r="BS97">
        <v>0</v>
      </c>
      <c r="BT97">
        <v>0</v>
      </c>
      <c r="BU97">
        <v>0</v>
      </c>
      <c r="BV97">
        <v>0</v>
      </c>
      <c r="BW97">
        <v>0</v>
      </c>
      <c r="CV97">
        <v>0</v>
      </c>
      <c r="CW97">
        <v>0</v>
      </c>
      <c r="CX97">
        <f>ROUND(Y97*Source!I132,9)</f>
        <v>0</v>
      </c>
      <c r="CY97">
        <f t="shared" si="44"/>
        <v>698.15</v>
      </c>
      <c r="CZ97">
        <f t="shared" si="45"/>
        <v>698.15</v>
      </c>
      <c r="DA97">
        <f t="shared" si="46"/>
        <v>1</v>
      </c>
      <c r="DB97">
        <f t="shared" si="42"/>
        <v>265.3</v>
      </c>
      <c r="DC97">
        <f t="shared" si="43"/>
        <v>0</v>
      </c>
      <c r="DD97" t="s">
        <v>3</v>
      </c>
      <c r="DE97" t="s">
        <v>3</v>
      </c>
      <c r="DF97">
        <f t="shared" ref="DF97:DF126" si="48">ROUND(ROUND(AE97,2)*CX97,2)</f>
        <v>0</v>
      </c>
      <c r="DG97">
        <f t="shared" ref="DG97:DG126" si="49">ROUND(ROUND(AF97,2)*CX97,2)</f>
        <v>0</v>
      </c>
      <c r="DH97">
        <f t="shared" ref="DH97:DH126" si="50">ROUND(ROUND(AG97,2)*CX97,2)</f>
        <v>0</v>
      </c>
      <c r="DI97">
        <f t="shared" ref="DI97:DI126" si="51">ROUND(ROUND(AH97,2)*CX97,2)</f>
        <v>0</v>
      </c>
      <c r="DJ97">
        <f t="shared" si="47"/>
        <v>0</v>
      </c>
      <c r="DK97">
        <v>0</v>
      </c>
      <c r="DL97" t="s">
        <v>3</v>
      </c>
      <c r="DM97">
        <v>0</v>
      </c>
      <c r="DN97" t="s">
        <v>3</v>
      </c>
      <c r="DO97">
        <v>0</v>
      </c>
    </row>
    <row r="98" spans="1:119" x14ac:dyDescent="0.2">
      <c r="A98">
        <f>ROW(Source!A132)</f>
        <v>132</v>
      </c>
      <c r="B98">
        <v>78131199</v>
      </c>
      <c r="C98">
        <v>78131035</v>
      </c>
      <c r="D98">
        <v>77797516</v>
      </c>
      <c r="E98">
        <v>37</v>
      </c>
      <c r="F98">
        <v>1</v>
      </c>
      <c r="G98">
        <v>37</v>
      </c>
      <c r="H98">
        <v>3</v>
      </c>
      <c r="I98" t="s">
        <v>307</v>
      </c>
      <c r="J98" t="s">
        <v>308</v>
      </c>
      <c r="K98" t="s">
        <v>309</v>
      </c>
      <c r="L98">
        <v>1348</v>
      </c>
      <c r="N98">
        <v>1009</v>
      </c>
      <c r="O98" t="s">
        <v>200</v>
      </c>
      <c r="P98" t="s">
        <v>200</v>
      </c>
      <c r="Q98">
        <v>1000</v>
      </c>
      <c r="W98">
        <v>0</v>
      </c>
      <c r="X98">
        <v>-377825509</v>
      </c>
      <c r="Y98">
        <f t="shared" si="41"/>
        <v>5.4000000000000001E-4</v>
      </c>
      <c r="AA98">
        <v>115885.91</v>
      </c>
      <c r="AB98">
        <v>0</v>
      </c>
      <c r="AC98">
        <v>0</v>
      </c>
      <c r="AD98">
        <v>0</v>
      </c>
      <c r="AE98">
        <v>115885.91</v>
      </c>
      <c r="AF98">
        <v>0</v>
      </c>
      <c r="AG98">
        <v>0</v>
      </c>
      <c r="AH98">
        <v>0</v>
      </c>
      <c r="AI98">
        <v>1</v>
      </c>
      <c r="AJ98">
        <v>1</v>
      </c>
      <c r="AK98">
        <v>1</v>
      </c>
      <c r="AL98">
        <v>1</v>
      </c>
      <c r="AM98">
        <v>-2</v>
      </c>
      <c r="AN98">
        <v>0</v>
      </c>
      <c r="AO98">
        <v>1</v>
      </c>
      <c r="AP98">
        <v>0</v>
      </c>
      <c r="AQ98">
        <v>0</v>
      </c>
      <c r="AR98">
        <v>0</v>
      </c>
      <c r="AS98" t="s">
        <v>3</v>
      </c>
      <c r="AT98">
        <v>5.4000000000000001E-4</v>
      </c>
      <c r="AU98" t="s">
        <v>3</v>
      </c>
      <c r="AV98">
        <v>0</v>
      </c>
      <c r="AW98">
        <v>2</v>
      </c>
      <c r="AX98">
        <v>78131055</v>
      </c>
      <c r="AY98">
        <v>2</v>
      </c>
      <c r="AZ98">
        <v>16384</v>
      </c>
      <c r="BA98">
        <v>92</v>
      </c>
      <c r="BB98">
        <v>0</v>
      </c>
      <c r="BC98">
        <v>0</v>
      </c>
      <c r="BD98">
        <v>0</v>
      </c>
      <c r="BE98">
        <v>0</v>
      </c>
      <c r="BF98">
        <v>0</v>
      </c>
      <c r="BG98">
        <v>0</v>
      </c>
      <c r="BH98">
        <v>0</v>
      </c>
      <c r="BI98">
        <v>0</v>
      </c>
      <c r="BJ98">
        <v>0</v>
      </c>
      <c r="BK98">
        <v>0</v>
      </c>
      <c r="BL98">
        <v>0</v>
      </c>
      <c r="BM98">
        <v>0</v>
      </c>
      <c r="BN98">
        <v>0</v>
      </c>
      <c r="BO98">
        <v>0</v>
      </c>
      <c r="BP98">
        <v>0</v>
      </c>
      <c r="BQ98">
        <v>0</v>
      </c>
      <c r="BR98">
        <v>0</v>
      </c>
      <c r="BS98">
        <v>0</v>
      </c>
      <c r="BT98">
        <v>0</v>
      </c>
      <c r="BU98">
        <v>0</v>
      </c>
      <c r="BV98">
        <v>0</v>
      </c>
      <c r="BW98">
        <v>0</v>
      </c>
      <c r="CV98">
        <v>0</v>
      </c>
      <c r="CW98">
        <v>0</v>
      </c>
      <c r="CX98">
        <f>ROUND(Y98*Source!I132,9)</f>
        <v>0</v>
      </c>
      <c r="CY98">
        <f t="shared" si="44"/>
        <v>115885.91</v>
      </c>
      <c r="CZ98">
        <f t="shared" si="45"/>
        <v>115885.91</v>
      </c>
      <c r="DA98">
        <f t="shared" si="46"/>
        <v>1</v>
      </c>
      <c r="DB98">
        <f t="shared" si="42"/>
        <v>62.58</v>
      </c>
      <c r="DC98">
        <f t="shared" si="43"/>
        <v>0</v>
      </c>
      <c r="DD98" t="s">
        <v>3</v>
      </c>
      <c r="DE98" t="s">
        <v>3</v>
      </c>
      <c r="DF98">
        <f t="shared" si="48"/>
        <v>0</v>
      </c>
      <c r="DG98">
        <f t="shared" si="49"/>
        <v>0</v>
      </c>
      <c r="DH98">
        <f t="shared" si="50"/>
        <v>0</v>
      </c>
      <c r="DI98">
        <f t="shared" si="51"/>
        <v>0</v>
      </c>
      <c r="DJ98">
        <f t="shared" si="47"/>
        <v>0</v>
      </c>
      <c r="DK98">
        <v>0</v>
      </c>
      <c r="DL98" t="s">
        <v>3</v>
      </c>
      <c r="DM98">
        <v>0</v>
      </c>
      <c r="DN98" t="s">
        <v>3</v>
      </c>
      <c r="DO98">
        <v>0</v>
      </c>
    </row>
    <row r="99" spans="1:119" x14ac:dyDescent="0.2">
      <c r="A99">
        <f>ROW(Source!A132)</f>
        <v>132</v>
      </c>
      <c r="B99">
        <v>78131199</v>
      </c>
      <c r="C99">
        <v>78131035</v>
      </c>
      <c r="D99">
        <v>77797526</v>
      </c>
      <c r="E99">
        <v>37</v>
      </c>
      <c r="F99">
        <v>1</v>
      </c>
      <c r="G99">
        <v>37</v>
      </c>
      <c r="H99">
        <v>3</v>
      </c>
      <c r="I99" t="s">
        <v>310</v>
      </c>
      <c r="J99" t="s">
        <v>311</v>
      </c>
      <c r="K99" t="s">
        <v>312</v>
      </c>
      <c r="L99">
        <v>1346</v>
      </c>
      <c r="N99">
        <v>1009</v>
      </c>
      <c r="O99" t="s">
        <v>264</v>
      </c>
      <c r="P99" t="s">
        <v>264</v>
      </c>
      <c r="Q99">
        <v>1</v>
      </c>
      <c r="W99">
        <v>0</v>
      </c>
      <c r="X99">
        <v>-911552969</v>
      </c>
      <c r="Y99">
        <f t="shared" si="41"/>
        <v>0.62</v>
      </c>
      <c r="AA99">
        <v>92.85</v>
      </c>
      <c r="AB99">
        <v>0</v>
      </c>
      <c r="AC99">
        <v>0</v>
      </c>
      <c r="AD99">
        <v>0</v>
      </c>
      <c r="AE99">
        <v>92.85</v>
      </c>
      <c r="AF99">
        <v>0</v>
      </c>
      <c r="AG99">
        <v>0</v>
      </c>
      <c r="AH99">
        <v>0</v>
      </c>
      <c r="AI99">
        <v>1</v>
      </c>
      <c r="AJ99">
        <v>1</v>
      </c>
      <c r="AK99">
        <v>1</v>
      </c>
      <c r="AL99">
        <v>1</v>
      </c>
      <c r="AM99">
        <v>-2</v>
      </c>
      <c r="AN99">
        <v>0</v>
      </c>
      <c r="AO99">
        <v>1</v>
      </c>
      <c r="AP99">
        <v>0</v>
      </c>
      <c r="AQ99">
        <v>0</v>
      </c>
      <c r="AR99">
        <v>0</v>
      </c>
      <c r="AS99" t="s">
        <v>3</v>
      </c>
      <c r="AT99">
        <v>0.62</v>
      </c>
      <c r="AU99" t="s">
        <v>3</v>
      </c>
      <c r="AV99">
        <v>0</v>
      </c>
      <c r="AW99">
        <v>2</v>
      </c>
      <c r="AX99">
        <v>78131056</v>
      </c>
      <c r="AY99">
        <v>2</v>
      </c>
      <c r="AZ99">
        <v>16384</v>
      </c>
      <c r="BA99">
        <v>93</v>
      </c>
      <c r="BB99">
        <v>0</v>
      </c>
      <c r="BC99">
        <v>0</v>
      </c>
      <c r="BD99">
        <v>0</v>
      </c>
      <c r="BE99">
        <v>0</v>
      </c>
      <c r="BF99">
        <v>0</v>
      </c>
      <c r="BG99">
        <v>0</v>
      </c>
      <c r="BH99">
        <v>0</v>
      </c>
      <c r="BI99">
        <v>0</v>
      </c>
      <c r="BJ99">
        <v>0</v>
      </c>
      <c r="BK99">
        <v>0</v>
      </c>
      <c r="BL99">
        <v>0</v>
      </c>
      <c r="BM99">
        <v>0</v>
      </c>
      <c r="BN99">
        <v>0</v>
      </c>
      <c r="BO99">
        <v>0</v>
      </c>
      <c r="BP99">
        <v>0</v>
      </c>
      <c r="BQ99">
        <v>0</v>
      </c>
      <c r="BR99">
        <v>0</v>
      </c>
      <c r="BS99">
        <v>0</v>
      </c>
      <c r="BT99">
        <v>0</v>
      </c>
      <c r="BU99">
        <v>0</v>
      </c>
      <c r="BV99">
        <v>0</v>
      </c>
      <c r="BW99">
        <v>0</v>
      </c>
      <c r="CV99">
        <v>0</v>
      </c>
      <c r="CW99">
        <v>0</v>
      </c>
      <c r="CX99">
        <f>ROUND(Y99*Source!I132,9)</f>
        <v>0</v>
      </c>
      <c r="CY99">
        <f t="shared" si="44"/>
        <v>92.85</v>
      </c>
      <c r="CZ99">
        <f t="shared" si="45"/>
        <v>92.85</v>
      </c>
      <c r="DA99">
        <f t="shared" si="46"/>
        <v>1</v>
      </c>
      <c r="DB99">
        <f t="shared" si="42"/>
        <v>57.57</v>
      </c>
      <c r="DC99">
        <f t="shared" si="43"/>
        <v>0</v>
      </c>
      <c r="DD99" t="s">
        <v>3</v>
      </c>
      <c r="DE99" t="s">
        <v>3</v>
      </c>
      <c r="DF99">
        <f t="shared" si="48"/>
        <v>0</v>
      </c>
      <c r="DG99">
        <f t="shared" si="49"/>
        <v>0</v>
      </c>
      <c r="DH99">
        <f t="shared" si="50"/>
        <v>0</v>
      </c>
      <c r="DI99">
        <f t="shared" si="51"/>
        <v>0</v>
      </c>
      <c r="DJ99">
        <f t="shared" si="47"/>
        <v>0</v>
      </c>
      <c r="DK99">
        <v>0</v>
      </c>
      <c r="DL99" t="s">
        <v>3</v>
      </c>
      <c r="DM99">
        <v>0</v>
      </c>
      <c r="DN99" t="s">
        <v>3</v>
      </c>
      <c r="DO99">
        <v>0</v>
      </c>
    </row>
    <row r="100" spans="1:119" x14ac:dyDescent="0.2">
      <c r="A100">
        <f>ROW(Source!A133)</f>
        <v>133</v>
      </c>
      <c r="B100">
        <v>78131199</v>
      </c>
      <c r="C100">
        <v>78131060</v>
      </c>
      <c r="D100">
        <v>77806460</v>
      </c>
      <c r="E100">
        <v>37</v>
      </c>
      <c r="F100">
        <v>1</v>
      </c>
      <c r="G100">
        <v>37</v>
      </c>
      <c r="H100">
        <v>1</v>
      </c>
      <c r="I100" t="s">
        <v>254</v>
      </c>
      <c r="J100" t="s">
        <v>3</v>
      </c>
      <c r="K100" t="s">
        <v>255</v>
      </c>
      <c r="L100">
        <v>1191</v>
      </c>
      <c r="N100">
        <v>1013</v>
      </c>
      <c r="O100" t="s">
        <v>256</v>
      </c>
      <c r="P100" t="s">
        <v>256</v>
      </c>
      <c r="Q100">
        <v>1</v>
      </c>
      <c r="W100">
        <v>0</v>
      </c>
      <c r="X100">
        <v>476480486</v>
      </c>
      <c r="Y100">
        <f t="shared" si="41"/>
        <v>79.349999999999994</v>
      </c>
      <c r="AA100">
        <v>0</v>
      </c>
      <c r="AB100">
        <v>0</v>
      </c>
      <c r="AC100">
        <v>0</v>
      </c>
      <c r="AD100">
        <v>0</v>
      </c>
      <c r="AE100">
        <v>0</v>
      </c>
      <c r="AF100">
        <v>0</v>
      </c>
      <c r="AG100">
        <v>0</v>
      </c>
      <c r="AH100">
        <v>0</v>
      </c>
      <c r="AI100">
        <v>1</v>
      </c>
      <c r="AJ100">
        <v>1</v>
      </c>
      <c r="AK100">
        <v>1</v>
      </c>
      <c r="AL100">
        <v>1</v>
      </c>
      <c r="AM100">
        <v>-2</v>
      </c>
      <c r="AN100">
        <v>0</v>
      </c>
      <c r="AO100">
        <v>1</v>
      </c>
      <c r="AP100">
        <v>0</v>
      </c>
      <c r="AQ100">
        <v>0</v>
      </c>
      <c r="AR100">
        <v>0</v>
      </c>
      <c r="AS100" t="s">
        <v>3</v>
      </c>
      <c r="AT100">
        <v>79.349999999999994</v>
      </c>
      <c r="AU100" t="s">
        <v>3</v>
      </c>
      <c r="AV100">
        <v>1</v>
      </c>
      <c r="AW100">
        <v>2</v>
      </c>
      <c r="AX100">
        <v>78131071</v>
      </c>
      <c r="AY100">
        <v>1</v>
      </c>
      <c r="AZ100">
        <v>6144</v>
      </c>
      <c r="BA100">
        <v>94</v>
      </c>
      <c r="BB100">
        <v>0</v>
      </c>
      <c r="BC100">
        <v>0</v>
      </c>
      <c r="BD100">
        <v>0</v>
      </c>
      <c r="BE100">
        <v>0</v>
      </c>
      <c r="BF100">
        <v>0</v>
      </c>
      <c r="BG100">
        <v>0</v>
      </c>
      <c r="BH100">
        <v>0</v>
      </c>
      <c r="BI100">
        <v>0</v>
      </c>
      <c r="BJ100">
        <v>0</v>
      </c>
      <c r="BK100">
        <v>0</v>
      </c>
      <c r="BL100">
        <v>0</v>
      </c>
      <c r="BM100">
        <v>0</v>
      </c>
      <c r="BN100">
        <v>0</v>
      </c>
      <c r="BO100">
        <v>0</v>
      </c>
      <c r="BP100">
        <v>0</v>
      </c>
      <c r="BQ100">
        <v>0</v>
      </c>
      <c r="BR100">
        <v>0</v>
      </c>
      <c r="BS100">
        <v>0</v>
      </c>
      <c r="BT100">
        <v>0</v>
      </c>
      <c r="BU100">
        <v>0</v>
      </c>
      <c r="BV100">
        <v>0</v>
      </c>
      <c r="BW100">
        <v>0</v>
      </c>
      <c r="CU100">
        <f>ROUND(AT100*Source!I133*AH100*AL100,2)</f>
        <v>0</v>
      </c>
      <c r="CV100">
        <f>ROUND(Y100*Source!I133,9)</f>
        <v>0</v>
      </c>
      <c r="CW100">
        <v>0</v>
      </c>
      <c r="CX100">
        <f>ROUND(Y100*Source!I133,9)</f>
        <v>0</v>
      </c>
      <c r="CY100">
        <f>AD100</f>
        <v>0</v>
      </c>
      <c r="CZ100">
        <f>AH100</f>
        <v>0</v>
      </c>
      <c r="DA100">
        <f>AL100</f>
        <v>1</v>
      </c>
      <c r="DB100">
        <f t="shared" si="42"/>
        <v>0</v>
      </c>
      <c r="DC100">
        <f t="shared" si="43"/>
        <v>0</v>
      </c>
      <c r="DD100" t="s">
        <v>3</v>
      </c>
      <c r="DE100" t="s">
        <v>3</v>
      </c>
      <c r="DF100">
        <f t="shared" si="48"/>
        <v>0</v>
      </c>
      <c r="DG100">
        <f t="shared" si="49"/>
        <v>0</v>
      </c>
      <c r="DH100">
        <f t="shared" si="50"/>
        <v>0</v>
      </c>
      <c r="DI100">
        <f t="shared" si="51"/>
        <v>0</v>
      </c>
      <c r="DJ100">
        <f>DI100</f>
        <v>0</v>
      </c>
      <c r="DK100">
        <v>0</v>
      </c>
      <c r="DL100" t="s">
        <v>3</v>
      </c>
      <c r="DM100">
        <v>0</v>
      </c>
      <c r="DN100" t="s">
        <v>3</v>
      </c>
      <c r="DO100">
        <v>0</v>
      </c>
    </row>
    <row r="101" spans="1:119" x14ac:dyDescent="0.2">
      <c r="A101">
        <f>ROW(Source!A133)</f>
        <v>133</v>
      </c>
      <c r="B101">
        <v>78131199</v>
      </c>
      <c r="C101">
        <v>78131060</v>
      </c>
      <c r="D101">
        <v>77805904</v>
      </c>
      <c r="E101">
        <v>37</v>
      </c>
      <c r="F101">
        <v>1</v>
      </c>
      <c r="G101">
        <v>37</v>
      </c>
      <c r="H101">
        <v>2</v>
      </c>
      <c r="I101" t="s">
        <v>285</v>
      </c>
      <c r="J101" t="s">
        <v>286</v>
      </c>
      <c r="K101" t="s">
        <v>287</v>
      </c>
      <c r="L101">
        <v>1368</v>
      </c>
      <c r="N101">
        <v>1011</v>
      </c>
      <c r="O101" t="s">
        <v>260</v>
      </c>
      <c r="P101" t="s">
        <v>260</v>
      </c>
      <c r="Q101">
        <v>1</v>
      </c>
      <c r="W101">
        <v>0</v>
      </c>
      <c r="X101">
        <v>1399152527</v>
      </c>
      <c r="Y101">
        <f t="shared" si="41"/>
        <v>6.31</v>
      </c>
      <c r="AA101">
        <v>0</v>
      </c>
      <c r="AB101">
        <v>68.260000000000005</v>
      </c>
      <c r="AC101">
        <v>0</v>
      </c>
      <c r="AD101">
        <v>0</v>
      </c>
      <c r="AE101">
        <v>0</v>
      </c>
      <c r="AF101">
        <v>68.260000000000005</v>
      </c>
      <c r="AG101">
        <v>0</v>
      </c>
      <c r="AH101">
        <v>0</v>
      </c>
      <c r="AI101">
        <v>1</v>
      </c>
      <c r="AJ101">
        <v>1</v>
      </c>
      <c r="AK101">
        <v>1</v>
      </c>
      <c r="AL101">
        <v>1</v>
      </c>
      <c r="AM101">
        <v>-2</v>
      </c>
      <c r="AN101">
        <v>0</v>
      </c>
      <c r="AO101">
        <v>1</v>
      </c>
      <c r="AP101">
        <v>0</v>
      </c>
      <c r="AQ101">
        <v>0</v>
      </c>
      <c r="AR101">
        <v>0</v>
      </c>
      <c r="AS101" t="s">
        <v>3</v>
      </c>
      <c r="AT101">
        <v>6.31</v>
      </c>
      <c r="AU101" t="s">
        <v>3</v>
      </c>
      <c r="AV101">
        <v>0</v>
      </c>
      <c r="AW101">
        <v>2</v>
      </c>
      <c r="AX101">
        <v>78131072</v>
      </c>
      <c r="AY101">
        <v>2</v>
      </c>
      <c r="AZ101">
        <v>104448</v>
      </c>
      <c r="BA101">
        <v>95</v>
      </c>
      <c r="BB101">
        <v>0</v>
      </c>
      <c r="BC101">
        <v>0</v>
      </c>
      <c r="BD101">
        <v>0</v>
      </c>
      <c r="BE101">
        <v>0</v>
      </c>
      <c r="BF101">
        <v>0</v>
      </c>
      <c r="BG101">
        <v>0</v>
      </c>
      <c r="BH101">
        <v>0</v>
      </c>
      <c r="BI101">
        <v>0</v>
      </c>
      <c r="BJ101">
        <v>0</v>
      </c>
      <c r="BK101">
        <v>0</v>
      </c>
      <c r="BL101">
        <v>0</v>
      </c>
      <c r="BM101">
        <v>0</v>
      </c>
      <c r="BN101">
        <v>0</v>
      </c>
      <c r="BO101">
        <v>0</v>
      </c>
      <c r="BP101">
        <v>0</v>
      </c>
      <c r="BQ101">
        <v>0</v>
      </c>
      <c r="BR101">
        <v>0</v>
      </c>
      <c r="BS101">
        <v>0</v>
      </c>
      <c r="BT101">
        <v>0</v>
      </c>
      <c r="BU101">
        <v>0</v>
      </c>
      <c r="BV101">
        <v>0</v>
      </c>
      <c r="BW101">
        <v>0</v>
      </c>
      <c r="CV101">
        <v>0</v>
      </c>
      <c r="CW101">
        <f>ROUND(Y101*Source!I133*DO101,9)</f>
        <v>0</v>
      </c>
      <c r="CX101">
        <f>ROUND(Y101*Source!I133,9)</f>
        <v>0</v>
      </c>
      <c r="CY101">
        <f>AB101</f>
        <v>68.260000000000005</v>
      </c>
      <c r="CZ101">
        <f>AF101</f>
        <v>68.260000000000005</v>
      </c>
      <c r="DA101">
        <f>AJ101</f>
        <v>1</v>
      </c>
      <c r="DB101">
        <f t="shared" si="42"/>
        <v>430.72</v>
      </c>
      <c r="DC101">
        <f t="shared" si="43"/>
        <v>0</v>
      </c>
      <c r="DD101" t="s">
        <v>3</v>
      </c>
      <c r="DE101" t="s">
        <v>3</v>
      </c>
      <c r="DF101">
        <f t="shared" si="48"/>
        <v>0</v>
      </c>
      <c r="DG101">
        <f t="shared" si="49"/>
        <v>0</v>
      </c>
      <c r="DH101">
        <f t="shared" si="50"/>
        <v>0</v>
      </c>
      <c r="DI101">
        <f t="shared" si="51"/>
        <v>0</v>
      </c>
      <c r="DJ101">
        <f>DG101</f>
        <v>0</v>
      </c>
      <c r="DK101">
        <v>0</v>
      </c>
      <c r="DL101" t="s">
        <v>3</v>
      </c>
      <c r="DM101">
        <v>0</v>
      </c>
      <c r="DN101" t="s">
        <v>3</v>
      </c>
      <c r="DO101">
        <v>0</v>
      </c>
    </row>
    <row r="102" spans="1:119" x14ac:dyDescent="0.2">
      <c r="A102">
        <f>ROW(Source!A133)</f>
        <v>133</v>
      </c>
      <c r="B102">
        <v>78131199</v>
      </c>
      <c r="C102">
        <v>78131060</v>
      </c>
      <c r="D102">
        <v>77796161</v>
      </c>
      <c r="E102">
        <v>37</v>
      </c>
      <c r="F102">
        <v>1</v>
      </c>
      <c r="G102">
        <v>37</v>
      </c>
      <c r="H102">
        <v>3</v>
      </c>
      <c r="I102" t="s">
        <v>275</v>
      </c>
      <c r="J102" t="s">
        <v>276</v>
      </c>
      <c r="K102" t="s">
        <v>277</v>
      </c>
      <c r="L102">
        <v>1348</v>
      </c>
      <c r="N102">
        <v>1009</v>
      </c>
      <c r="O102" t="s">
        <v>200</v>
      </c>
      <c r="P102" t="s">
        <v>200</v>
      </c>
      <c r="Q102">
        <v>1000</v>
      </c>
      <c r="W102">
        <v>0</v>
      </c>
      <c r="X102">
        <v>1022491451</v>
      </c>
      <c r="Y102">
        <f t="shared" si="41"/>
        <v>31.8</v>
      </c>
      <c r="AA102">
        <v>67221.42</v>
      </c>
      <c r="AB102">
        <v>0</v>
      </c>
      <c r="AC102">
        <v>0</v>
      </c>
      <c r="AD102">
        <v>0</v>
      </c>
      <c r="AE102">
        <v>67221.42</v>
      </c>
      <c r="AF102">
        <v>0</v>
      </c>
      <c r="AG102">
        <v>0</v>
      </c>
      <c r="AH102">
        <v>0</v>
      </c>
      <c r="AI102">
        <v>1</v>
      </c>
      <c r="AJ102">
        <v>1</v>
      </c>
      <c r="AK102">
        <v>1</v>
      </c>
      <c r="AL102">
        <v>1</v>
      </c>
      <c r="AM102">
        <v>-2</v>
      </c>
      <c r="AN102">
        <v>0</v>
      </c>
      <c r="AO102">
        <v>1</v>
      </c>
      <c r="AP102">
        <v>0</v>
      </c>
      <c r="AQ102">
        <v>0</v>
      </c>
      <c r="AR102">
        <v>0</v>
      </c>
      <c r="AS102" t="s">
        <v>3</v>
      </c>
      <c r="AT102">
        <v>31.8</v>
      </c>
      <c r="AU102" t="s">
        <v>3</v>
      </c>
      <c r="AV102">
        <v>0</v>
      </c>
      <c r="AW102">
        <v>2</v>
      </c>
      <c r="AX102">
        <v>78131080</v>
      </c>
      <c r="AY102">
        <v>2</v>
      </c>
      <c r="AZ102">
        <v>22528</v>
      </c>
      <c r="BA102">
        <v>96</v>
      </c>
      <c r="BB102">
        <v>0</v>
      </c>
      <c r="BC102">
        <v>0</v>
      </c>
      <c r="BD102">
        <v>0</v>
      </c>
      <c r="BE102">
        <v>0</v>
      </c>
      <c r="BF102">
        <v>0</v>
      </c>
      <c r="BG102">
        <v>0</v>
      </c>
      <c r="BH102">
        <v>0</v>
      </c>
      <c r="BI102">
        <v>0</v>
      </c>
      <c r="BJ102">
        <v>0</v>
      </c>
      <c r="BK102">
        <v>0</v>
      </c>
      <c r="BL102">
        <v>0</v>
      </c>
      <c r="BM102">
        <v>0</v>
      </c>
      <c r="BN102">
        <v>0</v>
      </c>
      <c r="BO102">
        <v>0</v>
      </c>
      <c r="BP102">
        <v>0</v>
      </c>
      <c r="BQ102">
        <v>0</v>
      </c>
      <c r="BR102">
        <v>0</v>
      </c>
      <c r="BS102">
        <v>0</v>
      </c>
      <c r="BT102">
        <v>0</v>
      </c>
      <c r="BU102">
        <v>0</v>
      </c>
      <c r="BV102">
        <v>0</v>
      </c>
      <c r="BW102">
        <v>0</v>
      </c>
      <c r="CV102">
        <v>0</v>
      </c>
      <c r="CW102">
        <v>0</v>
      </c>
      <c r="CX102">
        <f>ROUND(Y102*Source!I133,9)</f>
        <v>0</v>
      </c>
      <c r="CY102">
        <f t="shared" ref="CY102:CY109" si="52">AA102</f>
        <v>67221.42</v>
      </c>
      <c r="CZ102">
        <f t="shared" ref="CZ102:CZ109" si="53">AE102</f>
        <v>67221.42</v>
      </c>
      <c r="DA102">
        <f t="shared" ref="DA102:DA109" si="54">AI102</f>
        <v>1</v>
      </c>
      <c r="DB102">
        <f t="shared" si="42"/>
        <v>2137641.16</v>
      </c>
      <c r="DC102">
        <f t="shared" si="43"/>
        <v>0</v>
      </c>
      <c r="DD102" t="s">
        <v>3</v>
      </c>
      <c r="DE102" t="s">
        <v>3</v>
      </c>
      <c r="DF102">
        <f t="shared" si="48"/>
        <v>0</v>
      </c>
      <c r="DG102">
        <f t="shared" si="49"/>
        <v>0</v>
      </c>
      <c r="DH102">
        <f t="shared" si="50"/>
        <v>0</v>
      </c>
      <c r="DI102">
        <f t="shared" si="51"/>
        <v>0</v>
      </c>
      <c r="DJ102">
        <f t="shared" ref="DJ102:DJ109" si="55">DF102</f>
        <v>0</v>
      </c>
      <c r="DK102">
        <v>0</v>
      </c>
      <c r="DL102" t="s">
        <v>3</v>
      </c>
      <c r="DM102">
        <v>0</v>
      </c>
      <c r="DN102" t="s">
        <v>3</v>
      </c>
      <c r="DO102">
        <v>0</v>
      </c>
    </row>
    <row r="103" spans="1:119" x14ac:dyDescent="0.2">
      <c r="A103">
        <f>ROW(Source!A133)</f>
        <v>133</v>
      </c>
      <c r="B103">
        <v>78131199</v>
      </c>
      <c r="C103">
        <v>78131060</v>
      </c>
      <c r="D103">
        <v>77795831</v>
      </c>
      <c r="E103">
        <v>37</v>
      </c>
      <c r="F103">
        <v>1</v>
      </c>
      <c r="G103">
        <v>37</v>
      </c>
      <c r="H103">
        <v>3</v>
      </c>
      <c r="I103" t="s">
        <v>333</v>
      </c>
      <c r="J103" t="s">
        <v>334</v>
      </c>
      <c r="K103" t="s">
        <v>335</v>
      </c>
      <c r="L103">
        <v>1356</v>
      </c>
      <c r="N103">
        <v>1010</v>
      </c>
      <c r="O103" t="s">
        <v>291</v>
      </c>
      <c r="P103" t="s">
        <v>291</v>
      </c>
      <c r="Q103">
        <v>1000</v>
      </c>
      <c r="W103">
        <v>0</v>
      </c>
      <c r="X103">
        <v>-2106051999</v>
      </c>
      <c r="Y103">
        <f t="shared" si="41"/>
        <v>3.4000000000000002E-2</v>
      </c>
      <c r="AA103">
        <v>72726.41</v>
      </c>
      <c r="AB103">
        <v>0</v>
      </c>
      <c r="AC103">
        <v>0</v>
      </c>
      <c r="AD103">
        <v>0</v>
      </c>
      <c r="AE103">
        <v>72726.41</v>
      </c>
      <c r="AF103">
        <v>0</v>
      </c>
      <c r="AG103">
        <v>0</v>
      </c>
      <c r="AH103">
        <v>0</v>
      </c>
      <c r="AI103">
        <v>1</v>
      </c>
      <c r="AJ103">
        <v>1</v>
      </c>
      <c r="AK103">
        <v>1</v>
      </c>
      <c r="AL103">
        <v>1</v>
      </c>
      <c r="AM103">
        <v>-2</v>
      </c>
      <c r="AN103">
        <v>0</v>
      </c>
      <c r="AO103">
        <v>1</v>
      </c>
      <c r="AP103">
        <v>0</v>
      </c>
      <c r="AQ103">
        <v>0</v>
      </c>
      <c r="AR103">
        <v>0</v>
      </c>
      <c r="AS103" t="s">
        <v>3</v>
      </c>
      <c r="AT103">
        <v>3.4000000000000002E-2</v>
      </c>
      <c r="AU103" t="s">
        <v>3</v>
      </c>
      <c r="AV103">
        <v>0</v>
      </c>
      <c r="AW103">
        <v>2</v>
      </c>
      <c r="AX103">
        <v>78131078</v>
      </c>
      <c r="AY103">
        <v>2</v>
      </c>
      <c r="AZ103">
        <v>16384</v>
      </c>
      <c r="BA103">
        <v>97</v>
      </c>
      <c r="BB103">
        <v>0</v>
      </c>
      <c r="BC103">
        <v>0</v>
      </c>
      <c r="BD103">
        <v>0</v>
      </c>
      <c r="BE103">
        <v>0</v>
      </c>
      <c r="BF103">
        <v>0</v>
      </c>
      <c r="BG103">
        <v>0</v>
      </c>
      <c r="BH103">
        <v>0</v>
      </c>
      <c r="BI103">
        <v>0</v>
      </c>
      <c r="BJ103">
        <v>0</v>
      </c>
      <c r="BK103">
        <v>0</v>
      </c>
      <c r="BL103">
        <v>0</v>
      </c>
      <c r="BM103">
        <v>0</v>
      </c>
      <c r="BN103">
        <v>0</v>
      </c>
      <c r="BO103">
        <v>0</v>
      </c>
      <c r="BP103">
        <v>0</v>
      </c>
      <c r="BQ103">
        <v>0</v>
      </c>
      <c r="BR103">
        <v>0</v>
      </c>
      <c r="BS103">
        <v>0</v>
      </c>
      <c r="BT103">
        <v>0</v>
      </c>
      <c r="BU103">
        <v>0</v>
      </c>
      <c r="BV103">
        <v>0</v>
      </c>
      <c r="BW103">
        <v>0</v>
      </c>
      <c r="CV103">
        <v>0</v>
      </c>
      <c r="CW103">
        <v>0</v>
      </c>
      <c r="CX103">
        <f>ROUND(Y103*Source!I133,9)</f>
        <v>0</v>
      </c>
      <c r="CY103">
        <f t="shared" si="52"/>
        <v>72726.41</v>
      </c>
      <c r="CZ103">
        <f t="shared" si="53"/>
        <v>72726.41</v>
      </c>
      <c r="DA103">
        <f t="shared" si="54"/>
        <v>1</v>
      </c>
      <c r="DB103">
        <f t="shared" si="42"/>
        <v>2472.6999999999998</v>
      </c>
      <c r="DC103">
        <f t="shared" si="43"/>
        <v>0</v>
      </c>
      <c r="DD103" t="s">
        <v>3</v>
      </c>
      <c r="DE103" t="s">
        <v>3</v>
      </c>
      <c r="DF103">
        <f t="shared" si="48"/>
        <v>0</v>
      </c>
      <c r="DG103">
        <f t="shared" si="49"/>
        <v>0</v>
      </c>
      <c r="DH103">
        <f t="shared" si="50"/>
        <v>0</v>
      </c>
      <c r="DI103">
        <f t="shared" si="51"/>
        <v>0</v>
      </c>
      <c r="DJ103">
        <f t="shared" si="55"/>
        <v>0</v>
      </c>
      <c r="DK103">
        <v>0</v>
      </c>
      <c r="DL103" t="s">
        <v>3</v>
      </c>
      <c r="DM103">
        <v>0</v>
      </c>
      <c r="DN103" t="s">
        <v>3</v>
      </c>
      <c r="DO103">
        <v>0</v>
      </c>
    </row>
    <row r="104" spans="1:119" x14ac:dyDescent="0.2">
      <c r="A104">
        <f>ROW(Source!A133)</f>
        <v>133</v>
      </c>
      <c r="B104">
        <v>78131199</v>
      </c>
      <c r="C104">
        <v>78131060</v>
      </c>
      <c r="D104">
        <v>77801175</v>
      </c>
      <c r="E104">
        <v>37</v>
      </c>
      <c r="F104">
        <v>1</v>
      </c>
      <c r="G104">
        <v>37</v>
      </c>
      <c r="H104">
        <v>3</v>
      </c>
      <c r="I104" t="s">
        <v>178</v>
      </c>
      <c r="J104" t="s">
        <v>180</v>
      </c>
      <c r="K104" t="s">
        <v>179</v>
      </c>
      <c r="L104">
        <v>1301</v>
      </c>
      <c r="N104">
        <v>1003</v>
      </c>
      <c r="O104" t="s">
        <v>33</v>
      </c>
      <c r="P104" t="s">
        <v>33</v>
      </c>
      <c r="Q104">
        <v>1</v>
      </c>
      <c r="W104">
        <v>0</v>
      </c>
      <c r="X104">
        <v>-514763295</v>
      </c>
      <c r="Y104">
        <f t="shared" si="41"/>
        <v>100</v>
      </c>
      <c r="AA104">
        <v>1896.47</v>
      </c>
      <c r="AB104">
        <v>0</v>
      </c>
      <c r="AC104">
        <v>0</v>
      </c>
      <c r="AD104">
        <v>0</v>
      </c>
      <c r="AE104">
        <v>1896.47</v>
      </c>
      <c r="AF104">
        <v>0</v>
      </c>
      <c r="AG104">
        <v>0</v>
      </c>
      <c r="AH104">
        <v>0</v>
      </c>
      <c r="AI104">
        <v>1</v>
      </c>
      <c r="AJ104">
        <v>1</v>
      </c>
      <c r="AK104">
        <v>1</v>
      </c>
      <c r="AL104">
        <v>1</v>
      </c>
      <c r="AM104">
        <v>-2</v>
      </c>
      <c r="AN104">
        <v>0</v>
      </c>
      <c r="AO104">
        <v>1</v>
      </c>
      <c r="AP104">
        <v>0</v>
      </c>
      <c r="AQ104">
        <v>0</v>
      </c>
      <c r="AR104">
        <v>0</v>
      </c>
      <c r="AS104" t="s">
        <v>3</v>
      </c>
      <c r="AT104">
        <v>100</v>
      </c>
      <c r="AU104" t="s">
        <v>3</v>
      </c>
      <c r="AV104">
        <v>0</v>
      </c>
      <c r="AW104">
        <v>1</v>
      </c>
      <c r="AX104">
        <v>-1</v>
      </c>
      <c r="AY104">
        <v>0</v>
      </c>
      <c r="AZ104">
        <v>0</v>
      </c>
      <c r="BA104" t="s">
        <v>3</v>
      </c>
      <c r="BB104">
        <v>0</v>
      </c>
      <c r="BC104">
        <v>0</v>
      </c>
      <c r="BD104">
        <v>0</v>
      </c>
      <c r="BE104">
        <v>0</v>
      </c>
      <c r="BF104">
        <v>0</v>
      </c>
      <c r="BG104">
        <v>0</v>
      </c>
      <c r="BH104">
        <v>0</v>
      </c>
      <c r="BI104">
        <v>0</v>
      </c>
      <c r="BJ104">
        <v>0</v>
      </c>
      <c r="BK104">
        <v>0</v>
      </c>
      <c r="BL104">
        <v>0</v>
      </c>
      <c r="BM104">
        <v>0</v>
      </c>
      <c r="BN104">
        <v>0</v>
      </c>
      <c r="BO104">
        <v>0</v>
      </c>
      <c r="BP104">
        <v>0</v>
      </c>
      <c r="BQ104">
        <v>0</v>
      </c>
      <c r="BR104">
        <v>0</v>
      </c>
      <c r="BS104">
        <v>0</v>
      </c>
      <c r="BT104">
        <v>0</v>
      </c>
      <c r="BU104">
        <v>0</v>
      </c>
      <c r="BV104">
        <v>0</v>
      </c>
      <c r="BW104">
        <v>0</v>
      </c>
      <c r="CV104">
        <v>0</v>
      </c>
      <c r="CW104">
        <v>0</v>
      </c>
      <c r="CX104">
        <f>ROUND(Y104*Source!I133,9)</f>
        <v>0</v>
      </c>
      <c r="CY104">
        <f t="shared" si="52"/>
        <v>1896.47</v>
      </c>
      <c r="CZ104">
        <f t="shared" si="53"/>
        <v>1896.47</v>
      </c>
      <c r="DA104">
        <f t="shared" si="54"/>
        <v>1</v>
      </c>
      <c r="DB104">
        <f t="shared" si="42"/>
        <v>189647</v>
      </c>
      <c r="DC104">
        <f t="shared" si="43"/>
        <v>0</v>
      </c>
      <c r="DD104" t="s">
        <v>3</v>
      </c>
      <c r="DE104" t="s">
        <v>3</v>
      </c>
      <c r="DF104">
        <f t="shared" si="48"/>
        <v>0</v>
      </c>
      <c r="DG104">
        <f t="shared" si="49"/>
        <v>0</v>
      </c>
      <c r="DH104">
        <f t="shared" si="50"/>
        <v>0</v>
      </c>
      <c r="DI104">
        <f t="shared" si="51"/>
        <v>0</v>
      </c>
      <c r="DJ104">
        <f t="shared" si="55"/>
        <v>0</v>
      </c>
      <c r="DK104">
        <v>0</v>
      </c>
      <c r="DL104" t="s">
        <v>3</v>
      </c>
      <c r="DM104">
        <v>0</v>
      </c>
      <c r="DN104" t="s">
        <v>3</v>
      </c>
      <c r="DO104">
        <v>0</v>
      </c>
    </row>
    <row r="105" spans="1:119" x14ac:dyDescent="0.2">
      <c r="A105">
        <f>ROW(Source!A133)</f>
        <v>133</v>
      </c>
      <c r="B105">
        <v>78131199</v>
      </c>
      <c r="C105">
        <v>78131060</v>
      </c>
      <c r="D105">
        <v>77795310</v>
      </c>
      <c r="E105">
        <v>37</v>
      </c>
      <c r="F105">
        <v>1</v>
      </c>
      <c r="G105">
        <v>37</v>
      </c>
      <c r="H105">
        <v>3</v>
      </c>
      <c r="I105" t="s">
        <v>295</v>
      </c>
      <c r="J105" t="s">
        <v>296</v>
      </c>
      <c r="K105" t="s">
        <v>297</v>
      </c>
      <c r="L105">
        <v>1348</v>
      </c>
      <c r="N105">
        <v>1009</v>
      </c>
      <c r="O105" t="s">
        <v>200</v>
      </c>
      <c r="P105" t="s">
        <v>200</v>
      </c>
      <c r="Q105">
        <v>1000</v>
      </c>
      <c r="W105">
        <v>0</v>
      </c>
      <c r="X105">
        <v>555747395</v>
      </c>
      <c r="Y105">
        <f t="shared" si="41"/>
        <v>1.25E-3</v>
      </c>
      <c r="AA105">
        <v>107698.04</v>
      </c>
      <c r="AB105">
        <v>0</v>
      </c>
      <c r="AC105">
        <v>0</v>
      </c>
      <c r="AD105">
        <v>0</v>
      </c>
      <c r="AE105">
        <v>107698.04</v>
      </c>
      <c r="AF105">
        <v>0</v>
      </c>
      <c r="AG105">
        <v>0</v>
      </c>
      <c r="AH105">
        <v>0</v>
      </c>
      <c r="AI105">
        <v>1</v>
      </c>
      <c r="AJ105">
        <v>1</v>
      </c>
      <c r="AK105">
        <v>1</v>
      </c>
      <c r="AL105">
        <v>1</v>
      </c>
      <c r="AM105">
        <v>-2</v>
      </c>
      <c r="AN105">
        <v>0</v>
      </c>
      <c r="AO105">
        <v>1</v>
      </c>
      <c r="AP105">
        <v>0</v>
      </c>
      <c r="AQ105">
        <v>0</v>
      </c>
      <c r="AR105">
        <v>0</v>
      </c>
      <c r="AS105" t="s">
        <v>3</v>
      </c>
      <c r="AT105">
        <v>1.25E-3</v>
      </c>
      <c r="AU105" t="s">
        <v>3</v>
      </c>
      <c r="AV105">
        <v>0</v>
      </c>
      <c r="AW105">
        <v>2</v>
      </c>
      <c r="AX105">
        <v>78131073</v>
      </c>
      <c r="AY105">
        <v>2</v>
      </c>
      <c r="AZ105">
        <v>22528</v>
      </c>
      <c r="BA105">
        <v>99</v>
      </c>
      <c r="BB105">
        <v>0</v>
      </c>
      <c r="BC105">
        <v>0</v>
      </c>
      <c r="BD105">
        <v>0</v>
      </c>
      <c r="BE105">
        <v>0</v>
      </c>
      <c r="BF105">
        <v>0</v>
      </c>
      <c r="BG105">
        <v>0</v>
      </c>
      <c r="BH105">
        <v>0</v>
      </c>
      <c r="BI105">
        <v>0</v>
      </c>
      <c r="BJ105">
        <v>0</v>
      </c>
      <c r="BK105">
        <v>0</v>
      </c>
      <c r="BL105">
        <v>0</v>
      </c>
      <c r="BM105">
        <v>0</v>
      </c>
      <c r="BN105">
        <v>0</v>
      </c>
      <c r="BO105">
        <v>0</v>
      </c>
      <c r="BP105">
        <v>0</v>
      </c>
      <c r="BQ105">
        <v>0</v>
      </c>
      <c r="BR105">
        <v>0</v>
      </c>
      <c r="BS105">
        <v>0</v>
      </c>
      <c r="BT105">
        <v>0</v>
      </c>
      <c r="BU105">
        <v>0</v>
      </c>
      <c r="BV105">
        <v>0</v>
      </c>
      <c r="BW105">
        <v>0</v>
      </c>
      <c r="CV105">
        <v>0</v>
      </c>
      <c r="CW105">
        <v>0</v>
      </c>
      <c r="CX105">
        <f>ROUND(Y105*Source!I133,9)</f>
        <v>0</v>
      </c>
      <c r="CY105">
        <f t="shared" si="52"/>
        <v>107698.04</v>
      </c>
      <c r="CZ105">
        <f t="shared" si="53"/>
        <v>107698.04</v>
      </c>
      <c r="DA105">
        <f t="shared" si="54"/>
        <v>1</v>
      </c>
      <c r="DB105">
        <f t="shared" si="42"/>
        <v>134.62</v>
      </c>
      <c r="DC105">
        <f t="shared" si="43"/>
        <v>0</v>
      </c>
      <c r="DD105" t="s">
        <v>3</v>
      </c>
      <c r="DE105" t="s">
        <v>3</v>
      </c>
      <c r="DF105">
        <f t="shared" si="48"/>
        <v>0</v>
      </c>
      <c r="DG105">
        <f t="shared" si="49"/>
        <v>0</v>
      </c>
      <c r="DH105">
        <f t="shared" si="50"/>
        <v>0</v>
      </c>
      <c r="DI105">
        <f t="shared" si="51"/>
        <v>0</v>
      </c>
      <c r="DJ105">
        <f t="shared" si="55"/>
        <v>0</v>
      </c>
      <c r="DK105">
        <v>0</v>
      </c>
      <c r="DL105" t="s">
        <v>3</v>
      </c>
      <c r="DM105">
        <v>0</v>
      </c>
      <c r="DN105" t="s">
        <v>3</v>
      </c>
      <c r="DO105">
        <v>0</v>
      </c>
    </row>
    <row r="106" spans="1:119" x14ac:dyDescent="0.2">
      <c r="A106">
        <f>ROW(Source!A133)</f>
        <v>133</v>
      </c>
      <c r="B106">
        <v>78131199</v>
      </c>
      <c r="C106">
        <v>78131060</v>
      </c>
      <c r="D106">
        <v>77794733</v>
      </c>
      <c r="E106">
        <v>37</v>
      </c>
      <c r="F106">
        <v>1</v>
      </c>
      <c r="G106">
        <v>37</v>
      </c>
      <c r="H106">
        <v>3</v>
      </c>
      <c r="I106" t="s">
        <v>278</v>
      </c>
      <c r="J106" t="s">
        <v>279</v>
      </c>
      <c r="K106" t="s">
        <v>280</v>
      </c>
      <c r="L106">
        <v>1339</v>
      </c>
      <c r="N106">
        <v>1007</v>
      </c>
      <c r="O106" t="s">
        <v>281</v>
      </c>
      <c r="P106" t="s">
        <v>281</v>
      </c>
      <c r="Q106">
        <v>1</v>
      </c>
      <c r="W106">
        <v>0</v>
      </c>
      <c r="X106">
        <v>-1393929784</v>
      </c>
      <c r="Y106">
        <f t="shared" si="41"/>
        <v>8.9</v>
      </c>
      <c r="AA106">
        <v>49.83</v>
      </c>
      <c r="AB106">
        <v>0</v>
      </c>
      <c r="AC106">
        <v>0</v>
      </c>
      <c r="AD106">
        <v>0</v>
      </c>
      <c r="AE106">
        <v>49.83</v>
      </c>
      <c r="AF106">
        <v>0</v>
      </c>
      <c r="AG106">
        <v>0</v>
      </c>
      <c r="AH106">
        <v>0</v>
      </c>
      <c r="AI106">
        <v>1</v>
      </c>
      <c r="AJ106">
        <v>1</v>
      </c>
      <c r="AK106">
        <v>1</v>
      </c>
      <c r="AL106">
        <v>1</v>
      </c>
      <c r="AM106">
        <v>-2</v>
      </c>
      <c r="AN106">
        <v>0</v>
      </c>
      <c r="AO106">
        <v>1</v>
      </c>
      <c r="AP106">
        <v>0</v>
      </c>
      <c r="AQ106">
        <v>0</v>
      </c>
      <c r="AR106">
        <v>0</v>
      </c>
      <c r="AS106" t="s">
        <v>3</v>
      </c>
      <c r="AT106">
        <v>8.9</v>
      </c>
      <c r="AU106" t="s">
        <v>3</v>
      </c>
      <c r="AV106">
        <v>0</v>
      </c>
      <c r="AW106">
        <v>2</v>
      </c>
      <c r="AX106">
        <v>78131074</v>
      </c>
      <c r="AY106">
        <v>2</v>
      </c>
      <c r="AZ106">
        <v>22528</v>
      </c>
      <c r="BA106">
        <v>100</v>
      </c>
      <c r="BB106">
        <v>0</v>
      </c>
      <c r="BC106">
        <v>0</v>
      </c>
      <c r="BD106">
        <v>0</v>
      </c>
      <c r="BE106">
        <v>0</v>
      </c>
      <c r="BF106">
        <v>0</v>
      </c>
      <c r="BG106">
        <v>0</v>
      </c>
      <c r="BH106">
        <v>0</v>
      </c>
      <c r="BI106">
        <v>0</v>
      </c>
      <c r="BJ106">
        <v>0</v>
      </c>
      <c r="BK106">
        <v>0</v>
      </c>
      <c r="BL106">
        <v>0</v>
      </c>
      <c r="BM106">
        <v>0</v>
      </c>
      <c r="BN106">
        <v>0</v>
      </c>
      <c r="BO106">
        <v>0</v>
      </c>
      <c r="BP106">
        <v>0</v>
      </c>
      <c r="BQ106">
        <v>0</v>
      </c>
      <c r="BR106">
        <v>0</v>
      </c>
      <c r="BS106">
        <v>0</v>
      </c>
      <c r="BT106">
        <v>0</v>
      </c>
      <c r="BU106">
        <v>0</v>
      </c>
      <c r="BV106">
        <v>0</v>
      </c>
      <c r="BW106">
        <v>0</v>
      </c>
      <c r="CV106">
        <v>0</v>
      </c>
      <c r="CW106">
        <v>0</v>
      </c>
      <c r="CX106">
        <f>ROUND(Y106*Source!I133,9)</f>
        <v>0</v>
      </c>
      <c r="CY106">
        <f t="shared" si="52"/>
        <v>49.83</v>
      </c>
      <c r="CZ106">
        <f t="shared" si="53"/>
        <v>49.83</v>
      </c>
      <c r="DA106">
        <f t="shared" si="54"/>
        <v>1</v>
      </c>
      <c r="DB106">
        <f t="shared" si="42"/>
        <v>443.49</v>
      </c>
      <c r="DC106">
        <f t="shared" si="43"/>
        <v>0</v>
      </c>
      <c r="DD106" t="s">
        <v>3</v>
      </c>
      <c r="DE106" t="s">
        <v>3</v>
      </c>
      <c r="DF106">
        <f t="shared" si="48"/>
        <v>0</v>
      </c>
      <c r="DG106">
        <f t="shared" si="49"/>
        <v>0</v>
      </c>
      <c r="DH106">
        <f t="shared" si="50"/>
        <v>0</v>
      </c>
      <c r="DI106">
        <f t="shared" si="51"/>
        <v>0</v>
      </c>
      <c r="DJ106">
        <f t="shared" si="55"/>
        <v>0</v>
      </c>
      <c r="DK106">
        <v>0</v>
      </c>
      <c r="DL106" t="s">
        <v>3</v>
      </c>
      <c r="DM106">
        <v>0</v>
      </c>
      <c r="DN106" t="s">
        <v>3</v>
      </c>
      <c r="DO106">
        <v>0</v>
      </c>
    </row>
    <row r="107" spans="1:119" x14ac:dyDescent="0.2">
      <c r="A107">
        <f>ROW(Source!A133)</f>
        <v>133</v>
      </c>
      <c r="B107">
        <v>78131199</v>
      </c>
      <c r="C107">
        <v>78131060</v>
      </c>
      <c r="D107">
        <v>77796116</v>
      </c>
      <c r="E107">
        <v>37</v>
      </c>
      <c r="F107">
        <v>1</v>
      </c>
      <c r="G107">
        <v>37</v>
      </c>
      <c r="H107">
        <v>3</v>
      </c>
      <c r="I107" t="s">
        <v>301</v>
      </c>
      <c r="J107" t="s">
        <v>302</v>
      </c>
      <c r="K107" t="s">
        <v>303</v>
      </c>
      <c r="L107">
        <v>1339</v>
      </c>
      <c r="N107">
        <v>1007</v>
      </c>
      <c r="O107" t="s">
        <v>281</v>
      </c>
      <c r="P107" t="s">
        <v>281</v>
      </c>
      <c r="Q107">
        <v>1</v>
      </c>
      <c r="W107">
        <v>0</v>
      </c>
      <c r="X107">
        <v>622145326</v>
      </c>
      <c r="Y107">
        <f t="shared" si="41"/>
        <v>2.25</v>
      </c>
      <c r="AA107">
        <v>89.3</v>
      </c>
      <c r="AB107">
        <v>0</v>
      </c>
      <c r="AC107">
        <v>0</v>
      </c>
      <c r="AD107">
        <v>0</v>
      </c>
      <c r="AE107">
        <v>89.3</v>
      </c>
      <c r="AF107">
        <v>0</v>
      </c>
      <c r="AG107">
        <v>0</v>
      </c>
      <c r="AH107">
        <v>0</v>
      </c>
      <c r="AI107">
        <v>1</v>
      </c>
      <c r="AJ107">
        <v>1</v>
      </c>
      <c r="AK107">
        <v>1</v>
      </c>
      <c r="AL107">
        <v>1</v>
      </c>
      <c r="AM107">
        <v>-2</v>
      </c>
      <c r="AN107">
        <v>0</v>
      </c>
      <c r="AO107">
        <v>1</v>
      </c>
      <c r="AP107">
        <v>0</v>
      </c>
      <c r="AQ107">
        <v>0</v>
      </c>
      <c r="AR107">
        <v>0</v>
      </c>
      <c r="AS107" t="s">
        <v>3</v>
      </c>
      <c r="AT107">
        <v>2.25</v>
      </c>
      <c r="AU107" t="s">
        <v>3</v>
      </c>
      <c r="AV107">
        <v>0</v>
      </c>
      <c r="AW107">
        <v>2</v>
      </c>
      <c r="AX107">
        <v>78131075</v>
      </c>
      <c r="AY107">
        <v>2</v>
      </c>
      <c r="AZ107">
        <v>22528</v>
      </c>
      <c r="BA107">
        <v>101</v>
      </c>
      <c r="BB107">
        <v>0</v>
      </c>
      <c r="BC107">
        <v>0</v>
      </c>
      <c r="BD107">
        <v>0</v>
      </c>
      <c r="BE107">
        <v>0</v>
      </c>
      <c r="BF107">
        <v>0</v>
      </c>
      <c r="BG107">
        <v>0</v>
      </c>
      <c r="BH107">
        <v>0</v>
      </c>
      <c r="BI107">
        <v>0</v>
      </c>
      <c r="BJ107">
        <v>0</v>
      </c>
      <c r="BK107">
        <v>0</v>
      </c>
      <c r="BL107">
        <v>0</v>
      </c>
      <c r="BM107">
        <v>0</v>
      </c>
      <c r="BN107">
        <v>0</v>
      </c>
      <c r="BO107">
        <v>0</v>
      </c>
      <c r="BP107">
        <v>0</v>
      </c>
      <c r="BQ107">
        <v>0</v>
      </c>
      <c r="BR107">
        <v>0</v>
      </c>
      <c r="BS107">
        <v>0</v>
      </c>
      <c r="BT107">
        <v>0</v>
      </c>
      <c r="BU107">
        <v>0</v>
      </c>
      <c r="BV107">
        <v>0</v>
      </c>
      <c r="BW107">
        <v>0</v>
      </c>
      <c r="CV107">
        <v>0</v>
      </c>
      <c r="CW107">
        <v>0</v>
      </c>
      <c r="CX107">
        <f>ROUND(Y107*Source!I133,9)</f>
        <v>0</v>
      </c>
      <c r="CY107">
        <f t="shared" si="52"/>
        <v>89.3</v>
      </c>
      <c r="CZ107">
        <f t="shared" si="53"/>
        <v>89.3</v>
      </c>
      <c r="DA107">
        <f t="shared" si="54"/>
        <v>1</v>
      </c>
      <c r="DB107">
        <f t="shared" si="42"/>
        <v>200.93</v>
      </c>
      <c r="DC107">
        <f t="shared" si="43"/>
        <v>0</v>
      </c>
      <c r="DD107" t="s">
        <v>3</v>
      </c>
      <c r="DE107" t="s">
        <v>3</v>
      </c>
      <c r="DF107">
        <f t="shared" si="48"/>
        <v>0</v>
      </c>
      <c r="DG107">
        <f t="shared" si="49"/>
        <v>0</v>
      </c>
      <c r="DH107">
        <f t="shared" si="50"/>
        <v>0</v>
      </c>
      <c r="DI107">
        <f t="shared" si="51"/>
        <v>0</v>
      </c>
      <c r="DJ107">
        <f t="shared" si="55"/>
        <v>0</v>
      </c>
      <c r="DK107">
        <v>0</v>
      </c>
      <c r="DL107" t="s">
        <v>3</v>
      </c>
      <c r="DM107">
        <v>0</v>
      </c>
      <c r="DN107" t="s">
        <v>3</v>
      </c>
      <c r="DO107">
        <v>0</v>
      </c>
    </row>
    <row r="108" spans="1:119" x14ac:dyDescent="0.2">
      <c r="A108">
        <f>ROW(Source!A133)</f>
        <v>133</v>
      </c>
      <c r="B108">
        <v>78131199</v>
      </c>
      <c r="C108">
        <v>78131060</v>
      </c>
      <c r="D108">
        <v>77797721</v>
      </c>
      <c r="E108">
        <v>37</v>
      </c>
      <c r="F108">
        <v>1</v>
      </c>
      <c r="G108">
        <v>37</v>
      </c>
      <c r="H108">
        <v>3</v>
      </c>
      <c r="I108" t="s">
        <v>304</v>
      </c>
      <c r="J108" t="s">
        <v>305</v>
      </c>
      <c r="K108" t="s">
        <v>306</v>
      </c>
      <c r="L108">
        <v>1339</v>
      </c>
      <c r="N108">
        <v>1007</v>
      </c>
      <c r="O108" t="s">
        <v>281</v>
      </c>
      <c r="P108" t="s">
        <v>281</v>
      </c>
      <c r="Q108">
        <v>1</v>
      </c>
      <c r="W108">
        <v>0</v>
      </c>
      <c r="X108">
        <v>1431951903</v>
      </c>
      <c r="Y108">
        <f t="shared" si="41"/>
        <v>2.2799999999999998</v>
      </c>
      <c r="AA108">
        <v>698.15</v>
      </c>
      <c r="AB108">
        <v>0</v>
      </c>
      <c r="AC108">
        <v>0</v>
      </c>
      <c r="AD108">
        <v>0</v>
      </c>
      <c r="AE108">
        <v>698.15</v>
      </c>
      <c r="AF108">
        <v>0</v>
      </c>
      <c r="AG108">
        <v>0</v>
      </c>
      <c r="AH108">
        <v>0</v>
      </c>
      <c r="AI108">
        <v>1</v>
      </c>
      <c r="AJ108">
        <v>1</v>
      </c>
      <c r="AK108">
        <v>1</v>
      </c>
      <c r="AL108">
        <v>1</v>
      </c>
      <c r="AM108">
        <v>-2</v>
      </c>
      <c r="AN108">
        <v>0</v>
      </c>
      <c r="AO108">
        <v>1</v>
      </c>
      <c r="AP108">
        <v>0</v>
      </c>
      <c r="AQ108">
        <v>0</v>
      </c>
      <c r="AR108">
        <v>0</v>
      </c>
      <c r="AS108" t="s">
        <v>3</v>
      </c>
      <c r="AT108">
        <v>2.2799999999999998</v>
      </c>
      <c r="AU108" t="s">
        <v>3</v>
      </c>
      <c r="AV108">
        <v>0</v>
      </c>
      <c r="AW108">
        <v>2</v>
      </c>
      <c r="AX108">
        <v>78131076</v>
      </c>
      <c r="AY108">
        <v>2</v>
      </c>
      <c r="AZ108">
        <v>22528</v>
      </c>
      <c r="BA108">
        <v>102</v>
      </c>
      <c r="BB108">
        <v>0</v>
      </c>
      <c r="BC108">
        <v>0</v>
      </c>
      <c r="BD108">
        <v>0</v>
      </c>
      <c r="BE108">
        <v>0</v>
      </c>
      <c r="BF108">
        <v>0</v>
      </c>
      <c r="BG108">
        <v>0</v>
      </c>
      <c r="BH108">
        <v>0</v>
      </c>
      <c r="BI108">
        <v>0</v>
      </c>
      <c r="BJ108">
        <v>0</v>
      </c>
      <c r="BK108">
        <v>0</v>
      </c>
      <c r="BL108">
        <v>0</v>
      </c>
      <c r="BM108">
        <v>0</v>
      </c>
      <c r="BN108">
        <v>0</v>
      </c>
      <c r="BO108">
        <v>0</v>
      </c>
      <c r="BP108">
        <v>0</v>
      </c>
      <c r="BQ108">
        <v>0</v>
      </c>
      <c r="BR108">
        <v>0</v>
      </c>
      <c r="BS108">
        <v>0</v>
      </c>
      <c r="BT108">
        <v>0</v>
      </c>
      <c r="BU108">
        <v>0</v>
      </c>
      <c r="BV108">
        <v>0</v>
      </c>
      <c r="BW108">
        <v>0</v>
      </c>
      <c r="CV108">
        <v>0</v>
      </c>
      <c r="CW108">
        <v>0</v>
      </c>
      <c r="CX108">
        <f>ROUND(Y108*Source!I133,9)</f>
        <v>0</v>
      </c>
      <c r="CY108">
        <f t="shared" si="52"/>
        <v>698.15</v>
      </c>
      <c r="CZ108">
        <f t="shared" si="53"/>
        <v>698.15</v>
      </c>
      <c r="DA108">
        <f t="shared" si="54"/>
        <v>1</v>
      </c>
      <c r="DB108">
        <f t="shared" si="42"/>
        <v>1591.78</v>
      </c>
      <c r="DC108">
        <f t="shared" si="43"/>
        <v>0</v>
      </c>
      <c r="DD108" t="s">
        <v>3</v>
      </c>
      <c r="DE108" t="s">
        <v>3</v>
      </c>
      <c r="DF108">
        <f t="shared" si="48"/>
        <v>0</v>
      </c>
      <c r="DG108">
        <f t="shared" si="49"/>
        <v>0</v>
      </c>
      <c r="DH108">
        <f t="shared" si="50"/>
        <v>0</v>
      </c>
      <c r="DI108">
        <f t="shared" si="51"/>
        <v>0</v>
      </c>
      <c r="DJ108">
        <f t="shared" si="55"/>
        <v>0</v>
      </c>
      <c r="DK108">
        <v>0</v>
      </c>
      <c r="DL108" t="s">
        <v>3</v>
      </c>
      <c r="DM108">
        <v>0</v>
      </c>
      <c r="DN108" t="s">
        <v>3</v>
      </c>
      <c r="DO108">
        <v>0</v>
      </c>
    </row>
    <row r="109" spans="1:119" x14ac:dyDescent="0.2">
      <c r="A109">
        <f>ROW(Source!A133)</f>
        <v>133</v>
      </c>
      <c r="B109">
        <v>78131199</v>
      </c>
      <c r="C109">
        <v>78131060</v>
      </c>
      <c r="D109">
        <v>77804088</v>
      </c>
      <c r="E109">
        <v>37</v>
      </c>
      <c r="F109">
        <v>1</v>
      </c>
      <c r="G109">
        <v>37</v>
      </c>
      <c r="H109">
        <v>3</v>
      </c>
      <c r="I109" t="s">
        <v>330</v>
      </c>
      <c r="J109" t="s">
        <v>331</v>
      </c>
      <c r="K109" t="s">
        <v>332</v>
      </c>
      <c r="L109">
        <v>1339</v>
      </c>
      <c r="N109">
        <v>1007</v>
      </c>
      <c r="O109" t="s">
        <v>281</v>
      </c>
      <c r="P109" t="s">
        <v>281</v>
      </c>
      <c r="Q109">
        <v>1</v>
      </c>
      <c r="W109">
        <v>0</v>
      </c>
      <c r="X109">
        <v>2013185010</v>
      </c>
      <c r="Y109">
        <f t="shared" si="41"/>
        <v>2.1000000000000001E-2</v>
      </c>
      <c r="AA109">
        <v>4969.8599999999997</v>
      </c>
      <c r="AB109">
        <v>0</v>
      </c>
      <c r="AC109">
        <v>0</v>
      </c>
      <c r="AD109">
        <v>0</v>
      </c>
      <c r="AE109">
        <v>4969.8599999999997</v>
      </c>
      <c r="AF109">
        <v>0</v>
      </c>
      <c r="AG109">
        <v>0</v>
      </c>
      <c r="AH109">
        <v>0</v>
      </c>
      <c r="AI109">
        <v>1</v>
      </c>
      <c r="AJ109">
        <v>1</v>
      </c>
      <c r="AK109">
        <v>1</v>
      </c>
      <c r="AL109">
        <v>1</v>
      </c>
      <c r="AM109">
        <v>-2</v>
      </c>
      <c r="AN109">
        <v>0</v>
      </c>
      <c r="AO109">
        <v>1</v>
      </c>
      <c r="AP109">
        <v>0</v>
      </c>
      <c r="AQ109">
        <v>0</v>
      </c>
      <c r="AR109">
        <v>0</v>
      </c>
      <c r="AS109" t="s">
        <v>3</v>
      </c>
      <c r="AT109">
        <v>2.1000000000000001E-2</v>
      </c>
      <c r="AU109" t="s">
        <v>3</v>
      </c>
      <c r="AV109">
        <v>0</v>
      </c>
      <c r="AW109">
        <v>2</v>
      </c>
      <c r="AX109">
        <v>78131079</v>
      </c>
      <c r="AY109">
        <v>2</v>
      </c>
      <c r="AZ109">
        <v>22528</v>
      </c>
      <c r="BA109">
        <v>103</v>
      </c>
      <c r="BB109">
        <v>0</v>
      </c>
      <c r="BC109">
        <v>0</v>
      </c>
      <c r="BD109">
        <v>0</v>
      </c>
      <c r="BE109">
        <v>0</v>
      </c>
      <c r="BF109">
        <v>0</v>
      </c>
      <c r="BG109">
        <v>0</v>
      </c>
      <c r="BH109">
        <v>0</v>
      </c>
      <c r="BI109">
        <v>0</v>
      </c>
      <c r="BJ109">
        <v>0</v>
      </c>
      <c r="BK109">
        <v>0</v>
      </c>
      <c r="BL109">
        <v>0</v>
      </c>
      <c r="BM109">
        <v>0</v>
      </c>
      <c r="BN109">
        <v>0</v>
      </c>
      <c r="BO109">
        <v>0</v>
      </c>
      <c r="BP109">
        <v>0</v>
      </c>
      <c r="BQ109">
        <v>0</v>
      </c>
      <c r="BR109">
        <v>0</v>
      </c>
      <c r="BS109">
        <v>0</v>
      </c>
      <c r="BT109">
        <v>0</v>
      </c>
      <c r="BU109">
        <v>0</v>
      </c>
      <c r="BV109">
        <v>0</v>
      </c>
      <c r="BW109">
        <v>0</v>
      </c>
      <c r="CV109">
        <v>0</v>
      </c>
      <c r="CW109">
        <v>0</v>
      </c>
      <c r="CX109">
        <f>ROUND(Y109*Source!I133,9)</f>
        <v>0</v>
      </c>
      <c r="CY109">
        <f t="shared" si="52"/>
        <v>4969.8599999999997</v>
      </c>
      <c r="CZ109">
        <f t="shared" si="53"/>
        <v>4969.8599999999997</v>
      </c>
      <c r="DA109">
        <f t="shared" si="54"/>
        <v>1</v>
      </c>
      <c r="DB109">
        <f t="shared" si="42"/>
        <v>104.37</v>
      </c>
      <c r="DC109">
        <f t="shared" si="43"/>
        <v>0</v>
      </c>
      <c r="DD109" t="s">
        <v>3</v>
      </c>
      <c r="DE109" t="s">
        <v>3</v>
      </c>
      <c r="DF109">
        <f t="shared" si="48"/>
        <v>0</v>
      </c>
      <c r="DG109">
        <f t="shared" si="49"/>
        <v>0</v>
      </c>
      <c r="DH109">
        <f t="shared" si="50"/>
        <v>0</v>
      </c>
      <c r="DI109">
        <f t="shared" si="51"/>
        <v>0</v>
      </c>
      <c r="DJ109">
        <f t="shared" si="55"/>
        <v>0</v>
      </c>
      <c r="DK109">
        <v>0</v>
      </c>
      <c r="DL109" t="s">
        <v>3</v>
      </c>
      <c r="DM109">
        <v>0</v>
      </c>
      <c r="DN109" t="s">
        <v>3</v>
      </c>
      <c r="DO109">
        <v>0</v>
      </c>
    </row>
    <row r="110" spans="1:119" x14ac:dyDescent="0.2">
      <c r="A110">
        <f>ROW(Source!A134)</f>
        <v>134</v>
      </c>
      <c r="B110">
        <v>78131199</v>
      </c>
      <c r="C110">
        <v>78131081</v>
      </c>
      <c r="D110">
        <v>77806460</v>
      </c>
      <c r="E110">
        <v>37</v>
      </c>
      <c r="F110">
        <v>1</v>
      </c>
      <c r="G110">
        <v>37</v>
      </c>
      <c r="H110">
        <v>1</v>
      </c>
      <c r="I110" t="s">
        <v>254</v>
      </c>
      <c r="J110" t="s">
        <v>3</v>
      </c>
      <c r="K110" t="s">
        <v>255</v>
      </c>
      <c r="L110">
        <v>1191</v>
      </c>
      <c r="N110">
        <v>1013</v>
      </c>
      <c r="O110" t="s">
        <v>256</v>
      </c>
      <c r="P110" t="s">
        <v>256</v>
      </c>
      <c r="Q110">
        <v>1</v>
      </c>
      <c r="W110">
        <v>0</v>
      </c>
      <c r="X110">
        <v>476480486</v>
      </c>
      <c r="Y110">
        <f t="shared" si="41"/>
        <v>6.49</v>
      </c>
      <c r="AA110">
        <v>0</v>
      </c>
      <c r="AB110">
        <v>0</v>
      </c>
      <c r="AC110">
        <v>0</v>
      </c>
      <c r="AD110">
        <v>0</v>
      </c>
      <c r="AE110">
        <v>0</v>
      </c>
      <c r="AF110">
        <v>0</v>
      </c>
      <c r="AG110">
        <v>0</v>
      </c>
      <c r="AH110">
        <v>0</v>
      </c>
      <c r="AI110">
        <v>1</v>
      </c>
      <c r="AJ110">
        <v>1</v>
      </c>
      <c r="AK110">
        <v>1</v>
      </c>
      <c r="AL110">
        <v>1</v>
      </c>
      <c r="AM110">
        <v>-2</v>
      </c>
      <c r="AN110">
        <v>0</v>
      </c>
      <c r="AO110">
        <v>1</v>
      </c>
      <c r="AP110">
        <v>0</v>
      </c>
      <c r="AQ110">
        <v>0</v>
      </c>
      <c r="AR110">
        <v>0</v>
      </c>
      <c r="AS110" t="s">
        <v>3</v>
      </c>
      <c r="AT110">
        <v>6.49</v>
      </c>
      <c r="AU110" t="s">
        <v>3</v>
      </c>
      <c r="AV110">
        <v>1</v>
      </c>
      <c r="AW110">
        <v>2</v>
      </c>
      <c r="AX110">
        <v>78131260</v>
      </c>
      <c r="AY110">
        <v>1</v>
      </c>
      <c r="AZ110">
        <v>0</v>
      </c>
      <c r="BA110">
        <v>104</v>
      </c>
      <c r="BB110">
        <v>0</v>
      </c>
      <c r="BC110">
        <v>0</v>
      </c>
      <c r="BD110">
        <v>0</v>
      </c>
      <c r="BE110">
        <v>0</v>
      </c>
      <c r="BF110">
        <v>0</v>
      </c>
      <c r="BG110">
        <v>0</v>
      </c>
      <c r="BH110">
        <v>0</v>
      </c>
      <c r="BI110">
        <v>0</v>
      </c>
      <c r="BJ110">
        <v>0</v>
      </c>
      <c r="BK110">
        <v>0</v>
      </c>
      <c r="BL110">
        <v>0</v>
      </c>
      <c r="BM110">
        <v>0</v>
      </c>
      <c r="BN110">
        <v>0</v>
      </c>
      <c r="BO110">
        <v>0</v>
      </c>
      <c r="BP110">
        <v>0</v>
      </c>
      <c r="BQ110">
        <v>0</v>
      </c>
      <c r="BR110">
        <v>0</v>
      </c>
      <c r="BS110">
        <v>0</v>
      </c>
      <c r="BT110">
        <v>0</v>
      </c>
      <c r="BU110">
        <v>0</v>
      </c>
      <c r="BV110">
        <v>0</v>
      </c>
      <c r="BW110">
        <v>0</v>
      </c>
      <c r="CU110">
        <f>ROUND(AT110*Source!I134*AH110*AL110,2)</f>
        <v>0</v>
      </c>
      <c r="CV110">
        <f>ROUND(Y110*Source!I134,9)</f>
        <v>77.88</v>
      </c>
      <c r="CW110">
        <v>0</v>
      </c>
      <c r="CX110">
        <f>ROUND(Y110*Source!I134,9)</f>
        <v>77.88</v>
      </c>
      <c r="CY110">
        <f>AD110</f>
        <v>0</v>
      </c>
      <c r="CZ110">
        <f>AH110</f>
        <v>0</v>
      </c>
      <c r="DA110">
        <f>AL110</f>
        <v>1</v>
      </c>
      <c r="DB110">
        <f t="shared" si="42"/>
        <v>0</v>
      </c>
      <c r="DC110">
        <f t="shared" si="43"/>
        <v>0</v>
      </c>
      <c r="DD110" t="s">
        <v>3</v>
      </c>
      <c r="DE110" t="s">
        <v>3</v>
      </c>
      <c r="DF110">
        <f t="shared" si="48"/>
        <v>0</v>
      </c>
      <c r="DG110">
        <f t="shared" si="49"/>
        <v>0</v>
      </c>
      <c r="DH110">
        <f t="shared" si="50"/>
        <v>0</v>
      </c>
      <c r="DI110">
        <f t="shared" si="51"/>
        <v>0</v>
      </c>
      <c r="DJ110">
        <f>DI110</f>
        <v>0</v>
      </c>
      <c r="DK110">
        <v>0</v>
      </c>
      <c r="DL110" t="s">
        <v>3</v>
      </c>
      <c r="DM110">
        <v>0</v>
      </c>
      <c r="DN110" t="s">
        <v>3</v>
      </c>
      <c r="DO110">
        <v>0</v>
      </c>
    </row>
    <row r="111" spans="1:119" x14ac:dyDescent="0.2">
      <c r="A111">
        <f>ROW(Source!A134)</f>
        <v>134</v>
      </c>
      <c r="B111">
        <v>78131199</v>
      </c>
      <c r="C111">
        <v>78131081</v>
      </c>
      <c r="D111">
        <v>77807921</v>
      </c>
      <c r="E111">
        <v>1</v>
      </c>
      <c r="F111">
        <v>1</v>
      </c>
      <c r="G111">
        <v>37</v>
      </c>
      <c r="H111">
        <v>2</v>
      </c>
      <c r="I111" t="s">
        <v>285</v>
      </c>
      <c r="J111" t="s">
        <v>286</v>
      </c>
      <c r="K111" t="s">
        <v>287</v>
      </c>
      <c r="L111">
        <v>1368</v>
      </c>
      <c r="N111">
        <v>1011</v>
      </c>
      <c r="O111" t="s">
        <v>260</v>
      </c>
      <c r="P111" t="s">
        <v>260</v>
      </c>
      <c r="Q111">
        <v>1</v>
      </c>
      <c r="W111">
        <v>0</v>
      </c>
      <c r="X111">
        <v>1399152527</v>
      </c>
      <c r="Y111">
        <f t="shared" si="41"/>
        <v>0.6</v>
      </c>
      <c r="AA111">
        <v>0</v>
      </c>
      <c r="AB111">
        <v>68.260000000000005</v>
      </c>
      <c r="AC111">
        <v>0.09</v>
      </c>
      <c r="AD111">
        <v>0</v>
      </c>
      <c r="AE111">
        <v>0</v>
      </c>
      <c r="AF111">
        <v>68.260000000000005</v>
      </c>
      <c r="AG111">
        <v>0.09</v>
      </c>
      <c r="AH111">
        <v>0</v>
      </c>
      <c r="AI111">
        <v>1</v>
      </c>
      <c r="AJ111">
        <v>1</v>
      </c>
      <c r="AK111">
        <v>1</v>
      </c>
      <c r="AL111">
        <v>1</v>
      </c>
      <c r="AM111">
        <v>-2</v>
      </c>
      <c r="AN111">
        <v>0</v>
      </c>
      <c r="AO111">
        <v>1</v>
      </c>
      <c r="AP111">
        <v>0</v>
      </c>
      <c r="AQ111">
        <v>0</v>
      </c>
      <c r="AR111">
        <v>0</v>
      </c>
      <c r="AS111" t="s">
        <v>3</v>
      </c>
      <c r="AT111">
        <v>0.6</v>
      </c>
      <c r="AU111" t="s">
        <v>3</v>
      </c>
      <c r="AV111">
        <v>0</v>
      </c>
      <c r="AW111">
        <v>1</v>
      </c>
      <c r="AX111">
        <v>-1</v>
      </c>
      <c r="AY111">
        <v>0</v>
      </c>
      <c r="AZ111">
        <v>0</v>
      </c>
      <c r="BA111" t="s">
        <v>3</v>
      </c>
      <c r="BB111">
        <v>0</v>
      </c>
      <c r="BC111">
        <v>0</v>
      </c>
      <c r="BD111">
        <v>0</v>
      </c>
      <c r="BE111">
        <v>0</v>
      </c>
      <c r="BF111">
        <v>0</v>
      </c>
      <c r="BG111">
        <v>0</v>
      </c>
      <c r="BH111">
        <v>0</v>
      </c>
      <c r="BI111">
        <v>0</v>
      </c>
      <c r="BJ111">
        <v>0</v>
      </c>
      <c r="BK111">
        <v>0</v>
      </c>
      <c r="BL111">
        <v>0</v>
      </c>
      <c r="BM111">
        <v>0</v>
      </c>
      <c r="BN111">
        <v>0</v>
      </c>
      <c r="BO111">
        <v>0</v>
      </c>
      <c r="BP111">
        <v>0</v>
      </c>
      <c r="BQ111">
        <v>0</v>
      </c>
      <c r="BR111">
        <v>0</v>
      </c>
      <c r="BS111">
        <v>0</v>
      </c>
      <c r="BT111">
        <v>0</v>
      </c>
      <c r="BU111">
        <v>0</v>
      </c>
      <c r="BV111">
        <v>0</v>
      </c>
      <c r="BW111">
        <v>0</v>
      </c>
      <c r="CV111">
        <v>0</v>
      </c>
      <c r="CW111">
        <f>ROUND(Y111*Source!I134*DO111,9)</f>
        <v>0</v>
      </c>
      <c r="CX111">
        <f>ROUND(Y111*Source!I134,9)</f>
        <v>7.2</v>
      </c>
      <c r="CY111">
        <f>AB111</f>
        <v>68.260000000000005</v>
      </c>
      <c r="CZ111">
        <f>AF111</f>
        <v>68.260000000000005</v>
      </c>
      <c r="DA111">
        <f>AJ111</f>
        <v>1</v>
      </c>
      <c r="DB111">
        <f t="shared" si="42"/>
        <v>40.96</v>
      </c>
      <c r="DC111">
        <f t="shared" si="43"/>
        <v>0.05</v>
      </c>
      <c r="DD111" t="s">
        <v>3</v>
      </c>
      <c r="DE111" t="s">
        <v>3</v>
      </c>
      <c r="DF111">
        <f t="shared" si="48"/>
        <v>0</v>
      </c>
      <c r="DG111">
        <f t="shared" si="49"/>
        <v>491.47</v>
      </c>
      <c r="DH111">
        <f t="shared" si="50"/>
        <v>0.65</v>
      </c>
      <c r="DI111">
        <f t="shared" si="51"/>
        <v>0</v>
      </c>
      <c r="DJ111">
        <f>DG111</f>
        <v>491.47</v>
      </c>
      <c r="DK111">
        <v>0</v>
      </c>
      <c r="DL111" t="s">
        <v>3</v>
      </c>
      <c r="DM111">
        <v>0</v>
      </c>
      <c r="DN111" t="s">
        <v>3</v>
      </c>
      <c r="DO111">
        <v>0</v>
      </c>
    </row>
    <row r="112" spans="1:119" x14ac:dyDescent="0.2">
      <c r="A112">
        <f>ROW(Source!A134)</f>
        <v>134</v>
      </c>
      <c r="B112">
        <v>78131199</v>
      </c>
      <c r="C112">
        <v>78131081</v>
      </c>
      <c r="D112">
        <v>77809525</v>
      </c>
      <c r="E112">
        <v>1</v>
      </c>
      <c r="F112">
        <v>1</v>
      </c>
      <c r="G112">
        <v>37</v>
      </c>
      <c r="H112">
        <v>3</v>
      </c>
      <c r="I112" t="s">
        <v>198</v>
      </c>
      <c r="J112" t="s">
        <v>201</v>
      </c>
      <c r="K112" t="s">
        <v>199</v>
      </c>
      <c r="L112">
        <v>1348</v>
      </c>
      <c r="N112">
        <v>1009</v>
      </c>
      <c r="O112" t="s">
        <v>200</v>
      </c>
      <c r="P112" t="s">
        <v>200</v>
      </c>
      <c r="Q112">
        <v>1000</v>
      </c>
      <c r="W112">
        <v>1</v>
      </c>
      <c r="X112">
        <v>-1470955817</v>
      </c>
      <c r="Y112">
        <f t="shared" si="41"/>
        <v>-5.9999999999999995E-4</v>
      </c>
      <c r="AA112">
        <v>173260.69</v>
      </c>
      <c r="AB112">
        <v>0</v>
      </c>
      <c r="AC112">
        <v>0</v>
      </c>
      <c r="AD112">
        <v>0</v>
      </c>
      <c r="AE112">
        <v>173260.69</v>
      </c>
      <c r="AF112">
        <v>0</v>
      </c>
      <c r="AG112">
        <v>0</v>
      </c>
      <c r="AH112">
        <v>0</v>
      </c>
      <c r="AI112">
        <v>1</v>
      </c>
      <c r="AJ112">
        <v>1</v>
      </c>
      <c r="AK112">
        <v>1</v>
      </c>
      <c r="AL112">
        <v>1</v>
      </c>
      <c r="AM112">
        <v>-2</v>
      </c>
      <c r="AN112">
        <v>0</v>
      </c>
      <c r="AO112">
        <v>1</v>
      </c>
      <c r="AP112">
        <v>1</v>
      </c>
      <c r="AQ112">
        <v>0</v>
      </c>
      <c r="AR112">
        <v>0</v>
      </c>
      <c r="AS112" t="s">
        <v>3</v>
      </c>
      <c r="AT112">
        <v>-5.9999999999999995E-4</v>
      </c>
      <c r="AU112" t="s">
        <v>3</v>
      </c>
      <c r="AV112">
        <v>0</v>
      </c>
      <c r="AW112">
        <v>2</v>
      </c>
      <c r="AX112">
        <v>78131263</v>
      </c>
      <c r="AY112">
        <v>1</v>
      </c>
      <c r="AZ112">
        <v>6144</v>
      </c>
      <c r="BA112">
        <v>107</v>
      </c>
      <c r="BB112">
        <v>0</v>
      </c>
      <c r="BC112">
        <v>0</v>
      </c>
      <c r="BD112">
        <v>0</v>
      </c>
      <c r="BE112">
        <v>0</v>
      </c>
      <c r="BF112">
        <v>0</v>
      </c>
      <c r="BG112">
        <v>0</v>
      </c>
      <c r="BH112">
        <v>0</v>
      </c>
      <c r="BI112">
        <v>0</v>
      </c>
      <c r="BJ112">
        <v>0</v>
      </c>
      <c r="BK112">
        <v>0</v>
      </c>
      <c r="BL112">
        <v>0</v>
      </c>
      <c r="BM112">
        <v>0</v>
      </c>
      <c r="BN112">
        <v>0</v>
      </c>
      <c r="BO112">
        <v>0</v>
      </c>
      <c r="BP112">
        <v>0</v>
      </c>
      <c r="BQ112">
        <v>0</v>
      </c>
      <c r="BR112">
        <v>0</v>
      </c>
      <c r="BS112">
        <v>0</v>
      </c>
      <c r="BT112">
        <v>0</v>
      </c>
      <c r="BU112">
        <v>0</v>
      </c>
      <c r="BV112">
        <v>0</v>
      </c>
      <c r="BW112">
        <v>0</v>
      </c>
      <c r="CV112">
        <v>0</v>
      </c>
      <c r="CW112">
        <v>0</v>
      </c>
      <c r="CX112">
        <f>ROUND(Y112*Source!I134,9)</f>
        <v>-7.1999999999999998E-3</v>
      </c>
      <c r="CY112">
        <f>AA112</f>
        <v>173260.69</v>
      </c>
      <c r="CZ112">
        <f>AE112</f>
        <v>173260.69</v>
      </c>
      <c r="DA112">
        <f>AI112</f>
        <v>1</v>
      </c>
      <c r="DB112">
        <f t="shared" si="42"/>
        <v>-103.96</v>
      </c>
      <c r="DC112">
        <f t="shared" si="43"/>
        <v>0</v>
      </c>
      <c r="DD112" t="s">
        <v>3</v>
      </c>
      <c r="DE112" t="s">
        <v>3</v>
      </c>
      <c r="DF112">
        <f t="shared" si="48"/>
        <v>-1247.48</v>
      </c>
      <c r="DG112">
        <f t="shared" si="49"/>
        <v>0</v>
      </c>
      <c r="DH112">
        <f t="shared" si="50"/>
        <v>0</v>
      </c>
      <c r="DI112">
        <f t="shared" si="51"/>
        <v>0</v>
      </c>
      <c r="DJ112">
        <f>DF112</f>
        <v>-1247.48</v>
      </c>
      <c r="DK112">
        <v>0</v>
      </c>
      <c r="DL112" t="s">
        <v>3</v>
      </c>
      <c r="DM112">
        <v>0</v>
      </c>
      <c r="DN112" t="s">
        <v>3</v>
      </c>
      <c r="DO112">
        <v>0</v>
      </c>
    </row>
    <row r="113" spans="1:119" x14ac:dyDescent="0.2">
      <c r="A113">
        <f>ROW(Source!A134)</f>
        <v>134</v>
      </c>
      <c r="B113">
        <v>78131199</v>
      </c>
      <c r="C113">
        <v>78131081</v>
      </c>
      <c r="D113">
        <v>77815176</v>
      </c>
      <c r="E113">
        <v>1</v>
      </c>
      <c r="F113">
        <v>1</v>
      </c>
      <c r="G113">
        <v>37</v>
      </c>
      <c r="H113">
        <v>3</v>
      </c>
      <c r="I113" t="s">
        <v>203</v>
      </c>
      <c r="J113" t="s">
        <v>205</v>
      </c>
      <c r="K113" t="s">
        <v>204</v>
      </c>
      <c r="L113">
        <v>1301</v>
      </c>
      <c r="N113">
        <v>1003</v>
      </c>
      <c r="O113" t="s">
        <v>33</v>
      </c>
      <c r="P113" t="s">
        <v>33</v>
      </c>
      <c r="Q113">
        <v>1</v>
      </c>
      <c r="W113">
        <v>1</v>
      </c>
      <c r="X113">
        <v>2138246344</v>
      </c>
      <c r="Y113">
        <f t="shared" si="41"/>
        <v>-0.4</v>
      </c>
      <c r="AA113">
        <v>668.51</v>
      </c>
      <c r="AB113">
        <v>0</v>
      </c>
      <c r="AC113">
        <v>0</v>
      </c>
      <c r="AD113">
        <v>0</v>
      </c>
      <c r="AE113">
        <v>668.51</v>
      </c>
      <c r="AF113">
        <v>0</v>
      </c>
      <c r="AG113">
        <v>0</v>
      </c>
      <c r="AH113">
        <v>0</v>
      </c>
      <c r="AI113">
        <v>1</v>
      </c>
      <c r="AJ113">
        <v>1</v>
      </c>
      <c r="AK113">
        <v>1</v>
      </c>
      <c r="AL113">
        <v>1</v>
      </c>
      <c r="AM113">
        <v>-2</v>
      </c>
      <c r="AN113">
        <v>0</v>
      </c>
      <c r="AO113">
        <v>1</v>
      </c>
      <c r="AP113">
        <v>1</v>
      </c>
      <c r="AQ113">
        <v>0</v>
      </c>
      <c r="AR113">
        <v>0</v>
      </c>
      <c r="AS113" t="s">
        <v>3</v>
      </c>
      <c r="AT113">
        <v>-0.4</v>
      </c>
      <c r="AU113" t="s">
        <v>3</v>
      </c>
      <c r="AV113">
        <v>0</v>
      </c>
      <c r="AW113">
        <v>2</v>
      </c>
      <c r="AX113">
        <v>78131267</v>
      </c>
      <c r="AY113">
        <v>1</v>
      </c>
      <c r="AZ113">
        <v>6144</v>
      </c>
      <c r="BA113">
        <v>109</v>
      </c>
      <c r="BB113">
        <v>0</v>
      </c>
      <c r="BC113">
        <v>0</v>
      </c>
      <c r="BD113">
        <v>0</v>
      </c>
      <c r="BE113">
        <v>0</v>
      </c>
      <c r="BF113">
        <v>0</v>
      </c>
      <c r="BG113">
        <v>0</v>
      </c>
      <c r="BH113">
        <v>0</v>
      </c>
      <c r="BI113">
        <v>0</v>
      </c>
      <c r="BJ113">
        <v>0</v>
      </c>
      <c r="BK113">
        <v>0</v>
      </c>
      <c r="BL113">
        <v>0</v>
      </c>
      <c r="BM113">
        <v>0</v>
      </c>
      <c r="BN113">
        <v>0</v>
      </c>
      <c r="BO113">
        <v>0</v>
      </c>
      <c r="BP113">
        <v>0</v>
      </c>
      <c r="BQ113">
        <v>0</v>
      </c>
      <c r="BR113">
        <v>0</v>
      </c>
      <c r="BS113">
        <v>0</v>
      </c>
      <c r="BT113">
        <v>0</v>
      </c>
      <c r="BU113">
        <v>0</v>
      </c>
      <c r="BV113">
        <v>0</v>
      </c>
      <c r="BW113">
        <v>0</v>
      </c>
      <c r="CV113">
        <v>0</v>
      </c>
      <c r="CW113">
        <v>0</v>
      </c>
      <c r="CX113">
        <f>ROUND(Y113*Source!I134,9)</f>
        <v>-4.8</v>
      </c>
      <c r="CY113">
        <f>AA113</f>
        <v>668.51</v>
      </c>
      <c r="CZ113">
        <f>AE113</f>
        <v>668.51</v>
      </c>
      <c r="DA113">
        <f>AI113</f>
        <v>1</v>
      </c>
      <c r="DB113">
        <f t="shared" si="42"/>
        <v>-267.39999999999998</v>
      </c>
      <c r="DC113">
        <f t="shared" si="43"/>
        <v>0</v>
      </c>
      <c r="DD113" t="s">
        <v>3</v>
      </c>
      <c r="DE113" t="s">
        <v>3</v>
      </c>
      <c r="DF113">
        <f t="shared" si="48"/>
        <v>-3208.85</v>
      </c>
      <c r="DG113">
        <f t="shared" si="49"/>
        <v>0</v>
      </c>
      <c r="DH113">
        <f t="shared" si="50"/>
        <v>0</v>
      </c>
      <c r="DI113">
        <f t="shared" si="51"/>
        <v>0</v>
      </c>
      <c r="DJ113">
        <f>DF113</f>
        <v>-3208.85</v>
      </c>
      <c r="DK113">
        <v>0</v>
      </c>
      <c r="DL113" t="s">
        <v>3</v>
      </c>
      <c r="DM113">
        <v>0</v>
      </c>
      <c r="DN113" t="s">
        <v>3</v>
      </c>
      <c r="DO113">
        <v>0</v>
      </c>
    </row>
    <row r="114" spans="1:119" x14ac:dyDescent="0.2">
      <c r="A114">
        <f>ROW(Source!A134)</f>
        <v>134</v>
      </c>
      <c r="B114">
        <v>78131199</v>
      </c>
      <c r="C114">
        <v>78131081</v>
      </c>
      <c r="D114">
        <v>77815383</v>
      </c>
      <c r="E114">
        <v>1</v>
      </c>
      <c r="F114">
        <v>1</v>
      </c>
      <c r="G114">
        <v>37</v>
      </c>
      <c r="H114">
        <v>3</v>
      </c>
      <c r="I114" t="s">
        <v>207</v>
      </c>
      <c r="J114" t="s">
        <v>209</v>
      </c>
      <c r="K114" t="s">
        <v>208</v>
      </c>
      <c r="L114">
        <v>1354</v>
      </c>
      <c r="N114">
        <v>1010</v>
      </c>
      <c r="O114" t="s">
        <v>29</v>
      </c>
      <c r="P114" t="s">
        <v>29</v>
      </c>
      <c r="Q114">
        <v>1</v>
      </c>
      <c r="W114">
        <v>1</v>
      </c>
      <c r="X114">
        <v>565901026</v>
      </c>
      <c r="Y114">
        <f t="shared" si="41"/>
        <v>-1</v>
      </c>
      <c r="AA114">
        <v>485.89</v>
      </c>
      <c r="AB114">
        <v>0</v>
      </c>
      <c r="AC114">
        <v>0</v>
      </c>
      <c r="AD114">
        <v>0</v>
      </c>
      <c r="AE114">
        <v>485.89</v>
      </c>
      <c r="AF114">
        <v>0</v>
      </c>
      <c r="AG114">
        <v>0</v>
      </c>
      <c r="AH114">
        <v>0</v>
      </c>
      <c r="AI114">
        <v>1</v>
      </c>
      <c r="AJ114">
        <v>1</v>
      </c>
      <c r="AK114">
        <v>1</v>
      </c>
      <c r="AL114">
        <v>1</v>
      </c>
      <c r="AM114">
        <v>-2</v>
      </c>
      <c r="AN114">
        <v>0</v>
      </c>
      <c r="AO114">
        <v>1</v>
      </c>
      <c r="AP114">
        <v>1</v>
      </c>
      <c r="AQ114">
        <v>0</v>
      </c>
      <c r="AR114">
        <v>0</v>
      </c>
      <c r="AS114" t="s">
        <v>3</v>
      </c>
      <c r="AT114">
        <v>-1</v>
      </c>
      <c r="AU114" t="s">
        <v>3</v>
      </c>
      <c r="AV114">
        <v>0</v>
      </c>
      <c r="AW114">
        <v>2</v>
      </c>
      <c r="AX114">
        <v>78131268</v>
      </c>
      <c r="AY114">
        <v>1</v>
      </c>
      <c r="AZ114">
        <v>6144</v>
      </c>
      <c r="BA114">
        <v>110</v>
      </c>
      <c r="BB114">
        <v>0</v>
      </c>
      <c r="BC114">
        <v>0</v>
      </c>
      <c r="BD114">
        <v>0</v>
      </c>
      <c r="BE114">
        <v>0</v>
      </c>
      <c r="BF114">
        <v>0</v>
      </c>
      <c r="BG114">
        <v>0</v>
      </c>
      <c r="BH114">
        <v>0</v>
      </c>
      <c r="BI114">
        <v>0</v>
      </c>
      <c r="BJ114">
        <v>0</v>
      </c>
      <c r="BK114">
        <v>0</v>
      </c>
      <c r="BL114">
        <v>0</v>
      </c>
      <c r="BM114">
        <v>0</v>
      </c>
      <c r="BN114">
        <v>0</v>
      </c>
      <c r="BO114">
        <v>0</v>
      </c>
      <c r="BP114">
        <v>0</v>
      </c>
      <c r="BQ114">
        <v>0</v>
      </c>
      <c r="BR114">
        <v>0</v>
      </c>
      <c r="BS114">
        <v>0</v>
      </c>
      <c r="BT114">
        <v>0</v>
      </c>
      <c r="BU114">
        <v>0</v>
      </c>
      <c r="BV114">
        <v>0</v>
      </c>
      <c r="BW114">
        <v>0</v>
      </c>
      <c r="CV114">
        <v>0</v>
      </c>
      <c r="CW114">
        <v>0</v>
      </c>
      <c r="CX114">
        <f>ROUND(Y114*Source!I134,9)</f>
        <v>-12</v>
      </c>
      <c r="CY114">
        <f>AA114</f>
        <v>485.89</v>
      </c>
      <c r="CZ114">
        <f>AE114</f>
        <v>485.89</v>
      </c>
      <c r="DA114">
        <f>AI114</f>
        <v>1</v>
      </c>
      <c r="DB114">
        <f t="shared" si="42"/>
        <v>-485.89</v>
      </c>
      <c r="DC114">
        <f t="shared" si="43"/>
        <v>0</v>
      </c>
      <c r="DD114" t="s">
        <v>3</v>
      </c>
      <c r="DE114" t="s">
        <v>3</v>
      </c>
      <c r="DF114">
        <f t="shared" si="48"/>
        <v>-5830.68</v>
      </c>
      <c r="DG114">
        <f t="shared" si="49"/>
        <v>0</v>
      </c>
      <c r="DH114">
        <f t="shared" si="50"/>
        <v>0</v>
      </c>
      <c r="DI114">
        <f t="shared" si="51"/>
        <v>0</v>
      </c>
      <c r="DJ114">
        <f>DF114</f>
        <v>-5830.68</v>
      </c>
      <c r="DK114">
        <v>0</v>
      </c>
      <c r="DL114" t="s">
        <v>3</v>
      </c>
      <c r="DM114">
        <v>0</v>
      </c>
      <c r="DN114" t="s">
        <v>3</v>
      </c>
      <c r="DO114">
        <v>0</v>
      </c>
    </row>
    <row r="115" spans="1:119" x14ac:dyDescent="0.2">
      <c r="A115">
        <f>ROW(Source!A134)</f>
        <v>134</v>
      </c>
      <c r="B115">
        <v>78131199</v>
      </c>
      <c r="C115">
        <v>78131081</v>
      </c>
      <c r="D115">
        <v>77815704</v>
      </c>
      <c r="E115">
        <v>1</v>
      </c>
      <c r="F115">
        <v>1</v>
      </c>
      <c r="G115">
        <v>37</v>
      </c>
      <c r="H115">
        <v>3</v>
      </c>
      <c r="I115" t="s">
        <v>211</v>
      </c>
      <c r="J115" t="s">
        <v>213</v>
      </c>
      <c r="K115" t="s">
        <v>212</v>
      </c>
      <c r="L115">
        <v>1354</v>
      </c>
      <c r="N115">
        <v>1010</v>
      </c>
      <c r="O115" t="s">
        <v>29</v>
      </c>
      <c r="P115" t="s">
        <v>29</v>
      </c>
      <c r="Q115">
        <v>1</v>
      </c>
      <c r="W115">
        <v>1</v>
      </c>
      <c r="X115">
        <v>1448620458</v>
      </c>
      <c r="Y115">
        <f t="shared" ref="Y115:Y126" si="56">AT115</f>
        <v>-1</v>
      </c>
      <c r="AA115">
        <v>2529.9499999999998</v>
      </c>
      <c r="AB115">
        <v>0</v>
      </c>
      <c r="AC115">
        <v>0</v>
      </c>
      <c r="AD115">
        <v>0</v>
      </c>
      <c r="AE115">
        <v>2529.9499999999998</v>
      </c>
      <c r="AF115">
        <v>0</v>
      </c>
      <c r="AG115">
        <v>0</v>
      </c>
      <c r="AH115">
        <v>0</v>
      </c>
      <c r="AI115">
        <v>1</v>
      </c>
      <c r="AJ115">
        <v>1</v>
      </c>
      <c r="AK115">
        <v>1</v>
      </c>
      <c r="AL115">
        <v>1</v>
      </c>
      <c r="AM115">
        <v>-2</v>
      </c>
      <c r="AN115">
        <v>0</v>
      </c>
      <c r="AO115">
        <v>1</v>
      </c>
      <c r="AP115">
        <v>1</v>
      </c>
      <c r="AQ115">
        <v>0</v>
      </c>
      <c r="AR115">
        <v>0</v>
      </c>
      <c r="AS115" t="s">
        <v>3</v>
      </c>
      <c r="AT115">
        <v>-1</v>
      </c>
      <c r="AU115" t="s">
        <v>3</v>
      </c>
      <c r="AV115">
        <v>0</v>
      </c>
      <c r="AW115">
        <v>2</v>
      </c>
      <c r="AX115">
        <v>78131269</v>
      </c>
      <c r="AY115">
        <v>1</v>
      </c>
      <c r="AZ115">
        <v>6144</v>
      </c>
      <c r="BA115">
        <v>111</v>
      </c>
      <c r="BB115">
        <v>0</v>
      </c>
      <c r="BC115">
        <v>0</v>
      </c>
      <c r="BD115">
        <v>0</v>
      </c>
      <c r="BE115">
        <v>0</v>
      </c>
      <c r="BF115">
        <v>0</v>
      </c>
      <c r="BG115">
        <v>0</v>
      </c>
      <c r="BH115">
        <v>0</v>
      </c>
      <c r="BI115">
        <v>0</v>
      </c>
      <c r="BJ115">
        <v>0</v>
      </c>
      <c r="BK115">
        <v>0</v>
      </c>
      <c r="BL115">
        <v>0</v>
      </c>
      <c r="BM115">
        <v>0</v>
      </c>
      <c r="BN115">
        <v>0</v>
      </c>
      <c r="BO115">
        <v>0</v>
      </c>
      <c r="BP115">
        <v>0</v>
      </c>
      <c r="BQ115">
        <v>0</v>
      </c>
      <c r="BR115">
        <v>0</v>
      </c>
      <c r="BS115">
        <v>0</v>
      </c>
      <c r="BT115">
        <v>0</v>
      </c>
      <c r="BU115">
        <v>0</v>
      </c>
      <c r="BV115">
        <v>0</v>
      </c>
      <c r="BW115">
        <v>0</v>
      </c>
      <c r="CV115">
        <v>0</v>
      </c>
      <c r="CW115">
        <v>0</v>
      </c>
      <c r="CX115">
        <f>ROUND(Y115*Source!I134,9)</f>
        <v>-12</v>
      </c>
      <c r="CY115">
        <f>AA115</f>
        <v>2529.9499999999998</v>
      </c>
      <c r="CZ115">
        <f>AE115</f>
        <v>2529.9499999999998</v>
      </c>
      <c r="DA115">
        <f>AI115</f>
        <v>1</v>
      </c>
      <c r="DB115">
        <f t="shared" ref="DB115:DB126" si="57">ROUND(ROUND(AT115*CZ115,2),6)</f>
        <v>-2529.9499999999998</v>
      </c>
      <c r="DC115">
        <f t="shared" ref="DC115:DC126" si="58">ROUND(ROUND(AT115*AG115,2),6)</f>
        <v>0</v>
      </c>
      <c r="DD115" t="s">
        <v>3</v>
      </c>
      <c r="DE115" t="s">
        <v>3</v>
      </c>
      <c r="DF115">
        <f t="shared" si="48"/>
        <v>-30359.4</v>
      </c>
      <c r="DG115">
        <f t="shared" si="49"/>
        <v>0</v>
      </c>
      <c r="DH115">
        <f t="shared" si="50"/>
        <v>0</v>
      </c>
      <c r="DI115">
        <f t="shared" si="51"/>
        <v>0</v>
      </c>
      <c r="DJ115">
        <f>DF115</f>
        <v>-30359.4</v>
      </c>
      <c r="DK115">
        <v>0</v>
      </c>
      <c r="DL115" t="s">
        <v>3</v>
      </c>
      <c r="DM115">
        <v>0</v>
      </c>
      <c r="DN115" t="s">
        <v>3</v>
      </c>
      <c r="DO115">
        <v>0</v>
      </c>
    </row>
    <row r="116" spans="1:119" x14ac:dyDescent="0.2">
      <c r="A116">
        <f>ROW(Source!A139)</f>
        <v>139</v>
      </c>
      <c r="B116">
        <v>78131199</v>
      </c>
      <c r="C116">
        <v>78131098</v>
      </c>
      <c r="D116">
        <v>77806460</v>
      </c>
      <c r="E116">
        <v>37</v>
      </c>
      <c r="F116">
        <v>1</v>
      </c>
      <c r="G116">
        <v>37</v>
      </c>
      <c r="H116">
        <v>1</v>
      </c>
      <c r="I116" t="s">
        <v>254</v>
      </c>
      <c r="J116" t="s">
        <v>3</v>
      </c>
      <c r="K116" t="s">
        <v>255</v>
      </c>
      <c r="L116">
        <v>1191</v>
      </c>
      <c r="N116">
        <v>1013</v>
      </c>
      <c r="O116" t="s">
        <v>256</v>
      </c>
      <c r="P116" t="s">
        <v>256</v>
      </c>
      <c r="Q116">
        <v>1</v>
      </c>
      <c r="W116">
        <v>0</v>
      </c>
      <c r="X116">
        <v>476480486</v>
      </c>
      <c r="Y116">
        <f t="shared" si="56"/>
        <v>10.64</v>
      </c>
      <c r="AA116">
        <v>0</v>
      </c>
      <c r="AB116">
        <v>0</v>
      </c>
      <c r="AC116">
        <v>0</v>
      </c>
      <c r="AD116">
        <v>0</v>
      </c>
      <c r="AE116">
        <v>0</v>
      </c>
      <c r="AF116">
        <v>0</v>
      </c>
      <c r="AG116">
        <v>0</v>
      </c>
      <c r="AH116">
        <v>0</v>
      </c>
      <c r="AI116">
        <v>1</v>
      </c>
      <c r="AJ116">
        <v>1</v>
      </c>
      <c r="AK116">
        <v>1</v>
      </c>
      <c r="AL116">
        <v>1</v>
      </c>
      <c r="AM116">
        <v>-2</v>
      </c>
      <c r="AN116">
        <v>0</v>
      </c>
      <c r="AO116">
        <v>1</v>
      </c>
      <c r="AP116">
        <v>0</v>
      </c>
      <c r="AQ116">
        <v>0</v>
      </c>
      <c r="AR116">
        <v>0</v>
      </c>
      <c r="AS116" t="s">
        <v>3</v>
      </c>
      <c r="AT116">
        <v>10.64</v>
      </c>
      <c r="AU116" t="s">
        <v>3</v>
      </c>
      <c r="AV116">
        <v>1</v>
      </c>
      <c r="AW116">
        <v>2</v>
      </c>
      <c r="AX116">
        <v>78131270</v>
      </c>
      <c r="AY116">
        <v>1</v>
      </c>
      <c r="AZ116">
        <v>0</v>
      </c>
      <c r="BA116">
        <v>114</v>
      </c>
      <c r="BB116">
        <v>0</v>
      </c>
      <c r="BC116">
        <v>0</v>
      </c>
      <c r="BD116">
        <v>0</v>
      </c>
      <c r="BE116">
        <v>0</v>
      </c>
      <c r="BF116">
        <v>0</v>
      </c>
      <c r="BG116">
        <v>0</v>
      </c>
      <c r="BH116">
        <v>0</v>
      </c>
      <c r="BI116">
        <v>0</v>
      </c>
      <c r="BJ116">
        <v>0</v>
      </c>
      <c r="BK116">
        <v>0</v>
      </c>
      <c r="BL116">
        <v>0</v>
      </c>
      <c r="BM116">
        <v>0</v>
      </c>
      <c r="BN116">
        <v>0</v>
      </c>
      <c r="BO116">
        <v>0</v>
      </c>
      <c r="BP116">
        <v>0</v>
      </c>
      <c r="BQ116">
        <v>0</v>
      </c>
      <c r="BR116">
        <v>0</v>
      </c>
      <c r="BS116">
        <v>0</v>
      </c>
      <c r="BT116">
        <v>0</v>
      </c>
      <c r="BU116">
        <v>0</v>
      </c>
      <c r="BV116">
        <v>0</v>
      </c>
      <c r="BW116">
        <v>0</v>
      </c>
      <c r="CU116">
        <f>ROUND(AT116*Source!I139*AH116*AL116,2)</f>
        <v>0</v>
      </c>
      <c r="CV116">
        <f>ROUND(Y116*Source!I139,9)</f>
        <v>6.7031999999999998</v>
      </c>
      <c r="CW116">
        <v>0</v>
      </c>
      <c r="CX116">
        <f>ROUND(Y116*Source!I139,9)</f>
        <v>6.7031999999999998</v>
      </c>
      <c r="CY116">
        <f>AD116</f>
        <v>0</v>
      </c>
      <c r="CZ116">
        <f>AH116</f>
        <v>0</v>
      </c>
      <c r="DA116">
        <f>AL116</f>
        <v>1</v>
      </c>
      <c r="DB116">
        <f t="shared" si="57"/>
        <v>0</v>
      </c>
      <c r="DC116">
        <f t="shared" si="58"/>
        <v>0</v>
      </c>
      <c r="DD116" t="s">
        <v>3</v>
      </c>
      <c r="DE116" t="s">
        <v>3</v>
      </c>
      <c r="DF116">
        <f t="shared" si="48"/>
        <v>0</v>
      </c>
      <c r="DG116">
        <f t="shared" si="49"/>
        <v>0</v>
      </c>
      <c r="DH116">
        <f t="shared" si="50"/>
        <v>0</v>
      </c>
      <c r="DI116">
        <f t="shared" si="51"/>
        <v>0</v>
      </c>
      <c r="DJ116">
        <f>DI116</f>
        <v>0</v>
      </c>
      <c r="DK116">
        <v>0</v>
      </c>
      <c r="DL116" t="s">
        <v>3</v>
      </c>
      <c r="DM116">
        <v>0</v>
      </c>
      <c r="DN116" t="s">
        <v>3</v>
      </c>
      <c r="DO116">
        <v>0</v>
      </c>
    </row>
    <row r="117" spans="1:119" x14ac:dyDescent="0.2">
      <c r="A117">
        <f>ROW(Source!A139)</f>
        <v>139</v>
      </c>
      <c r="B117">
        <v>78131199</v>
      </c>
      <c r="C117">
        <v>78131098</v>
      </c>
      <c r="D117">
        <v>77794733</v>
      </c>
      <c r="E117">
        <v>37</v>
      </c>
      <c r="F117">
        <v>1</v>
      </c>
      <c r="G117">
        <v>37</v>
      </c>
      <c r="H117">
        <v>3</v>
      </c>
      <c r="I117" t="s">
        <v>278</v>
      </c>
      <c r="J117" t="s">
        <v>279</v>
      </c>
      <c r="K117" t="s">
        <v>280</v>
      </c>
      <c r="L117">
        <v>1339</v>
      </c>
      <c r="N117">
        <v>1007</v>
      </c>
      <c r="O117" t="s">
        <v>281</v>
      </c>
      <c r="P117" t="s">
        <v>281</v>
      </c>
      <c r="Q117">
        <v>1</v>
      </c>
      <c r="W117">
        <v>0</v>
      </c>
      <c r="X117">
        <v>-1393929784</v>
      </c>
      <c r="Y117">
        <f t="shared" si="56"/>
        <v>1</v>
      </c>
      <c r="AA117">
        <v>49.83</v>
      </c>
      <c r="AB117">
        <v>0</v>
      </c>
      <c r="AC117">
        <v>0</v>
      </c>
      <c r="AD117">
        <v>0</v>
      </c>
      <c r="AE117">
        <v>49.83</v>
      </c>
      <c r="AF117">
        <v>0</v>
      </c>
      <c r="AG117">
        <v>0</v>
      </c>
      <c r="AH117">
        <v>0</v>
      </c>
      <c r="AI117">
        <v>1</v>
      </c>
      <c r="AJ117">
        <v>1</v>
      </c>
      <c r="AK117">
        <v>1</v>
      </c>
      <c r="AL117">
        <v>1</v>
      </c>
      <c r="AM117">
        <v>-2</v>
      </c>
      <c r="AN117">
        <v>0</v>
      </c>
      <c r="AO117">
        <v>1</v>
      </c>
      <c r="AP117">
        <v>0</v>
      </c>
      <c r="AQ117">
        <v>0</v>
      </c>
      <c r="AR117">
        <v>0</v>
      </c>
      <c r="AS117" t="s">
        <v>3</v>
      </c>
      <c r="AT117">
        <v>1</v>
      </c>
      <c r="AU117" t="s">
        <v>3</v>
      </c>
      <c r="AV117">
        <v>0</v>
      </c>
      <c r="AW117">
        <v>2</v>
      </c>
      <c r="AX117">
        <v>78131271</v>
      </c>
      <c r="AY117">
        <v>1</v>
      </c>
      <c r="AZ117">
        <v>0</v>
      </c>
      <c r="BA117">
        <v>115</v>
      </c>
      <c r="BB117">
        <v>0</v>
      </c>
      <c r="BC117">
        <v>0</v>
      </c>
      <c r="BD117">
        <v>0</v>
      </c>
      <c r="BE117">
        <v>0</v>
      </c>
      <c r="BF117">
        <v>0</v>
      </c>
      <c r="BG117">
        <v>0</v>
      </c>
      <c r="BH117">
        <v>0</v>
      </c>
      <c r="BI117">
        <v>0</v>
      </c>
      <c r="BJ117">
        <v>0</v>
      </c>
      <c r="BK117">
        <v>0</v>
      </c>
      <c r="BL117">
        <v>0</v>
      </c>
      <c r="BM117">
        <v>0</v>
      </c>
      <c r="BN117">
        <v>0</v>
      </c>
      <c r="BO117">
        <v>0</v>
      </c>
      <c r="BP117">
        <v>0</v>
      </c>
      <c r="BQ117">
        <v>0</v>
      </c>
      <c r="BR117">
        <v>0</v>
      </c>
      <c r="BS117">
        <v>0</v>
      </c>
      <c r="BT117">
        <v>0</v>
      </c>
      <c r="BU117">
        <v>0</v>
      </c>
      <c r="BV117">
        <v>0</v>
      </c>
      <c r="BW117">
        <v>0</v>
      </c>
      <c r="CV117">
        <v>0</v>
      </c>
      <c r="CW117">
        <v>0</v>
      </c>
      <c r="CX117">
        <f>ROUND(Y117*Source!I139,9)</f>
        <v>0.63</v>
      </c>
      <c r="CY117">
        <f>AA117</f>
        <v>49.83</v>
      </c>
      <c r="CZ117">
        <f>AE117</f>
        <v>49.83</v>
      </c>
      <c r="DA117">
        <f>AI117</f>
        <v>1</v>
      </c>
      <c r="DB117">
        <f t="shared" si="57"/>
        <v>49.83</v>
      </c>
      <c r="DC117">
        <f t="shared" si="58"/>
        <v>0</v>
      </c>
      <c r="DD117" t="s">
        <v>3</v>
      </c>
      <c r="DE117" t="s">
        <v>3</v>
      </c>
      <c r="DF117">
        <f t="shared" si="48"/>
        <v>31.39</v>
      </c>
      <c r="DG117">
        <f t="shared" si="49"/>
        <v>0</v>
      </c>
      <c r="DH117">
        <f t="shared" si="50"/>
        <v>0</v>
      </c>
      <c r="DI117">
        <f t="shared" si="51"/>
        <v>0</v>
      </c>
      <c r="DJ117">
        <f>DF117</f>
        <v>31.39</v>
      </c>
      <c r="DK117">
        <v>0</v>
      </c>
      <c r="DL117" t="s">
        <v>3</v>
      </c>
      <c r="DM117">
        <v>0</v>
      </c>
      <c r="DN117" t="s">
        <v>3</v>
      </c>
      <c r="DO117">
        <v>0</v>
      </c>
    </row>
    <row r="118" spans="1:119" x14ac:dyDescent="0.2">
      <c r="A118">
        <f>ROW(Source!A140)</f>
        <v>140</v>
      </c>
      <c r="B118">
        <v>78131199</v>
      </c>
      <c r="C118">
        <v>78131103</v>
      </c>
      <c r="D118">
        <v>77806460</v>
      </c>
      <c r="E118">
        <v>37</v>
      </c>
      <c r="F118">
        <v>1</v>
      </c>
      <c r="G118">
        <v>37</v>
      </c>
      <c r="H118">
        <v>1</v>
      </c>
      <c r="I118" t="s">
        <v>254</v>
      </c>
      <c r="J118" t="s">
        <v>3</v>
      </c>
      <c r="K118" t="s">
        <v>255</v>
      </c>
      <c r="L118">
        <v>1191</v>
      </c>
      <c r="N118">
        <v>1013</v>
      </c>
      <c r="O118" t="s">
        <v>256</v>
      </c>
      <c r="P118" t="s">
        <v>256</v>
      </c>
      <c r="Q118">
        <v>1</v>
      </c>
      <c r="W118">
        <v>0</v>
      </c>
      <c r="X118">
        <v>476480486</v>
      </c>
      <c r="Y118">
        <f t="shared" si="56"/>
        <v>10.64</v>
      </c>
      <c r="AA118">
        <v>0</v>
      </c>
      <c r="AB118">
        <v>0</v>
      </c>
      <c r="AC118">
        <v>0</v>
      </c>
      <c r="AD118">
        <v>0</v>
      </c>
      <c r="AE118">
        <v>0</v>
      </c>
      <c r="AF118">
        <v>0</v>
      </c>
      <c r="AG118">
        <v>0</v>
      </c>
      <c r="AH118">
        <v>0</v>
      </c>
      <c r="AI118">
        <v>1</v>
      </c>
      <c r="AJ118">
        <v>1</v>
      </c>
      <c r="AK118">
        <v>1</v>
      </c>
      <c r="AL118">
        <v>1</v>
      </c>
      <c r="AM118">
        <v>-2</v>
      </c>
      <c r="AN118">
        <v>0</v>
      </c>
      <c r="AO118">
        <v>1</v>
      </c>
      <c r="AP118">
        <v>0</v>
      </c>
      <c r="AQ118">
        <v>0</v>
      </c>
      <c r="AR118">
        <v>0</v>
      </c>
      <c r="AS118" t="s">
        <v>3</v>
      </c>
      <c r="AT118">
        <v>10.64</v>
      </c>
      <c r="AU118" t="s">
        <v>3</v>
      </c>
      <c r="AV118">
        <v>1</v>
      </c>
      <c r="AW118">
        <v>2</v>
      </c>
      <c r="AX118">
        <v>78131272</v>
      </c>
      <c r="AY118">
        <v>1</v>
      </c>
      <c r="AZ118">
        <v>0</v>
      </c>
      <c r="BA118">
        <v>116</v>
      </c>
      <c r="BB118">
        <v>0</v>
      </c>
      <c r="BC118">
        <v>0</v>
      </c>
      <c r="BD118">
        <v>0</v>
      </c>
      <c r="BE118">
        <v>0</v>
      </c>
      <c r="BF118">
        <v>0</v>
      </c>
      <c r="BG118">
        <v>0</v>
      </c>
      <c r="BH118">
        <v>0</v>
      </c>
      <c r="BI118">
        <v>0</v>
      </c>
      <c r="BJ118">
        <v>0</v>
      </c>
      <c r="BK118">
        <v>0</v>
      </c>
      <c r="BL118">
        <v>0</v>
      </c>
      <c r="BM118">
        <v>0</v>
      </c>
      <c r="BN118">
        <v>0</v>
      </c>
      <c r="BO118">
        <v>0</v>
      </c>
      <c r="BP118">
        <v>0</v>
      </c>
      <c r="BQ118">
        <v>0</v>
      </c>
      <c r="BR118">
        <v>0</v>
      </c>
      <c r="BS118">
        <v>0</v>
      </c>
      <c r="BT118">
        <v>0</v>
      </c>
      <c r="BU118">
        <v>0</v>
      </c>
      <c r="BV118">
        <v>0</v>
      </c>
      <c r="BW118">
        <v>0</v>
      </c>
      <c r="CU118">
        <f>ROUND(AT118*Source!I140*AH118*AL118,2)</f>
        <v>0</v>
      </c>
      <c r="CV118">
        <f>ROUND(Y118*Source!I140,9)</f>
        <v>7.3415999999999997</v>
      </c>
      <c r="CW118">
        <v>0</v>
      </c>
      <c r="CX118">
        <f>ROUND(Y118*Source!I140,9)</f>
        <v>7.3415999999999997</v>
      </c>
      <c r="CY118">
        <f>AD118</f>
        <v>0</v>
      </c>
      <c r="CZ118">
        <f>AH118</f>
        <v>0</v>
      </c>
      <c r="DA118">
        <f>AL118</f>
        <v>1</v>
      </c>
      <c r="DB118">
        <f t="shared" si="57"/>
        <v>0</v>
      </c>
      <c r="DC118">
        <f t="shared" si="58"/>
        <v>0</v>
      </c>
      <c r="DD118" t="s">
        <v>3</v>
      </c>
      <c r="DE118" t="s">
        <v>3</v>
      </c>
      <c r="DF118">
        <f t="shared" si="48"/>
        <v>0</v>
      </c>
      <c r="DG118">
        <f t="shared" si="49"/>
        <v>0</v>
      </c>
      <c r="DH118">
        <f t="shared" si="50"/>
        <v>0</v>
      </c>
      <c r="DI118">
        <f t="shared" si="51"/>
        <v>0</v>
      </c>
      <c r="DJ118">
        <f>DI118</f>
        <v>0</v>
      </c>
      <c r="DK118">
        <v>0</v>
      </c>
      <c r="DL118" t="s">
        <v>3</v>
      </c>
      <c r="DM118">
        <v>0</v>
      </c>
      <c r="DN118" t="s">
        <v>3</v>
      </c>
      <c r="DO118">
        <v>0</v>
      </c>
    </row>
    <row r="119" spans="1:119" x14ac:dyDescent="0.2">
      <c r="A119">
        <f>ROW(Source!A140)</f>
        <v>140</v>
      </c>
      <c r="B119">
        <v>78131199</v>
      </c>
      <c r="C119">
        <v>78131103</v>
      </c>
      <c r="D119">
        <v>77794733</v>
      </c>
      <c r="E119">
        <v>37</v>
      </c>
      <c r="F119">
        <v>1</v>
      </c>
      <c r="G119">
        <v>37</v>
      </c>
      <c r="H119">
        <v>3</v>
      </c>
      <c r="I119" t="s">
        <v>278</v>
      </c>
      <c r="J119" t="s">
        <v>279</v>
      </c>
      <c r="K119" t="s">
        <v>280</v>
      </c>
      <c r="L119">
        <v>1339</v>
      </c>
      <c r="N119">
        <v>1007</v>
      </c>
      <c r="O119" t="s">
        <v>281</v>
      </c>
      <c r="P119" t="s">
        <v>281</v>
      </c>
      <c r="Q119">
        <v>1</v>
      </c>
      <c r="W119">
        <v>0</v>
      </c>
      <c r="X119">
        <v>-1393929784</v>
      </c>
      <c r="Y119">
        <f t="shared" si="56"/>
        <v>3.8</v>
      </c>
      <c r="AA119">
        <v>49.83</v>
      </c>
      <c r="AB119">
        <v>0</v>
      </c>
      <c r="AC119">
        <v>0</v>
      </c>
      <c r="AD119">
        <v>0</v>
      </c>
      <c r="AE119">
        <v>49.83</v>
      </c>
      <c r="AF119">
        <v>0</v>
      </c>
      <c r="AG119">
        <v>0</v>
      </c>
      <c r="AH119">
        <v>0</v>
      </c>
      <c r="AI119">
        <v>1</v>
      </c>
      <c r="AJ119">
        <v>1</v>
      </c>
      <c r="AK119">
        <v>1</v>
      </c>
      <c r="AL119">
        <v>1</v>
      </c>
      <c r="AM119">
        <v>-2</v>
      </c>
      <c r="AN119">
        <v>0</v>
      </c>
      <c r="AO119">
        <v>1</v>
      </c>
      <c r="AP119">
        <v>0</v>
      </c>
      <c r="AQ119">
        <v>0</v>
      </c>
      <c r="AR119">
        <v>0</v>
      </c>
      <c r="AS119" t="s">
        <v>3</v>
      </c>
      <c r="AT119">
        <v>3.8</v>
      </c>
      <c r="AU119" t="s">
        <v>3</v>
      </c>
      <c r="AV119">
        <v>0</v>
      </c>
      <c r="AW119">
        <v>2</v>
      </c>
      <c r="AX119">
        <v>78131273</v>
      </c>
      <c r="AY119">
        <v>1</v>
      </c>
      <c r="AZ119">
        <v>0</v>
      </c>
      <c r="BA119">
        <v>117</v>
      </c>
      <c r="BB119">
        <v>0</v>
      </c>
      <c r="BC119">
        <v>0</v>
      </c>
      <c r="BD119">
        <v>0</v>
      </c>
      <c r="BE119">
        <v>0</v>
      </c>
      <c r="BF119">
        <v>0</v>
      </c>
      <c r="BG119">
        <v>0</v>
      </c>
      <c r="BH119">
        <v>0</v>
      </c>
      <c r="BI119">
        <v>0</v>
      </c>
      <c r="BJ119">
        <v>0</v>
      </c>
      <c r="BK119">
        <v>0</v>
      </c>
      <c r="BL119">
        <v>0</v>
      </c>
      <c r="BM119">
        <v>0</v>
      </c>
      <c r="BN119">
        <v>0</v>
      </c>
      <c r="BO119">
        <v>0</v>
      </c>
      <c r="BP119">
        <v>0</v>
      </c>
      <c r="BQ119">
        <v>0</v>
      </c>
      <c r="BR119">
        <v>0</v>
      </c>
      <c r="BS119">
        <v>0</v>
      </c>
      <c r="BT119">
        <v>0</v>
      </c>
      <c r="BU119">
        <v>0</v>
      </c>
      <c r="BV119">
        <v>0</v>
      </c>
      <c r="BW119">
        <v>0</v>
      </c>
      <c r="CV119">
        <v>0</v>
      </c>
      <c r="CW119">
        <v>0</v>
      </c>
      <c r="CX119">
        <f>ROUND(Y119*Source!I140,9)</f>
        <v>2.6219999999999999</v>
      </c>
      <c r="CY119">
        <f>AA119</f>
        <v>49.83</v>
      </c>
      <c r="CZ119">
        <f>AE119</f>
        <v>49.83</v>
      </c>
      <c r="DA119">
        <f>AI119</f>
        <v>1</v>
      </c>
      <c r="DB119">
        <f t="shared" si="57"/>
        <v>189.35</v>
      </c>
      <c r="DC119">
        <f t="shared" si="58"/>
        <v>0</v>
      </c>
      <c r="DD119" t="s">
        <v>3</v>
      </c>
      <c r="DE119" t="s">
        <v>3</v>
      </c>
      <c r="DF119">
        <f t="shared" si="48"/>
        <v>130.65</v>
      </c>
      <c r="DG119">
        <f t="shared" si="49"/>
        <v>0</v>
      </c>
      <c r="DH119">
        <f t="shared" si="50"/>
        <v>0</v>
      </c>
      <c r="DI119">
        <f t="shared" si="51"/>
        <v>0</v>
      </c>
      <c r="DJ119">
        <f>DF119</f>
        <v>130.65</v>
      </c>
      <c r="DK119">
        <v>0</v>
      </c>
      <c r="DL119" t="s">
        <v>3</v>
      </c>
      <c r="DM119">
        <v>0</v>
      </c>
      <c r="DN119" t="s">
        <v>3</v>
      </c>
      <c r="DO119">
        <v>0</v>
      </c>
    </row>
    <row r="120" spans="1:119" x14ac:dyDescent="0.2">
      <c r="A120">
        <f>ROW(Source!A141)</f>
        <v>141</v>
      </c>
      <c r="B120">
        <v>78131199</v>
      </c>
      <c r="C120">
        <v>78131108</v>
      </c>
      <c r="D120">
        <v>77806460</v>
      </c>
      <c r="E120">
        <v>37</v>
      </c>
      <c r="F120">
        <v>1</v>
      </c>
      <c r="G120">
        <v>37</v>
      </c>
      <c r="H120">
        <v>1</v>
      </c>
      <c r="I120" t="s">
        <v>254</v>
      </c>
      <c r="J120" t="s">
        <v>3</v>
      </c>
      <c r="K120" t="s">
        <v>255</v>
      </c>
      <c r="L120">
        <v>1191</v>
      </c>
      <c r="N120">
        <v>1013</v>
      </c>
      <c r="O120" t="s">
        <v>256</v>
      </c>
      <c r="P120" t="s">
        <v>256</v>
      </c>
      <c r="Q120">
        <v>1</v>
      </c>
      <c r="W120">
        <v>0</v>
      </c>
      <c r="X120">
        <v>476480486</v>
      </c>
      <c r="Y120">
        <f t="shared" si="56"/>
        <v>2.15</v>
      </c>
      <c r="AA120">
        <v>0</v>
      </c>
      <c r="AB120">
        <v>0</v>
      </c>
      <c r="AC120">
        <v>0</v>
      </c>
      <c r="AD120">
        <v>0</v>
      </c>
      <c r="AE120">
        <v>0</v>
      </c>
      <c r="AF120">
        <v>0</v>
      </c>
      <c r="AG120">
        <v>0</v>
      </c>
      <c r="AH120">
        <v>0</v>
      </c>
      <c r="AI120">
        <v>1</v>
      </c>
      <c r="AJ120">
        <v>1</v>
      </c>
      <c r="AK120">
        <v>1</v>
      </c>
      <c r="AL120">
        <v>1</v>
      </c>
      <c r="AM120">
        <v>-2</v>
      </c>
      <c r="AN120">
        <v>0</v>
      </c>
      <c r="AO120">
        <v>1</v>
      </c>
      <c r="AP120">
        <v>1</v>
      </c>
      <c r="AQ120">
        <v>0</v>
      </c>
      <c r="AR120">
        <v>0</v>
      </c>
      <c r="AS120" t="s">
        <v>3</v>
      </c>
      <c r="AT120">
        <v>2.15</v>
      </c>
      <c r="AU120" t="s">
        <v>3</v>
      </c>
      <c r="AV120">
        <v>1</v>
      </c>
      <c r="AW120">
        <v>2</v>
      </c>
      <c r="AX120">
        <v>78131274</v>
      </c>
      <c r="AY120">
        <v>1</v>
      </c>
      <c r="AZ120">
        <v>0</v>
      </c>
      <c r="BA120">
        <v>118</v>
      </c>
      <c r="BB120">
        <v>0</v>
      </c>
      <c r="BC120">
        <v>0</v>
      </c>
      <c r="BD120">
        <v>0</v>
      </c>
      <c r="BE120">
        <v>0</v>
      </c>
      <c r="BF120">
        <v>0</v>
      </c>
      <c r="BG120">
        <v>0</v>
      </c>
      <c r="BH120">
        <v>0</v>
      </c>
      <c r="BI120">
        <v>0</v>
      </c>
      <c r="BJ120">
        <v>0</v>
      </c>
      <c r="BK120">
        <v>0</v>
      </c>
      <c r="BL120">
        <v>0</v>
      </c>
      <c r="BM120">
        <v>0</v>
      </c>
      <c r="BN120">
        <v>0</v>
      </c>
      <c r="BO120">
        <v>0</v>
      </c>
      <c r="BP120">
        <v>0</v>
      </c>
      <c r="BQ120">
        <v>0</v>
      </c>
      <c r="BR120">
        <v>0</v>
      </c>
      <c r="BS120">
        <v>0</v>
      </c>
      <c r="BT120">
        <v>0</v>
      </c>
      <c r="BU120">
        <v>0</v>
      </c>
      <c r="BV120">
        <v>0</v>
      </c>
      <c r="BW120">
        <v>0</v>
      </c>
      <c r="CU120">
        <f>ROUND(AT120*Source!I141*AH120*AL120,2)</f>
        <v>0</v>
      </c>
      <c r="CV120">
        <f>ROUND(Y120*Source!I141,9)</f>
        <v>28.38</v>
      </c>
      <c r="CW120">
        <v>0</v>
      </c>
      <c r="CX120">
        <f>ROUND(Y120*Source!I141,9)</f>
        <v>28.38</v>
      </c>
      <c r="CY120">
        <f>AD120</f>
        <v>0</v>
      </c>
      <c r="CZ120">
        <f>AH120</f>
        <v>0</v>
      </c>
      <c r="DA120">
        <f>AL120</f>
        <v>1</v>
      </c>
      <c r="DB120">
        <f t="shared" si="57"/>
        <v>0</v>
      </c>
      <c r="DC120">
        <f t="shared" si="58"/>
        <v>0</v>
      </c>
      <c r="DD120" t="s">
        <v>3</v>
      </c>
      <c r="DE120" t="s">
        <v>3</v>
      </c>
      <c r="DF120">
        <f t="shared" si="48"/>
        <v>0</v>
      </c>
      <c r="DG120">
        <f t="shared" si="49"/>
        <v>0</v>
      </c>
      <c r="DH120">
        <f t="shared" si="50"/>
        <v>0</v>
      </c>
      <c r="DI120">
        <f t="shared" si="51"/>
        <v>0</v>
      </c>
      <c r="DJ120">
        <f>DI120</f>
        <v>0</v>
      </c>
      <c r="DK120">
        <v>0</v>
      </c>
      <c r="DL120" t="s">
        <v>3</v>
      </c>
      <c r="DM120">
        <v>0</v>
      </c>
      <c r="DN120" t="s">
        <v>3</v>
      </c>
      <c r="DO120">
        <v>0</v>
      </c>
    </row>
    <row r="121" spans="1:119" x14ac:dyDescent="0.2">
      <c r="A121">
        <f>ROW(Source!A141)</f>
        <v>141</v>
      </c>
      <c r="B121">
        <v>78131199</v>
      </c>
      <c r="C121">
        <v>78131108</v>
      </c>
      <c r="D121">
        <v>77809638</v>
      </c>
      <c r="E121">
        <v>1</v>
      </c>
      <c r="F121">
        <v>1</v>
      </c>
      <c r="G121">
        <v>37</v>
      </c>
      <c r="H121">
        <v>3</v>
      </c>
      <c r="I121" t="s">
        <v>336</v>
      </c>
      <c r="J121" t="s">
        <v>337</v>
      </c>
      <c r="K121" t="s">
        <v>338</v>
      </c>
      <c r="L121">
        <v>1354</v>
      </c>
      <c r="N121">
        <v>1010</v>
      </c>
      <c r="O121" t="s">
        <v>29</v>
      </c>
      <c r="P121" t="s">
        <v>29</v>
      </c>
      <c r="Q121">
        <v>1</v>
      </c>
      <c r="W121">
        <v>0</v>
      </c>
      <c r="X121">
        <v>-1337879256</v>
      </c>
      <c r="Y121">
        <f t="shared" si="56"/>
        <v>3</v>
      </c>
      <c r="AA121">
        <v>2.67</v>
      </c>
      <c r="AB121">
        <v>0</v>
      </c>
      <c r="AC121">
        <v>0</v>
      </c>
      <c r="AD121">
        <v>0</v>
      </c>
      <c r="AE121">
        <v>2.67</v>
      </c>
      <c r="AF121">
        <v>0</v>
      </c>
      <c r="AG121">
        <v>0</v>
      </c>
      <c r="AH121">
        <v>0</v>
      </c>
      <c r="AI121">
        <v>1</v>
      </c>
      <c r="AJ121">
        <v>1</v>
      </c>
      <c r="AK121">
        <v>1</v>
      </c>
      <c r="AL121">
        <v>1</v>
      </c>
      <c r="AM121">
        <v>-2</v>
      </c>
      <c r="AN121">
        <v>0</v>
      </c>
      <c r="AO121">
        <v>1</v>
      </c>
      <c r="AP121">
        <v>1</v>
      </c>
      <c r="AQ121">
        <v>0</v>
      </c>
      <c r="AR121">
        <v>0</v>
      </c>
      <c r="AS121" t="s">
        <v>3</v>
      </c>
      <c r="AT121">
        <v>3</v>
      </c>
      <c r="AU121" t="s">
        <v>3</v>
      </c>
      <c r="AV121">
        <v>0</v>
      </c>
      <c r="AW121">
        <v>2</v>
      </c>
      <c r="AX121">
        <v>78131275</v>
      </c>
      <c r="AY121">
        <v>1</v>
      </c>
      <c r="AZ121">
        <v>0</v>
      </c>
      <c r="BA121">
        <v>119</v>
      </c>
      <c r="BB121">
        <v>0</v>
      </c>
      <c r="BC121">
        <v>0</v>
      </c>
      <c r="BD121">
        <v>0</v>
      </c>
      <c r="BE121">
        <v>0</v>
      </c>
      <c r="BF121">
        <v>0</v>
      </c>
      <c r="BG121">
        <v>0</v>
      </c>
      <c r="BH121">
        <v>0</v>
      </c>
      <c r="BI121">
        <v>0</v>
      </c>
      <c r="BJ121">
        <v>0</v>
      </c>
      <c r="BK121">
        <v>0</v>
      </c>
      <c r="BL121">
        <v>0</v>
      </c>
      <c r="BM121">
        <v>0</v>
      </c>
      <c r="BN121">
        <v>0</v>
      </c>
      <c r="BO121">
        <v>0</v>
      </c>
      <c r="BP121">
        <v>0</v>
      </c>
      <c r="BQ121">
        <v>0</v>
      </c>
      <c r="BR121">
        <v>0</v>
      </c>
      <c r="BS121">
        <v>0</v>
      </c>
      <c r="BT121">
        <v>0</v>
      </c>
      <c r="BU121">
        <v>0</v>
      </c>
      <c r="BV121">
        <v>0</v>
      </c>
      <c r="BW121">
        <v>0</v>
      </c>
      <c r="CV121">
        <v>0</v>
      </c>
      <c r="CW121">
        <v>0</v>
      </c>
      <c r="CX121">
        <f>ROUND(Y121*Source!I141,9)</f>
        <v>39.6</v>
      </c>
      <c r="CY121">
        <f t="shared" ref="CY121:CY126" si="59">AA121</f>
        <v>2.67</v>
      </c>
      <c r="CZ121">
        <f t="shared" ref="CZ121:CZ126" si="60">AE121</f>
        <v>2.67</v>
      </c>
      <c r="DA121">
        <f t="shared" ref="DA121:DA126" si="61">AI121</f>
        <v>1</v>
      </c>
      <c r="DB121">
        <f t="shared" si="57"/>
        <v>8.01</v>
      </c>
      <c r="DC121">
        <f t="shared" si="58"/>
        <v>0</v>
      </c>
      <c r="DD121" t="s">
        <v>3</v>
      </c>
      <c r="DE121" t="s">
        <v>3</v>
      </c>
      <c r="DF121">
        <f t="shared" si="48"/>
        <v>105.73</v>
      </c>
      <c r="DG121">
        <f t="shared" si="49"/>
        <v>0</v>
      </c>
      <c r="DH121">
        <f t="shared" si="50"/>
        <v>0</v>
      </c>
      <c r="DI121">
        <f t="shared" si="51"/>
        <v>0</v>
      </c>
      <c r="DJ121">
        <f t="shared" ref="DJ121:DJ126" si="62">DF121</f>
        <v>105.73</v>
      </c>
      <c r="DK121">
        <v>0</v>
      </c>
      <c r="DL121" t="s">
        <v>3</v>
      </c>
      <c r="DM121">
        <v>0</v>
      </c>
      <c r="DN121" t="s">
        <v>3</v>
      </c>
      <c r="DO121">
        <v>0</v>
      </c>
    </row>
    <row r="122" spans="1:119" x14ac:dyDescent="0.2">
      <c r="A122">
        <f>ROW(Source!A141)</f>
        <v>141</v>
      </c>
      <c r="B122">
        <v>78131199</v>
      </c>
      <c r="C122">
        <v>78131108</v>
      </c>
      <c r="D122">
        <v>77809932</v>
      </c>
      <c r="E122">
        <v>1</v>
      </c>
      <c r="F122">
        <v>1</v>
      </c>
      <c r="G122">
        <v>37</v>
      </c>
      <c r="H122">
        <v>3</v>
      </c>
      <c r="I122" t="s">
        <v>236</v>
      </c>
      <c r="J122" t="s">
        <v>238</v>
      </c>
      <c r="K122" t="s">
        <v>237</v>
      </c>
      <c r="L122">
        <v>1301</v>
      </c>
      <c r="N122">
        <v>1003</v>
      </c>
      <c r="O122" t="s">
        <v>33</v>
      </c>
      <c r="P122" t="s">
        <v>33</v>
      </c>
      <c r="Q122">
        <v>1</v>
      </c>
      <c r="W122">
        <v>0</v>
      </c>
      <c r="X122">
        <v>-2099060053</v>
      </c>
      <c r="Y122">
        <f t="shared" si="56"/>
        <v>5.4886363999999999</v>
      </c>
      <c r="AA122">
        <v>220.82</v>
      </c>
      <c r="AB122">
        <v>0</v>
      </c>
      <c r="AC122">
        <v>0</v>
      </c>
      <c r="AD122">
        <v>0</v>
      </c>
      <c r="AE122">
        <v>220.82</v>
      </c>
      <c r="AF122">
        <v>0</v>
      </c>
      <c r="AG122">
        <v>0</v>
      </c>
      <c r="AH122">
        <v>0</v>
      </c>
      <c r="AI122">
        <v>1</v>
      </c>
      <c r="AJ122">
        <v>1</v>
      </c>
      <c r="AK122">
        <v>1</v>
      </c>
      <c r="AL122">
        <v>1</v>
      </c>
      <c r="AM122">
        <v>-2</v>
      </c>
      <c r="AN122">
        <v>0</v>
      </c>
      <c r="AO122">
        <v>0</v>
      </c>
      <c r="AP122">
        <v>1</v>
      </c>
      <c r="AQ122">
        <v>0</v>
      </c>
      <c r="AR122">
        <v>0</v>
      </c>
      <c r="AS122" t="s">
        <v>3</v>
      </c>
      <c r="AT122">
        <v>5.4886363999999999</v>
      </c>
      <c r="AU122" t="s">
        <v>3</v>
      </c>
      <c r="AV122">
        <v>0</v>
      </c>
      <c r="AW122">
        <v>1</v>
      </c>
      <c r="AX122">
        <v>-1</v>
      </c>
      <c r="AY122">
        <v>0</v>
      </c>
      <c r="AZ122">
        <v>0</v>
      </c>
      <c r="BA122" t="s">
        <v>3</v>
      </c>
      <c r="BB122">
        <v>0</v>
      </c>
      <c r="BC122">
        <v>0</v>
      </c>
      <c r="BD122">
        <v>0</v>
      </c>
      <c r="BE122">
        <v>0</v>
      </c>
      <c r="BF122">
        <v>0</v>
      </c>
      <c r="BG122">
        <v>0</v>
      </c>
      <c r="BH122">
        <v>0</v>
      </c>
      <c r="BI122">
        <v>0</v>
      </c>
      <c r="BJ122">
        <v>0</v>
      </c>
      <c r="BK122">
        <v>0</v>
      </c>
      <c r="BL122">
        <v>0</v>
      </c>
      <c r="BM122">
        <v>0</v>
      </c>
      <c r="BN122">
        <v>0</v>
      </c>
      <c r="BO122">
        <v>0</v>
      </c>
      <c r="BP122">
        <v>0</v>
      </c>
      <c r="BQ122">
        <v>0</v>
      </c>
      <c r="BR122">
        <v>0</v>
      </c>
      <c r="BS122">
        <v>0</v>
      </c>
      <c r="BT122">
        <v>0</v>
      </c>
      <c r="BU122">
        <v>0</v>
      </c>
      <c r="BV122">
        <v>0</v>
      </c>
      <c r="BW122">
        <v>0</v>
      </c>
      <c r="CV122">
        <v>0</v>
      </c>
      <c r="CW122">
        <v>0</v>
      </c>
      <c r="CX122">
        <f>ROUND(Y122*Source!I141,9)</f>
        <v>72.45000048</v>
      </c>
      <c r="CY122">
        <f t="shared" si="59"/>
        <v>220.82</v>
      </c>
      <c r="CZ122">
        <f t="shared" si="60"/>
        <v>220.82</v>
      </c>
      <c r="DA122">
        <f t="shared" si="61"/>
        <v>1</v>
      </c>
      <c r="DB122">
        <f t="shared" si="57"/>
        <v>1212</v>
      </c>
      <c r="DC122">
        <f t="shared" si="58"/>
        <v>0</v>
      </c>
      <c r="DD122" t="s">
        <v>3</v>
      </c>
      <c r="DE122" t="s">
        <v>3</v>
      </c>
      <c r="DF122">
        <f t="shared" si="48"/>
        <v>15998.41</v>
      </c>
      <c r="DG122">
        <f t="shared" si="49"/>
        <v>0</v>
      </c>
      <c r="DH122">
        <f t="shared" si="50"/>
        <v>0</v>
      </c>
      <c r="DI122">
        <f t="shared" si="51"/>
        <v>0</v>
      </c>
      <c r="DJ122">
        <f t="shared" si="62"/>
        <v>15998.41</v>
      </c>
      <c r="DK122">
        <v>0</v>
      </c>
      <c r="DL122" t="s">
        <v>3</v>
      </c>
      <c r="DM122">
        <v>0</v>
      </c>
      <c r="DN122" t="s">
        <v>3</v>
      </c>
      <c r="DO122">
        <v>0</v>
      </c>
    </row>
    <row r="123" spans="1:119" x14ac:dyDescent="0.2">
      <c r="A123">
        <f>ROW(Source!A141)</f>
        <v>141</v>
      </c>
      <c r="B123">
        <v>78131199</v>
      </c>
      <c r="C123">
        <v>78131108</v>
      </c>
      <c r="D123">
        <v>77809940</v>
      </c>
      <c r="E123">
        <v>1</v>
      </c>
      <c r="F123">
        <v>1</v>
      </c>
      <c r="G123">
        <v>37</v>
      </c>
      <c r="H123">
        <v>3</v>
      </c>
      <c r="I123" t="s">
        <v>240</v>
      </c>
      <c r="J123" t="s">
        <v>242</v>
      </c>
      <c r="K123" t="s">
        <v>241</v>
      </c>
      <c r="L123">
        <v>1301</v>
      </c>
      <c r="N123">
        <v>1003</v>
      </c>
      <c r="O123" t="s">
        <v>33</v>
      </c>
      <c r="P123" t="s">
        <v>33</v>
      </c>
      <c r="Q123">
        <v>1</v>
      </c>
      <c r="W123">
        <v>0</v>
      </c>
      <c r="X123">
        <v>1666791963</v>
      </c>
      <c r="Y123">
        <f t="shared" si="56"/>
        <v>5.0113636000000001</v>
      </c>
      <c r="AA123">
        <v>112.71</v>
      </c>
      <c r="AB123">
        <v>0</v>
      </c>
      <c r="AC123">
        <v>0</v>
      </c>
      <c r="AD123">
        <v>0</v>
      </c>
      <c r="AE123">
        <v>112.71</v>
      </c>
      <c r="AF123">
        <v>0</v>
      </c>
      <c r="AG123">
        <v>0</v>
      </c>
      <c r="AH123">
        <v>0</v>
      </c>
      <c r="AI123">
        <v>1</v>
      </c>
      <c r="AJ123">
        <v>1</v>
      </c>
      <c r="AK123">
        <v>1</v>
      </c>
      <c r="AL123">
        <v>1</v>
      </c>
      <c r="AM123">
        <v>-2</v>
      </c>
      <c r="AN123">
        <v>0</v>
      </c>
      <c r="AO123">
        <v>0</v>
      </c>
      <c r="AP123">
        <v>1</v>
      </c>
      <c r="AQ123">
        <v>0</v>
      </c>
      <c r="AR123">
        <v>0</v>
      </c>
      <c r="AS123" t="s">
        <v>3</v>
      </c>
      <c r="AT123">
        <v>5.0113636000000001</v>
      </c>
      <c r="AU123" t="s">
        <v>3</v>
      </c>
      <c r="AV123">
        <v>0</v>
      </c>
      <c r="AW123">
        <v>1</v>
      </c>
      <c r="AX123">
        <v>-1</v>
      </c>
      <c r="AY123">
        <v>0</v>
      </c>
      <c r="AZ123">
        <v>0</v>
      </c>
      <c r="BA123" t="s">
        <v>3</v>
      </c>
      <c r="BB123">
        <v>0</v>
      </c>
      <c r="BC123">
        <v>0</v>
      </c>
      <c r="BD123">
        <v>0</v>
      </c>
      <c r="BE123">
        <v>0</v>
      </c>
      <c r="BF123">
        <v>0</v>
      </c>
      <c r="BG123">
        <v>0</v>
      </c>
      <c r="BH123">
        <v>0</v>
      </c>
      <c r="BI123">
        <v>0</v>
      </c>
      <c r="BJ123">
        <v>0</v>
      </c>
      <c r="BK123">
        <v>0</v>
      </c>
      <c r="BL123">
        <v>0</v>
      </c>
      <c r="BM123">
        <v>0</v>
      </c>
      <c r="BN123">
        <v>0</v>
      </c>
      <c r="BO123">
        <v>0</v>
      </c>
      <c r="BP123">
        <v>0</v>
      </c>
      <c r="BQ123">
        <v>0</v>
      </c>
      <c r="BR123">
        <v>0</v>
      </c>
      <c r="BS123">
        <v>0</v>
      </c>
      <c r="BT123">
        <v>0</v>
      </c>
      <c r="BU123">
        <v>0</v>
      </c>
      <c r="BV123">
        <v>0</v>
      </c>
      <c r="BW123">
        <v>0</v>
      </c>
      <c r="CV123">
        <v>0</v>
      </c>
      <c r="CW123">
        <v>0</v>
      </c>
      <c r="CX123">
        <f>ROUND(Y123*Source!I141,9)</f>
        <v>66.149999519999994</v>
      </c>
      <c r="CY123">
        <f t="shared" si="59"/>
        <v>112.71</v>
      </c>
      <c r="CZ123">
        <f t="shared" si="60"/>
        <v>112.71</v>
      </c>
      <c r="DA123">
        <f t="shared" si="61"/>
        <v>1</v>
      </c>
      <c r="DB123">
        <f t="shared" si="57"/>
        <v>564.83000000000004</v>
      </c>
      <c r="DC123">
        <f t="shared" si="58"/>
        <v>0</v>
      </c>
      <c r="DD123" t="s">
        <v>3</v>
      </c>
      <c r="DE123" t="s">
        <v>3</v>
      </c>
      <c r="DF123">
        <f t="shared" si="48"/>
        <v>7455.77</v>
      </c>
      <c r="DG123">
        <f t="shared" si="49"/>
        <v>0</v>
      </c>
      <c r="DH123">
        <f t="shared" si="50"/>
        <v>0</v>
      </c>
      <c r="DI123">
        <f t="shared" si="51"/>
        <v>0</v>
      </c>
      <c r="DJ123">
        <f t="shared" si="62"/>
        <v>7455.77</v>
      </c>
      <c r="DK123">
        <v>0</v>
      </c>
      <c r="DL123" t="s">
        <v>3</v>
      </c>
      <c r="DM123">
        <v>0</v>
      </c>
      <c r="DN123" t="s">
        <v>3</v>
      </c>
      <c r="DO123">
        <v>0</v>
      </c>
    </row>
    <row r="124" spans="1:119" x14ac:dyDescent="0.2">
      <c r="A124">
        <f>ROW(Source!A141)</f>
        <v>141</v>
      </c>
      <c r="B124">
        <v>78131199</v>
      </c>
      <c r="C124">
        <v>78131108</v>
      </c>
      <c r="D124">
        <v>77810906</v>
      </c>
      <c r="E124">
        <v>1</v>
      </c>
      <c r="F124">
        <v>1</v>
      </c>
      <c r="G124">
        <v>37</v>
      </c>
      <c r="H124">
        <v>3</v>
      </c>
      <c r="I124" t="s">
        <v>228</v>
      </c>
      <c r="J124" t="s">
        <v>230</v>
      </c>
      <c r="K124" t="s">
        <v>229</v>
      </c>
      <c r="L124">
        <v>1301</v>
      </c>
      <c r="N124">
        <v>1003</v>
      </c>
      <c r="O124" t="s">
        <v>33</v>
      </c>
      <c r="P124" t="s">
        <v>33</v>
      </c>
      <c r="Q124">
        <v>1</v>
      </c>
      <c r="W124">
        <v>0</v>
      </c>
      <c r="X124">
        <v>952043258</v>
      </c>
      <c r="Y124">
        <f t="shared" si="56"/>
        <v>10.5</v>
      </c>
      <c r="AA124">
        <v>77.56</v>
      </c>
      <c r="AB124">
        <v>0</v>
      </c>
      <c r="AC124">
        <v>0</v>
      </c>
      <c r="AD124">
        <v>0</v>
      </c>
      <c r="AE124">
        <v>77.56</v>
      </c>
      <c r="AF124">
        <v>0</v>
      </c>
      <c r="AG124">
        <v>0</v>
      </c>
      <c r="AH124">
        <v>0</v>
      </c>
      <c r="AI124">
        <v>1</v>
      </c>
      <c r="AJ124">
        <v>1</v>
      </c>
      <c r="AK124">
        <v>1</v>
      </c>
      <c r="AL124">
        <v>1</v>
      </c>
      <c r="AM124">
        <v>-2</v>
      </c>
      <c r="AN124">
        <v>0</v>
      </c>
      <c r="AO124">
        <v>0</v>
      </c>
      <c r="AP124">
        <v>1</v>
      </c>
      <c r="AQ124">
        <v>0</v>
      </c>
      <c r="AR124">
        <v>0</v>
      </c>
      <c r="AS124" t="s">
        <v>3</v>
      </c>
      <c r="AT124">
        <v>10.5</v>
      </c>
      <c r="AU124" t="s">
        <v>3</v>
      </c>
      <c r="AV124">
        <v>0</v>
      </c>
      <c r="AW124">
        <v>1</v>
      </c>
      <c r="AX124">
        <v>-1</v>
      </c>
      <c r="AY124">
        <v>0</v>
      </c>
      <c r="AZ124">
        <v>0</v>
      </c>
      <c r="BA124" t="s">
        <v>3</v>
      </c>
      <c r="BB124">
        <v>0</v>
      </c>
      <c r="BC124">
        <v>0</v>
      </c>
      <c r="BD124">
        <v>0</v>
      </c>
      <c r="BE124">
        <v>0</v>
      </c>
      <c r="BF124">
        <v>0</v>
      </c>
      <c r="BG124">
        <v>0</v>
      </c>
      <c r="BH124">
        <v>0</v>
      </c>
      <c r="BI124">
        <v>0</v>
      </c>
      <c r="BJ124">
        <v>0</v>
      </c>
      <c r="BK124">
        <v>0</v>
      </c>
      <c r="BL124">
        <v>0</v>
      </c>
      <c r="BM124">
        <v>0</v>
      </c>
      <c r="BN124">
        <v>0</v>
      </c>
      <c r="BO124">
        <v>0</v>
      </c>
      <c r="BP124">
        <v>0</v>
      </c>
      <c r="BQ124">
        <v>0</v>
      </c>
      <c r="BR124">
        <v>0</v>
      </c>
      <c r="BS124">
        <v>0</v>
      </c>
      <c r="BT124">
        <v>0</v>
      </c>
      <c r="BU124">
        <v>0</v>
      </c>
      <c r="BV124">
        <v>0</v>
      </c>
      <c r="BW124">
        <v>0</v>
      </c>
      <c r="CV124">
        <v>0</v>
      </c>
      <c r="CW124">
        <v>0</v>
      </c>
      <c r="CX124">
        <f>ROUND(Y124*Source!I141,9)</f>
        <v>138.6</v>
      </c>
      <c r="CY124">
        <f t="shared" si="59"/>
        <v>77.56</v>
      </c>
      <c r="CZ124">
        <f t="shared" si="60"/>
        <v>77.56</v>
      </c>
      <c r="DA124">
        <f t="shared" si="61"/>
        <v>1</v>
      </c>
      <c r="DB124">
        <f t="shared" si="57"/>
        <v>814.38</v>
      </c>
      <c r="DC124">
        <f t="shared" si="58"/>
        <v>0</v>
      </c>
      <c r="DD124" t="s">
        <v>3</v>
      </c>
      <c r="DE124" t="s">
        <v>3</v>
      </c>
      <c r="DF124">
        <f t="shared" si="48"/>
        <v>10749.82</v>
      </c>
      <c r="DG124">
        <f t="shared" si="49"/>
        <v>0</v>
      </c>
      <c r="DH124">
        <f t="shared" si="50"/>
        <v>0</v>
      </c>
      <c r="DI124">
        <f t="shared" si="51"/>
        <v>0</v>
      </c>
      <c r="DJ124">
        <f t="shared" si="62"/>
        <v>10749.82</v>
      </c>
      <c r="DK124">
        <v>0</v>
      </c>
      <c r="DL124" t="s">
        <v>3</v>
      </c>
      <c r="DM124">
        <v>0</v>
      </c>
      <c r="DN124" t="s">
        <v>3</v>
      </c>
      <c r="DO124">
        <v>0</v>
      </c>
    </row>
    <row r="125" spans="1:119" x14ac:dyDescent="0.2">
      <c r="A125">
        <f>ROW(Source!A141)</f>
        <v>141</v>
      </c>
      <c r="B125">
        <v>78131199</v>
      </c>
      <c r="C125">
        <v>78131108</v>
      </c>
      <c r="D125">
        <v>77806843</v>
      </c>
      <c r="E125">
        <v>37</v>
      </c>
      <c r="F125">
        <v>1</v>
      </c>
      <c r="G125">
        <v>37</v>
      </c>
      <c r="H125">
        <v>3</v>
      </c>
      <c r="I125" t="s">
        <v>232</v>
      </c>
      <c r="J125" t="s">
        <v>3</v>
      </c>
      <c r="K125" t="s">
        <v>233</v>
      </c>
      <c r="L125">
        <v>1327</v>
      </c>
      <c r="N125">
        <v>1005</v>
      </c>
      <c r="O125" t="s">
        <v>234</v>
      </c>
      <c r="P125" t="s">
        <v>234</v>
      </c>
      <c r="Q125">
        <v>1</v>
      </c>
      <c r="W125">
        <v>0</v>
      </c>
      <c r="X125">
        <v>2071043993</v>
      </c>
      <c r="Y125">
        <f t="shared" si="56"/>
        <v>0.25</v>
      </c>
      <c r="AA125">
        <v>0</v>
      </c>
      <c r="AB125">
        <v>0</v>
      </c>
      <c r="AC125">
        <v>0</v>
      </c>
      <c r="AD125">
        <v>0</v>
      </c>
      <c r="AE125">
        <v>0</v>
      </c>
      <c r="AF125">
        <v>0</v>
      </c>
      <c r="AG125">
        <v>0</v>
      </c>
      <c r="AH125">
        <v>0</v>
      </c>
      <c r="AI125">
        <v>1</v>
      </c>
      <c r="AJ125">
        <v>1</v>
      </c>
      <c r="AK125">
        <v>1</v>
      </c>
      <c r="AL125">
        <v>1</v>
      </c>
      <c r="AM125">
        <v>-2</v>
      </c>
      <c r="AN125">
        <v>0</v>
      </c>
      <c r="AO125">
        <v>0</v>
      </c>
      <c r="AP125">
        <v>1</v>
      </c>
      <c r="AQ125">
        <v>0</v>
      </c>
      <c r="AR125">
        <v>0</v>
      </c>
      <c r="AS125" t="s">
        <v>3</v>
      </c>
      <c r="AT125">
        <v>0.25</v>
      </c>
      <c r="AU125" t="s">
        <v>3</v>
      </c>
      <c r="AV125">
        <v>0</v>
      </c>
      <c r="AW125">
        <v>2</v>
      </c>
      <c r="AX125">
        <v>78131277</v>
      </c>
      <c r="AY125">
        <v>1</v>
      </c>
      <c r="AZ125">
        <v>0</v>
      </c>
      <c r="BA125">
        <v>121</v>
      </c>
      <c r="BB125">
        <v>0</v>
      </c>
      <c r="BC125">
        <v>0</v>
      </c>
      <c r="BD125">
        <v>0</v>
      </c>
      <c r="BE125">
        <v>0</v>
      </c>
      <c r="BF125">
        <v>0</v>
      </c>
      <c r="BG125">
        <v>0</v>
      </c>
      <c r="BH125">
        <v>0</v>
      </c>
      <c r="BI125">
        <v>0</v>
      </c>
      <c r="BJ125">
        <v>0</v>
      </c>
      <c r="BK125">
        <v>0</v>
      </c>
      <c r="BL125">
        <v>0</v>
      </c>
      <c r="BM125">
        <v>0</v>
      </c>
      <c r="BN125">
        <v>0</v>
      </c>
      <c r="BO125">
        <v>0</v>
      </c>
      <c r="BP125">
        <v>0</v>
      </c>
      <c r="BQ125">
        <v>0</v>
      </c>
      <c r="BR125">
        <v>0</v>
      </c>
      <c r="BS125">
        <v>0</v>
      </c>
      <c r="BT125">
        <v>0</v>
      </c>
      <c r="BU125">
        <v>0</v>
      </c>
      <c r="BV125">
        <v>0</v>
      </c>
      <c r="BW125">
        <v>0</v>
      </c>
      <c r="CV125">
        <v>0</v>
      </c>
      <c r="CW125">
        <v>0</v>
      </c>
      <c r="CX125">
        <f>ROUND(Y125*Source!I141,9)</f>
        <v>3.3</v>
      </c>
      <c r="CY125">
        <f t="shared" si="59"/>
        <v>0</v>
      </c>
      <c r="CZ125">
        <f t="shared" si="60"/>
        <v>0</v>
      </c>
      <c r="DA125">
        <f t="shared" si="61"/>
        <v>1</v>
      </c>
      <c r="DB125">
        <f t="shared" si="57"/>
        <v>0</v>
      </c>
      <c r="DC125">
        <f t="shared" si="58"/>
        <v>0</v>
      </c>
      <c r="DD125" t="s">
        <v>3</v>
      </c>
      <c r="DE125" t="s">
        <v>3</v>
      </c>
      <c r="DF125">
        <f t="shared" si="48"/>
        <v>0</v>
      </c>
      <c r="DG125">
        <f t="shared" si="49"/>
        <v>0</v>
      </c>
      <c r="DH125">
        <f t="shared" si="50"/>
        <v>0</v>
      </c>
      <c r="DI125">
        <f t="shared" si="51"/>
        <v>0</v>
      </c>
      <c r="DJ125">
        <f t="shared" si="62"/>
        <v>0</v>
      </c>
      <c r="DK125">
        <v>0</v>
      </c>
      <c r="DL125" t="s">
        <v>3</v>
      </c>
      <c r="DM125">
        <v>0</v>
      </c>
      <c r="DN125" t="s">
        <v>3</v>
      </c>
      <c r="DO125">
        <v>0</v>
      </c>
    </row>
    <row r="126" spans="1:119" x14ac:dyDescent="0.2">
      <c r="A126">
        <f>ROW(Source!A141)</f>
        <v>141</v>
      </c>
      <c r="B126">
        <v>78131199</v>
      </c>
      <c r="C126">
        <v>78131108</v>
      </c>
      <c r="D126">
        <v>77806842</v>
      </c>
      <c r="E126">
        <v>37</v>
      </c>
      <c r="F126">
        <v>1</v>
      </c>
      <c r="G126">
        <v>37</v>
      </c>
      <c r="H126">
        <v>3</v>
      </c>
      <c r="I126" t="s">
        <v>244</v>
      </c>
      <c r="J126" t="s">
        <v>3</v>
      </c>
      <c r="K126" t="s">
        <v>245</v>
      </c>
      <c r="L126">
        <v>1296</v>
      </c>
      <c r="N126">
        <v>1002</v>
      </c>
      <c r="O126" t="s">
        <v>246</v>
      </c>
      <c r="P126" t="s">
        <v>246</v>
      </c>
      <c r="Q126">
        <v>1</v>
      </c>
      <c r="W126">
        <v>0</v>
      </c>
      <c r="X126">
        <v>708018180</v>
      </c>
      <c r="Y126">
        <f t="shared" si="56"/>
        <v>0</v>
      </c>
      <c r="AA126">
        <v>0</v>
      </c>
      <c r="AB126">
        <v>0</v>
      </c>
      <c r="AC126">
        <v>0</v>
      </c>
      <c r="AD126">
        <v>0</v>
      </c>
      <c r="AE126">
        <v>0</v>
      </c>
      <c r="AF126">
        <v>0</v>
      </c>
      <c r="AG126">
        <v>0</v>
      </c>
      <c r="AH126">
        <v>0</v>
      </c>
      <c r="AI126">
        <v>1</v>
      </c>
      <c r="AJ126">
        <v>1</v>
      </c>
      <c r="AK126">
        <v>1</v>
      </c>
      <c r="AL126">
        <v>1</v>
      </c>
      <c r="AM126">
        <v>-2</v>
      </c>
      <c r="AN126">
        <v>0</v>
      </c>
      <c r="AO126">
        <v>0</v>
      </c>
      <c r="AP126">
        <v>1</v>
      </c>
      <c r="AQ126">
        <v>0</v>
      </c>
      <c r="AR126">
        <v>0</v>
      </c>
      <c r="AS126" t="s">
        <v>3</v>
      </c>
      <c r="AT126">
        <v>0</v>
      </c>
      <c r="AU126" t="s">
        <v>3</v>
      </c>
      <c r="AV126">
        <v>0</v>
      </c>
      <c r="AW126">
        <v>2</v>
      </c>
      <c r="AX126">
        <v>78131279</v>
      </c>
      <c r="AY126">
        <v>1</v>
      </c>
      <c r="AZ126">
        <v>0</v>
      </c>
      <c r="BA126">
        <v>123</v>
      </c>
      <c r="BB126">
        <v>0</v>
      </c>
      <c r="BC126">
        <v>0</v>
      </c>
      <c r="BD126">
        <v>0</v>
      </c>
      <c r="BE126">
        <v>0</v>
      </c>
      <c r="BF126">
        <v>0</v>
      </c>
      <c r="BG126">
        <v>0</v>
      </c>
      <c r="BH126">
        <v>0</v>
      </c>
      <c r="BI126">
        <v>0</v>
      </c>
      <c r="BJ126">
        <v>0</v>
      </c>
      <c r="BK126">
        <v>0</v>
      </c>
      <c r="BL126">
        <v>0</v>
      </c>
      <c r="BM126">
        <v>0</v>
      </c>
      <c r="BN126">
        <v>0</v>
      </c>
      <c r="BO126">
        <v>0</v>
      </c>
      <c r="BP126">
        <v>0</v>
      </c>
      <c r="BQ126">
        <v>0</v>
      </c>
      <c r="BR126">
        <v>0</v>
      </c>
      <c r="BS126">
        <v>0</v>
      </c>
      <c r="BT126">
        <v>0</v>
      </c>
      <c r="BU126">
        <v>0</v>
      </c>
      <c r="BV126">
        <v>0</v>
      </c>
      <c r="BW126">
        <v>0</v>
      </c>
      <c r="CV126">
        <v>0</v>
      </c>
      <c r="CW126">
        <v>0</v>
      </c>
      <c r="CX126">
        <f>ROUND(Y126*Source!I141,9)</f>
        <v>0</v>
      </c>
      <c r="CY126">
        <f t="shared" si="59"/>
        <v>0</v>
      </c>
      <c r="CZ126">
        <f t="shared" si="60"/>
        <v>0</v>
      </c>
      <c r="DA126">
        <f t="shared" si="61"/>
        <v>1</v>
      </c>
      <c r="DB126">
        <f t="shared" si="57"/>
        <v>0</v>
      </c>
      <c r="DC126">
        <f t="shared" si="58"/>
        <v>0</v>
      </c>
      <c r="DD126" t="s">
        <v>3</v>
      </c>
      <c r="DE126" t="s">
        <v>3</v>
      </c>
      <c r="DF126">
        <f t="shared" si="48"/>
        <v>0</v>
      </c>
      <c r="DG126">
        <f t="shared" si="49"/>
        <v>0</v>
      </c>
      <c r="DH126">
        <f t="shared" si="50"/>
        <v>0</v>
      </c>
      <c r="DI126">
        <f t="shared" si="51"/>
        <v>0</v>
      </c>
      <c r="DJ126">
        <f t="shared" si="62"/>
        <v>0</v>
      </c>
      <c r="DK126">
        <v>0</v>
      </c>
      <c r="DL126" t="s">
        <v>3</v>
      </c>
      <c r="DM126">
        <v>0</v>
      </c>
      <c r="DN126" t="s">
        <v>3</v>
      </c>
      <c r="DO126">
        <v>0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123"/>
  <sheetViews>
    <sheetView workbookViewId="0"/>
  </sheetViews>
  <sheetFormatPr defaultColWidth="9.140625" defaultRowHeight="12.75" x14ac:dyDescent="0.2"/>
  <cols>
    <col min="1" max="256" width="9.140625" customWidth="1"/>
  </cols>
  <sheetData>
    <row r="1" spans="1:44" x14ac:dyDescent="0.2">
      <c r="A1">
        <f>ROW(Source!A32)</f>
        <v>32</v>
      </c>
      <c r="B1">
        <v>78131211</v>
      </c>
      <c r="C1">
        <v>78130770</v>
      </c>
      <c r="D1">
        <v>77806460</v>
      </c>
      <c r="E1">
        <v>37</v>
      </c>
      <c r="F1">
        <v>1</v>
      </c>
      <c r="G1">
        <v>37</v>
      </c>
      <c r="H1">
        <v>1</v>
      </c>
      <c r="I1" t="s">
        <v>254</v>
      </c>
      <c r="J1" t="s">
        <v>3</v>
      </c>
      <c r="K1" t="s">
        <v>255</v>
      </c>
      <c r="L1">
        <v>1191</v>
      </c>
      <c r="N1">
        <v>1013</v>
      </c>
      <c r="O1" t="s">
        <v>256</v>
      </c>
      <c r="P1" t="s">
        <v>256</v>
      </c>
      <c r="Q1">
        <v>1</v>
      </c>
      <c r="X1">
        <v>188.6</v>
      </c>
      <c r="Y1">
        <v>0</v>
      </c>
      <c r="Z1">
        <v>0</v>
      </c>
      <c r="AA1">
        <v>0</v>
      </c>
      <c r="AB1">
        <v>0</v>
      </c>
      <c r="AC1">
        <v>0</v>
      </c>
      <c r="AD1">
        <v>1</v>
      </c>
      <c r="AE1">
        <v>1</v>
      </c>
      <c r="AF1" t="s">
        <v>22</v>
      </c>
      <c r="AG1">
        <v>37.72</v>
      </c>
      <c r="AH1">
        <v>2</v>
      </c>
      <c r="AI1">
        <v>78130771</v>
      </c>
      <c r="AJ1">
        <v>1</v>
      </c>
      <c r="AK1">
        <v>0</v>
      </c>
      <c r="AL1">
        <v>0</v>
      </c>
      <c r="AM1">
        <v>0</v>
      </c>
      <c r="AN1">
        <v>0</v>
      </c>
      <c r="AO1">
        <v>0</v>
      </c>
      <c r="AP1">
        <v>0</v>
      </c>
      <c r="AQ1">
        <v>0</v>
      </c>
      <c r="AR1">
        <v>0</v>
      </c>
    </row>
    <row r="2" spans="1:44" x14ac:dyDescent="0.2">
      <c r="A2">
        <f>ROW(Source!A32)</f>
        <v>32</v>
      </c>
      <c r="B2">
        <v>78131212</v>
      </c>
      <c r="C2">
        <v>78130770</v>
      </c>
      <c r="D2">
        <v>77807924</v>
      </c>
      <c r="E2">
        <v>1</v>
      </c>
      <c r="F2">
        <v>1</v>
      </c>
      <c r="G2">
        <v>37</v>
      </c>
      <c r="H2">
        <v>2</v>
      </c>
      <c r="I2" t="s">
        <v>257</v>
      </c>
      <c r="J2" t="s">
        <v>258</v>
      </c>
      <c r="K2" t="s">
        <v>259</v>
      </c>
      <c r="L2">
        <v>1368</v>
      </c>
      <c r="N2">
        <v>1011</v>
      </c>
      <c r="O2" t="s">
        <v>260</v>
      </c>
      <c r="P2" t="s">
        <v>260</v>
      </c>
      <c r="Q2">
        <v>1</v>
      </c>
      <c r="X2">
        <v>14.29</v>
      </c>
      <c r="Y2">
        <v>0</v>
      </c>
      <c r="Z2">
        <v>1369.82</v>
      </c>
      <c r="AA2">
        <v>1183.81</v>
      </c>
      <c r="AB2">
        <v>0</v>
      </c>
      <c r="AC2">
        <v>0</v>
      </c>
      <c r="AD2">
        <v>1</v>
      </c>
      <c r="AE2">
        <v>0</v>
      </c>
      <c r="AF2" t="s">
        <v>22</v>
      </c>
      <c r="AG2">
        <v>2.8580000000000001</v>
      </c>
      <c r="AH2">
        <v>2</v>
      </c>
      <c r="AI2">
        <v>78130772</v>
      </c>
      <c r="AJ2">
        <v>2</v>
      </c>
      <c r="AK2">
        <v>0</v>
      </c>
      <c r="AL2">
        <v>0</v>
      </c>
      <c r="AM2">
        <v>0</v>
      </c>
      <c r="AN2">
        <v>0</v>
      </c>
      <c r="AO2">
        <v>0</v>
      </c>
      <c r="AP2">
        <v>0</v>
      </c>
      <c r="AQ2">
        <v>0</v>
      </c>
      <c r="AR2">
        <v>0</v>
      </c>
    </row>
    <row r="3" spans="1:44" x14ac:dyDescent="0.2">
      <c r="A3">
        <f>ROW(Source!A32)</f>
        <v>32</v>
      </c>
      <c r="B3">
        <v>78131213</v>
      </c>
      <c r="C3">
        <v>78130770</v>
      </c>
      <c r="D3">
        <v>77806721</v>
      </c>
      <c r="E3">
        <v>37</v>
      </c>
      <c r="F3">
        <v>1</v>
      </c>
      <c r="G3">
        <v>37</v>
      </c>
      <c r="H3">
        <v>3</v>
      </c>
      <c r="I3" t="s">
        <v>27</v>
      </c>
      <c r="J3" t="s">
        <v>3</v>
      </c>
      <c r="K3" t="s">
        <v>28</v>
      </c>
      <c r="L3">
        <v>1354</v>
      </c>
      <c r="N3">
        <v>1010</v>
      </c>
      <c r="O3" t="s">
        <v>29</v>
      </c>
      <c r="P3" t="s">
        <v>29</v>
      </c>
      <c r="Q3">
        <v>1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D3">
        <v>0</v>
      </c>
      <c r="AE3">
        <v>0</v>
      </c>
      <c r="AF3" t="s">
        <v>21</v>
      </c>
      <c r="AG3">
        <v>0</v>
      </c>
      <c r="AH3">
        <v>2</v>
      </c>
      <c r="AI3">
        <v>78130794</v>
      </c>
      <c r="AJ3">
        <v>3</v>
      </c>
      <c r="AK3">
        <v>0</v>
      </c>
      <c r="AL3">
        <v>0</v>
      </c>
      <c r="AM3">
        <v>0</v>
      </c>
      <c r="AN3">
        <v>0</v>
      </c>
      <c r="AO3">
        <v>0</v>
      </c>
      <c r="AP3">
        <v>0</v>
      </c>
      <c r="AQ3">
        <v>0</v>
      </c>
      <c r="AR3">
        <v>0</v>
      </c>
    </row>
    <row r="4" spans="1:44" x14ac:dyDescent="0.2">
      <c r="A4">
        <f>ROW(Source!A32)</f>
        <v>32</v>
      </c>
      <c r="B4">
        <v>78131214</v>
      </c>
      <c r="C4">
        <v>78130770</v>
      </c>
      <c r="D4">
        <v>77809632</v>
      </c>
      <c r="E4">
        <v>1</v>
      </c>
      <c r="F4">
        <v>1</v>
      </c>
      <c r="G4">
        <v>37</v>
      </c>
      <c r="H4">
        <v>3</v>
      </c>
      <c r="I4" t="s">
        <v>261</v>
      </c>
      <c r="J4" t="s">
        <v>262</v>
      </c>
      <c r="K4" t="s">
        <v>263</v>
      </c>
      <c r="L4">
        <v>1346</v>
      </c>
      <c r="N4">
        <v>1009</v>
      </c>
      <c r="O4" t="s">
        <v>264</v>
      </c>
      <c r="P4" t="s">
        <v>264</v>
      </c>
      <c r="Q4">
        <v>1</v>
      </c>
      <c r="X4">
        <v>0.55000000000000004</v>
      </c>
      <c r="Y4">
        <v>261.27999999999997</v>
      </c>
      <c r="Z4">
        <v>0</v>
      </c>
      <c r="AA4">
        <v>0</v>
      </c>
      <c r="AB4">
        <v>0</v>
      </c>
      <c r="AC4">
        <v>0</v>
      </c>
      <c r="AD4">
        <v>1</v>
      </c>
      <c r="AE4">
        <v>0</v>
      </c>
      <c r="AF4" t="s">
        <v>21</v>
      </c>
      <c r="AG4">
        <v>0</v>
      </c>
      <c r="AH4">
        <v>2</v>
      </c>
      <c r="AI4">
        <v>78130773</v>
      </c>
      <c r="AJ4">
        <v>4</v>
      </c>
      <c r="AK4">
        <v>0</v>
      </c>
      <c r="AL4">
        <v>0</v>
      </c>
      <c r="AM4">
        <v>0</v>
      </c>
      <c r="AN4">
        <v>0</v>
      </c>
      <c r="AO4">
        <v>0</v>
      </c>
      <c r="AP4">
        <v>0</v>
      </c>
      <c r="AQ4">
        <v>0</v>
      </c>
      <c r="AR4">
        <v>0</v>
      </c>
    </row>
    <row r="5" spans="1:44" x14ac:dyDescent="0.2">
      <c r="A5">
        <f>ROW(Source!A32)</f>
        <v>32</v>
      </c>
      <c r="B5">
        <v>78131215</v>
      </c>
      <c r="C5">
        <v>78130770</v>
      </c>
      <c r="D5">
        <v>77809555</v>
      </c>
      <c r="E5">
        <v>1</v>
      </c>
      <c r="F5">
        <v>1</v>
      </c>
      <c r="G5">
        <v>37</v>
      </c>
      <c r="H5">
        <v>3</v>
      </c>
      <c r="I5" t="s">
        <v>265</v>
      </c>
      <c r="J5" t="s">
        <v>266</v>
      </c>
      <c r="K5" t="s">
        <v>267</v>
      </c>
      <c r="L5">
        <v>1348</v>
      </c>
      <c r="N5">
        <v>1009</v>
      </c>
      <c r="O5" t="s">
        <v>200</v>
      </c>
      <c r="P5" t="s">
        <v>200</v>
      </c>
      <c r="Q5">
        <v>1000</v>
      </c>
      <c r="X5">
        <v>8.4999999999999995E-4</v>
      </c>
      <c r="Y5">
        <v>233970.16</v>
      </c>
      <c r="Z5">
        <v>0</v>
      </c>
      <c r="AA5">
        <v>0</v>
      </c>
      <c r="AB5">
        <v>0</v>
      </c>
      <c r="AC5">
        <v>0</v>
      </c>
      <c r="AD5">
        <v>1</v>
      </c>
      <c r="AE5">
        <v>0</v>
      </c>
      <c r="AF5" t="s">
        <v>21</v>
      </c>
      <c r="AG5">
        <v>0</v>
      </c>
      <c r="AH5">
        <v>2</v>
      </c>
      <c r="AI5">
        <v>78130774</v>
      </c>
      <c r="AJ5">
        <v>5</v>
      </c>
      <c r="AK5">
        <v>0</v>
      </c>
      <c r="AL5">
        <v>0</v>
      </c>
      <c r="AM5">
        <v>0</v>
      </c>
      <c r="AN5">
        <v>0</v>
      </c>
      <c r="AO5">
        <v>0</v>
      </c>
      <c r="AP5">
        <v>0</v>
      </c>
      <c r="AQ5">
        <v>0</v>
      </c>
      <c r="AR5">
        <v>0</v>
      </c>
    </row>
    <row r="6" spans="1:44" x14ac:dyDescent="0.2">
      <c r="A6">
        <f>ROW(Source!A32)</f>
        <v>32</v>
      </c>
      <c r="B6">
        <v>78131216</v>
      </c>
      <c r="C6">
        <v>78130770</v>
      </c>
      <c r="D6">
        <v>77809584</v>
      </c>
      <c r="E6">
        <v>1</v>
      </c>
      <c r="F6">
        <v>1</v>
      </c>
      <c r="G6">
        <v>37</v>
      </c>
      <c r="H6">
        <v>3</v>
      </c>
      <c r="I6" t="s">
        <v>268</v>
      </c>
      <c r="J6" t="s">
        <v>269</v>
      </c>
      <c r="K6" t="s">
        <v>270</v>
      </c>
      <c r="L6">
        <v>1355</v>
      </c>
      <c r="N6">
        <v>1010</v>
      </c>
      <c r="O6" t="s">
        <v>271</v>
      </c>
      <c r="P6" t="s">
        <v>271</v>
      </c>
      <c r="Q6">
        <v>100</v>
      </c>
      <c r="X6">
        <v>1</v>
      </c>
      <c r="Y6">
        <v>1151.6600000000001</v>
      </c>
      <c r="Z6">
        <v>0</v>
      </c>
      <c r="AA6">
        <v>0</v>
      </c>
      <c r="AB6">
        <v>0</v>
      </c>
      <c r="AC6">
        <v>0</v>
      </c>
      <c r="AD6">
        <v>1</v>
      </c>
      <c r="AE6">
        <v>0</v>
      </c>
      <c r="AF6" t="s">
        <v>21</v>
      </c>
      <c r="AG6">
        <v>0</v>
      </c>
      <c r="AH6">
        <v>2</v>
      </c>
      <c r="AI6">
        <v>78130775</v>
      </c>
      <c r="AJ6">
        <v>6</v>
      </c>
      <c r="AK6">
        <v>0</v>
      </c>
      <c r="AL6">
        <v>0</v>
      </c>
      <c r="AM6">
        <v>0</v>
      </c>
      <c r="AN6">
        <v>0</v>
      </c>
      <c r="AO6">
        <v>0</v>
      </c>
      <c r="AP6">
        <v>0</v>
      </c>
      <c r="AQ6">
        <v>0</v>
      </c>
      <c r="AR6">
        <v>0</v>
      </c>
    </row>
    <row r="7" spans="1:44" x14ac:dyDescent="0.2">
      <c r="A7">
        <f>ROW(Source!A32)</f>
        <v>32</v>
      </c>
      <c r="B7">
        <v>78131217</v>
      </c>
      <c r="C7">
        <v>78130770</v>
      </c>
      <c r="D7">
        <v>77810270</v>
      </c>
      <c r="E7">
        <v>1</v>
      </c>
      <c r="F7">
        <v>1</v>
      </c>
      <c r="G7">
        <v>37</v>
      </c>
      <c r="H7">
        <v>3</v>
      </c>
      <c r="I7" t="s">
        <v>272</v>
      </c>
      <c r="J7" t="s">
        <v>273</v>
      </c>
      <c r="K7" t="s">
        <v>274</v>
      </c>
      <c r="L7">
        <v>1346</v>
      </c>
      <c r="N7">
        <v>1009</v>
      </c>
      <c r="O7" t="s">
        <v>264</v>
      </c>
      <c r="P7" t="s">
        <v>264</v>
      </c>
      <c r="Q7">
        <v>1</v>
      </c>
      <c r="X7">
        <v>0.25</v>
      </c>
      <c r="Y7">
        <v>97.56</v>
      </c>
      <c r="Z7">
        <v>0</v>
      </c>
      <c r="AA7">
        <v>0</v>
      </c>
      <c r="AB7">
        <v>0</v>
      </c>
      <c r="AC7">
        <v>0</v>
      </c>
      <c r="AD7">
        <v>1</v>
      </c>
      <c r="AE7">
        <v>0</v>
      </c>
      <c r="AF7" t="s">
        <v>21</v>
      </c>
      <c r="AG7">
        <v>0</v>
      </c>
      <c r="AH7">
        <v>2</v>
      </c>
      <c r="AI7">
        <v>78130776</v>
      </c>
      <c r="AJ7">
        <v>7</v>
      </c>
      <c r="AK7">
        <v>0</v>
      </c>
      <c r="AL7">
        <v>0</v>
      </c>
      <c r="AM7">
        <v>0</v>
      </c>
      <c r="AN7">
        <v>0</v>
      </c>
      <c r="AO7">
        <v>0</v>
      </c>
      <c r="AP7">
        <v>0</v>
      </c>
      <c r="AQ7">
        <v>0</v>
      </c>
      <c r="AR7">
        <v>0</v>
      </c>
    </row>
    <row r="8" spans="1:44" x14ac:dyDescent="0.2">
      <c r="A8">
        <f>ROW(Source!A32)</f>
        <v>32</v>
      </c>
      <c r="B8">
        <v>78131220</v>
      </c>
      <c r="C8">
        <v>78130770</v>
      </c>
      <c r="D8">
        <v>77806705</v>
      </c>
      <c r="E8">
        <v>37</v>
      </c>
      <c r="F8">
        <v>1</v>
      </c>
      <c r="G8">
        <v>37</v>
      </c>
      <c r="H8">
        <v>3</v>
      </c>
      <c r="I8" t="s">
        <v>275</v>
      </c>
      <c r="J8" t="s">
        <v>3</v>
      </c>
      <c r="K8" t="s">
        <v>277</v>
      </c>
      <c r="L8">
        <v>1346</v>
      </c>
      <c r="N8">
        <v>1009</v>
      </c>
      <c r="O8" t="s">
        <v>264</v>
      </c>
      <c r="P8" t="s">
        <v>264</v>
      </c>
      <c r="Q8">
        <v>1</v>
      </c>
      <c r="X8">
        <v>1.6000000000000001E-3</v>
      </c>
      <c r="Y8">
        <v>67.221419999999995</v>
      </c>
      <c r="Z8">
        <v>0</v>
      </c>
      <c r="AA8">
        <v>0</v>
      </c>
      <c r="AB8">
        <v>0</v>
      </c>
      <c r="AC8">
        <v>0</v>
      </c>
      <c r="AD8">
        <v>1</v>
      </c>
      <c r="AE8">
        <v>0</v>
      </c>
      <c r="AF8" t="s">
        <v>21</v>
      </c>
      <c r="AG8">
        <v>0</v>
      </c>
      <c r="AH8">
        <v>2</v>
      </c>
      <c r="AI8">
        <v>78130779</v>
      </c>
      <c r="AJ8">
        <v>8</v>
      </c>
      <c r="AK8">
        <v>0</v>
      </c>
      <c r="AL8">
        <v>0</v>
      </c>
      <c r="AM8">
        <v>0</v>
      </c>
      <c r="AN8">
        <v>0</v>
      </c>
      <c r="AO8">
        <v>0</v>
      </c>
      <c r="AP8">
        <v>0</v>
      </c>
      <c r="AQ8">
        <v>0</v>
      </c>
      <c r="AR8">
        <v>0</v>
      </c>
    </row>
    <row r="9" spans="1:44" x14ac:dyDescent="0.2">
      <c r="A9">
        <f>ROW(Source!A32)</f>
        <v>32</v>
      </c>
      <c r="B9">
        <v>78131218</v>
      </c>
      <c r="C9">
        <v>78130770</v>
      </c>
      <c r="D9">
        <v>77810520</v>
      </c>
      <c r="E9">
        <v>1</v>
      </c>
      <c r="F9">
        <v>1</v>
      </c>
      <c r="G9">
        <v>37</v>
      </c>
      <c r="H9">
        <v>3</v>
      </c>
      <c r="I9" t="s">
        <v>278</v>
      </c>
      <c r="J9" t="s">
        <v>279</v>
      </c>
      <c r="K9" t="s">
        <v>280</v>
      </c>
      <c r="L9">
        <v>1339</v>
      </c>
      <c r="N9">
        <v>1007</v>
      </c>
      <c r="O9" t="s">
        <v>281</v>
      </c>
      <c r="P9" t="s">
        <v>281</v>
      </c>
      <c r="Q9">
        <v>1</v>
      </c>
      <c r="X9">
        <v>0.47</v>
      </c>
      <c r="Y9">
        <v>49.83</v>
      </c>
      <c r="Z9">
        <v>0</v>
      </c>
      <c r="AA9">
        <v>0</v>
      </c>
      <c r="AB9">
        <v>0</v>
      </c>
      <c r="AC9">
        <v>0</v>
      </c>
      <c r="AD9">
        <v>1</v>
      </c>
      <c r="AE9">
        <v>0</v>
      </c>
      <c r="AF9" t="s">
        <v>21</v>
      </c>
      <c r="AG9">
        <v>0</v>
      </c>
      <c r="AH9">
        <v>2</v>
      </c>
      <c r="AI9">
        <v>78130777</v>
      </c>
      <c r="AJ9">
        <v>9</v>
      </c>
      <c r="AK9">
        <v>0</v>
      </c>
      <c r="AL9">
        <v>0</v>
      </c>
      <c r="AM9">
        <v>0</v>
      </c>
      <c r="AN9">
        <v>0</v>
      </c>
      <c r="AO9">
        <v>0</v>
      </c>
      <c r="AP9">
        <v>0</v>
      </c>
      <c r="AQ9">
        <v>0</v>
      </c>
      <c r="AR9">
        <v>0</v>
      </c>
    </row>
    <row r="10" spans="1:44" x14ac:dyDescent="0.2">
      <c r="A10">
        <f>ROW(Source!A32)</f>
        <v>32</v>
      </c>
      <c r="B10">
        <v>78131219</v>
      </c>
      <c r="C10">
        <v>78130770</v>
      </c>
      <c r="D10">
        <v>77810577</v>
      </c>
      <c r="E10">
        <v>1</v>
      </c>
      <c r="F10">
        <v>1</v>
      </c>
      <c r="G10">
        <v>37</v>
      </c>
      <c r="H10">
        <v>3</v>
      </c>
      <c r="I10" t="s">
        <v>282</v>
      </c>
      <c r="J10" t="s">
        <v>283</v>
      </c>
      <c r="K10" t="s">
        <v>284</v>
      </c>
      <c r="L10">
        <v>1346</v>
      </c>
      <c r="N10">
        <v>1009</v>
      </c>
      <c r="O10" t="s">
        <v>264</v>
      </c>
      <c r="P10" t="s">
        <v>264</v>
      </c>
      <c r="Q10">
        <v>1</v>
      </c>
      <c r="X10">
        <v>0.25</v>
      </c>
      <c r="Y10">
        <v>495.12</v>
      </c>
      <c r="Z10">
        <v>0</v>
      </c>
      <c r="AA10">
        <v>0</v>
      </c>
      <c r="AB10">
        <v>0</v>
      </c>
      <c r="AC10">
        <v>0</v>
      </c>
      <c r="AD10">
        <v>1</v>
      </c>
      <c r="AE10">
        <v>0</v>
      </c>
      <c r="AF10" t="s">
        <v>21</v>
      </c>
      <c r="AG10">
        <v>0</v>
      </c>
      <c r="AH10">
        <v>2</v>
      </c>
      <c r="AI10">
        <v>78130778</v>
      </c>
      <c r="AJ10">
        <v>10</v>
      </c>
      <c r="AK10">
        <v>0</v>
      </c>
      <c r="AL10">
        <v>0</v>
      </c>
      <c r="AM10">
        <v>0</v>
      </c>
      <c r="AN10">
        <v>0</v>
      </c>
      <c r="AO10">
        <v>0</v>
      </c>
      <c r="AP10">
        <v>0</v>
      </c>
      <c r="AQ10">
        <v>0</v>
      </c>
      <c r="AR10">
        <v>0</v>
      </c>
    </row>
    <row r="11" spans="1:44" x14ac:dyDescent="0.2">
      <c r="A11">
        <f>ROW(Source!A32)</f>
        <v>32</v>
      </c>
      <c r="B11">
        <v>78131221</v>
      </c>
      <c r="C11">
        <v>78130770</v>
      </c>
      <c r="D11">
        <v>77806722</v>
      </c>
      <c r="E11">
        <v>37</v>
      </c>
      <c r="F11">
        <v>1</v>
      </c>
      <c r="G11">
        <v>37</v>
      </c>
      <c r="H11">
        <v>3</v>
      </c>
      <c r="I11" t="s">
        <v>31</v>
      </c>
      <c r="J11" t="s">
        <v>3</v>
      </c>
      <c r="K11" t="s">
        <v>32</v>
      </c>
      <c r="L11">
        <v>1301</v>
      </c>
      <c r="N11">
        <v>1003</v>
      </c>
      <c r="O11" t="s">
        <v>33</v>
      </c>
      <c r="P11" t="s">
        <v>33</v>
      </c>
      <c r="Q11">
        <v>1</v>
      </c>
      <c r="X11">
        <v>89.9</v>
      </c>
      <c r="Y11">
        <v>0</v>
      </c>
      <c r="Z11">
        <v>0</v>
      </c>
      <c r="AA11">
        <v>0</v>
      </c>
      <c r="AB11">
        <v>0</v>
      </c>
      <c r="AC11">
        <v>0</v>
      </c>
      <c r="AD11">
        <v>0</v>
      </c>
      <c r="AE11">
        <v>0</v>
      </c>
      <c r="AF11" t="s">
        <v>21</v>
      </c>
      <c r="AG11">
        <v>0</v>
      </c>
      <c r="AH11">
        <v>2</v>
      </c>
      <c r="AI11">
        <v>78130796</v>
      </c>
      <c r="AJ11">
        <v>11</v>
      </c>
      <c r="AK11">
        <v>0</v>
      </c>
      <c r="AL11">
        <v>0</v>
      </c>
      <c r="AM11">
        <v>0</v>
      </c>
      <c r="AN11">
        <v>0</v>
      </c>
      <c r="AO11">
        <v>0</v>
      </c>
      <c r="AP11">
        <v>0</v>
      </c>
      <c r="AQ11">
        <v>0</v>
      </c>
      <c r="AR11">
        <v>0</v>
      </c>
    </row>
    <row r="12" spans="1:44" x14ac:dyDescent="0.2">
      <c r="A12">
        <f>ROW(Source!A32)</f>
        <v>32</v>
      </c>
      <c r="B12">
        <v>78131222</v>
      </c>
      <c r="C12">
        <v>78130770</v>
      </c>
      <c r="D12">
        <v>77806720</v>
      </c>
      <c r="E12">
        <v>37</v>
      </c>
      <c r="F12">
        <v>1</v>
      </c>
      <c r="G12">
        <v>37</v>
      </c>
      <c r="H12">
        <v>3</v>
      </c>
      <c r="I12" t="s">
        <v>35</v>
      </c>
      <c r="J12" t="s">
        <v>3</v>
      </c>
      <c r="K12" t="s">
        <v>339</v>
      </c>
      <c r="L12">
        <v>1354</v>
      </c>
      <c r="N12">
        <v>1010</v>
      </c>
      <c r="O12" t="s">
        <v>29</v>
      </c>
      <c r="P12" t="s">
        <v>29</v>
      </c>
      <c r="Q12">
        <v>1</v>
      </c>
      <c r="X12">
        <v>0</v>
      </c>
      <c r="Y12">
        <v>0</v>
      </c>
      <c r="Z12">
        <v>0</v>
      </c>
      <c r="AA12">
        <v>0</v>
      </c>
      <c r="AB12">
        <v>0</v>
      </c>
      <c r="AC12">
        <v>0</v>
      </c>
      <c r="AD12">
        <v>0</v>
      </c>
      <c r="AE12">
        <v>0</v>
      </c>
      <c r="AF12" t="s">
        <v>21</v>
      </c>
      <c r="AG12">
        <v>0</v>
      </c>
      <c r="AH12">
        <v>2</v>
      </c>
      <c r="AI12">
        <v>78130798</v>
      </c>
      <c r="AJ12">
        <v>12</v>
      </c>
      <c r="AK12">
        <v>0</v>
      </c>
      <c r="AL12">
        <v>0</v>
      </c>
      <c r="AM12">
        <v>0</v>
      </c>
      <c r="AN12">
        <v>0</v>
      </c>
      <c r="AO12">
        <v>0</v>
      </c>
      <c r="AP12">
        <v>0</v>
      </c>
      <c r="AQ12">
        <v>0</v>
      </c>
      <c r="AR12">
        <v>0</v>
      </c>
    </row>
    <row r="13" spans="1:44" x14ac:dyDescent="0.2">
      <c r="A13">
        <f>ROW(Source!A32)</f>
        <v>32</v>
      </c>
      <c r="B13">
        <v>78131223</v>
      </c>
      <c r="C13">
        <v>78130770</v>
      </c>
      <c r="D13">
        <v>77806715</v>
      </c>
      <c r="E13">
        <v>37</v>
      </c>
      <c r="F13">
        <v>1</v>
      </c>
      <c r="G13">
        <v>37</v>
      </c>
      <c r="H13">
        <v>3</v>
      </c>
      <c r="I13" t="s">
        <v>38</v>
      </c>
      <c r="J13" t="s">
        <v>3</v>
      </c>
      <c r="K13" t="s">
        <v>39</v>
      </c>
      <c r="L13">
        <v>1354</v>
      </c>
      <c r="N13">
        <v>1010</v>
      </c>
      <c r="O13" t="s">
        <v>29</v>
      </c>
      <c r="P13" t="s">
        <v>29</v>
      </c>
      <c r="Q13">
        <v>1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 t="s">
        <v>21</v>
      </c>
      <c r="AG13">
        <v>0</v>
      </c>
      <c r="AH13">
        <v>2</v>
      </c>
      <c r="AI13">
        <v>78130800</v>
      </c>
      <c r="AJ13">
        <v>13</v>
      </c>
      <c r="AK13">
        <v>0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0</v>
      </c>
      <c r="AR13">
        <v>0</v>
      </c>
    </row>
    <row r="14" spans="1:44" x14ac:dyDescent="0.2">
      <c r="A14">
        <f>ROW(Source!A37)</f>
        <v>37</v>
      </c>
      <c r="B14">
        <v>78130814</v>
      </c>
      <c r="C14">
        <v>78130801</v>
      </c>
      <c r="D14">
        <v>75473738</v>
      </c>
      <c r="E14">
        <v>75462080</v>
      </c>
      <c r="F14">
        <v>1</v>
      </c>
      <c r="G14">
        <v>37</v>
      </c>
      <c r="H14">
        <v>1</v>
      </c>
      <c r="I14" t="s">
        <v>254</v>
      </c>
      <c r="J14" t="s">
        <v>3</v>
      </c>
      <c r="K14" t="s">
        <v>255</v>
      </c>
      <c r="L14">
        <v>1191</v>
      </c>
      <c r="N14">
        <v>1013</v>
      </c>
      <c r="O14" t="s">
        <v>256</v>
      </c>
      <c r="P14" t="s">
        <v>256</v>
      </c>
      <c r="Q14">
        <v>1</v>
      </c>
      <c r="X14">
        <v>38.76</v>
      </c>
      <c r="Y14">
        <v>0</v>
      </c>
      <c r="Z14">
        <v>0</v>
      </c>
      <c r="AA14">
        <v>0</v>
      </c>
      <c r="AB14">
        <v>0</v>
      </c>
      <c r="AC14">
        <v>0</v>
      </c>
      <c r="AD14">
        <v>1</v>
      </c>
      <c r="AE14">
        <v>1</v>
      </c>
      <c r="AF14" t="s">
        <v>3</v>
      </c>
      <c r="AG14">
        <v>38.76</v>
      </c>
      <c r="AH14">
        <v>2</v>
      </c>
      <c r="AI14">
        <v>78130802</v>
      </c>
      <c r="AJ14">
        <v>14</v>
      </c>
      <c r="AK14">
        <v>0</v>
      </c>
      <c r="AL14">
        <v>0</v>
      </c>
      <c r="AM14">
        <v>0</v>
      </c>
      <c r="AN14">
        <v>0</v>
      </c>
      <c r="AO14">
        <v>0</v>
      </c>
      <c r="AP14">
        <v>0</v>
      </c>
      <c r="AQ14">
        <v>0</v>
      </c>
      <c r="AR14">
        <v>0</v>
      </c>
    </row>
    <row r="15" spans="1:44" x14ac:dyDescent="0.2">
      <c r="A15">
        <f>ROW(Source!A37)</f>
        <v>37</v>
      </c>
      <c r="B15">
        <v>78130815</v>
      </c>
      <c r="C15">
        <v>78130801</v>
      </c>
      <c r="D15">
        <v>75475172</v>
      </c>
      <c r="E15">
        <v>1</v>
      </c>
      <c r="F15">
        <v>1</v>
      </c>
      <c r="G15">
        <v>37</v>
      </c>
      <c r="H15">
        <v>2</v>
      </c>
      <c r="I15" t="s">
        <v>285</v>
      </c>
      <c r="J15" t="s">
        <v>340</v>
      </c>
      <c r="K15" t="s">
        <v>287</v>
      </c>
      <c r="L15">
        <v>1368</v>
      </c>
      <c r="N15">
        <v>1011</v>
      </c>
      <c r="O15" t="s">
        <v>260</v>
      </c>
      <c r="P15" t="s">
        <v>260</v>
      </c>
      <c r="Q15">
        <v>1</v>
      </c>
      <c r="X15">
        <v>1.49</v>
      </c>
      <c r="Y15">
        <v>0</v>
      </c>
      <c r="Z15">
        <v>59.8</v>
      </c>
      <c r="AA15">
        <v>7.0000000000000007E-2</v>
      </c>
      <c r="AB15">
        <v>0</v>
      </c>
      <c r="AC15">
        <v>0</v>
      </c>
      <c r="AD15">
        <v>1</v>
      </c>
      <c r="AE15">
        <v>0</v>
      </c>
      <c r="AF15" t="s">
        <v>3</v>
      </c>
      <c r="AG15">
        <v>1.49</v>
      </c>
      <c r="AH15">
        <v>2</v>
      </c>
      <c r="AI15">
        <v>78130803</v>
      </c>
      <c r="AJ15">
        <v>15</v>
      </c>
      <c r="AK15">
        <v>0</v>
      </c>
      <c r="AL15">
        <v>0</v>
      </c>
      <c r="AM15">
        <v>0</v>
      </c>
      <c r="AN15">
        <v>0</v>
      </c>
      <c r="AO15">
        <v>0</v>
      </c>
      <c r="AP15">
        <v>0</v>
      </c>
      <c r="AQ15">
        <v>0</v>
      </c>
      <c r="AR15">
        <v>0</v>
      </c>
    </row>
    <row r="16" spans="1:44" x14ac:dyDescent="0.2">
      <c r="A16">
        <f>ROW(Source!A37)</f>
        <v>37</v>
      </c>
      <c r="B16">
        <v>78130825</v>
      </c>
      <c r="C16">
        <v>78130801</v>
      </c>
      <c r="D16">
        <v>75473979</v>
      </c>
      <c r="E16">
        <v>75462080</v>
      </c>
      <c r="F16">
        <v>1</v>
      </c>
      <c r="G16">
        <v>37</v>
      </c>
      <c r="H16">
        <v>3</v>
      </c>
      <c r="I16" t="s">
        <v>275</v>
      </c>
      <c r="J16" t="s">
        <v>3</v>
      </c>
      <c r="K16" t="s">
        <v>277</v>
      </c>
      <c r="L16">
        <v>1346</v>
      </c>
      <c r="N16">
        <v>1009</v>
      </c>
      <c r="O16" t="s">
        <v>264</v>
      </c>
      <c r="P16" t="s">
        <v>264</v>
      </c>
      <c r="Q16">
        <v>1</v>
      </c>
      <c r="X16">
        <v>1.6000000000000001E-3</v>
      </c>
      <c r="Y16">
        <v>33344.089999999997</v>
      </c>
      <c r="Z16">
        <v>0</v>
      </c>
      <c r="AA16">
        <v>0</v>
      </c>
      <c r="AB16">
        <v>0</v>
      </c>
      <c r="AC16">
        <v>0</v>
      </c>
      <c r="AD16">
        <v>1</v>
      </c>
      <c r="AE16">
        <v>0</v>
      </c>
      <c r="AF16" t="s">
        <v>3</v>
      </c>
      <c r="AG16">
        <v>1.6000000000000001E-3</v>
      </c>
      <c r="AH16">
        <v>2</v>
      </c>
      <c r="AI16">
        <v>78130804</v>
      </c>
      <c r="AJ16">
        <v>16</v>
      </c>
      <c r="AK16">
        <v>0</v>
      </c>
      <c r="AL16">
        <v>0</v>
      </c>
      <c r="AM16">
        <v>0</v>
      </c>
      <c r="AN16">
        <v>0</v>
      </c>
      <c r="AO16">
        <v>0</v>
      </c>
      <c r="AP16">
        <v>0</v>
      </c>
      <c r="AQ16">
        <v>0</v>
      </c>
      <c r="AR16">
        <v>0</v>
      </c>
    </row>
    <row r="17" spans="1:44" x14ac:dyDescent="0.2">
      <c r="A17">
        <f>ROW(Source!A37)</f>
        <v>37</v>
      </c>
      <c r="B17">
        <v>78130824</v>
      </c>
      <c r="C17">
        <v>78130801</v>
      </c>
      <c r="D17">
        <v>75482685</v>
      </c>
      <c r="E17">
        <v>1</v>
      </c>
      <c r="F17">
        <v>1</v>
      </c>
      <c r="G17">
        <v>37</v>
      </c>
      <c r="H17">
        <v>3</v>
      </c>
      <c r="I17" t="s">
        <v>288</v>
      </c>
      <c r="J17" t="s">
        <v>341</v>
      </c>
      <c r="K17" t="s">
        <v>290</v>
      </c>
      <c r="L17">
        <v>1356</v>
      </c>
      <c r="N17">
        <v>1010</v>
      </c>
      <c r="O17" t="s">
        <v>291</v>
      </c>
      <c r="P17" t="s">
        <v>291</v>
      </c>
      <c r="Q17">
        <v>1000</v>
      </c>
      <c r="X17">
        <v>0.03</v>
      </c>
      <c r="Y17">
        <v>442.33</v>
      </c>
      <c r="Z17">
        <v>0</v>
      </c>
      <c r="AA17">
        <v>0</v>
      </c>
      <c r="AB17">
        <v>0</v>
      </c>
      <c r="AC17">
        <v>0</v>
      </c>
      <c r="AD17">
        <v>1</v>
      </c>
      <c r="AE17">
        <v>0</v>
      </c>
      <c r="AF17" t="s">
        <v>3</v>
      </c>
      <c r="AG17">
        <v>0.03</v>
      </c>
      <c r="AH17">
        <v>2</v>
      </c>
      <c r="AI17">
        <v>78130813</v>
      </c>
      <c r="AJ17">
        <v>17</v>
      </c>
      <c r="AK17">
        <v>0</v>
      </c>
      <c r="AL17">
        <v>0</v>
      </c>
      <c r="AM17">
        <v>0</v>
      </c>
      <c r="AN17">
        <v>0</v>
      </c>
      <c r="AO17">
        <v>0</v>
      </c>
      <c r="AP17">
        <v>0</v>
      </c>
      <c r="AQ17">
        <v>0</v>
      </c>
      <c r="AR17">
        <v>0</v>
      </c>
    </row>
    <row r="18" spans="1:44" x14ac:dyDescent="0.2">
      <c r="A18">
        <f>ROW(Source!A37)</f>
        <v>37</v>
      </c>
      <c r="B18">
        <v>78130823</v>
      </c>
      <c r="C18">
        <v>78130801</v>
      </c>
      <c r="D18">
        <v>75481590</v>
      </c>
      <c r="E18">
        <v>1</v>
      </c>
      <c r="F18">
        <v>1</v>
      </c>
      <c r="G18">
        <v>37</v>
      </c>
      <c r="H18">
        <v>3</v>
      </c>
      <c r="I18" t="s">
        <v>292</v>
      </c>
      <c r="J18" t="s">
        <v>342</v>
      </c>
      <c r="K18" t="s">
        <v>294</v>
      </c>
      <c r="L18">
        <v>1301</v>
      </c>
      <c r="N18">
        <v>1003</v>
      </c>
      <c r="O18" t="s">
        <v>33</v>
      </c>
      <c r="P18" t="s">
        <v>33</v>
      </c>
      <c r="Q18">
        <v>1</v>
      </c>
      <c r="X18">
        <v>100</v>
      </c>
      <c r="Y18">
        <v>99.65</v>
      </c>
      <c r="Z18">
        <v>0</v>
      </c>
      <c r="AA18">
        <v>0</v>
      </c>
      <c r="AB18">
        <v>0</v>
      </c>
      <c r="AC18">
        <v>0</v>
      </c>
      <c r="AD18">
        <v>1</v>
      </c>
      <c r="AE18">
        <v>0</v>
      </c>
      <c r="AF18" t="s">
        <v>3</v>
      </c>
      <c r="AG18">
        <v>100</v>
      </c>
      <c r="AH18">
        <v>2</v>
      </c>
      <c r="AI18">
        <v>78130812</v>
      </c>
      <c r="AJ18">
        <v>18</v>
      </c>
      <c r="AK18">
        <v>0</v>
      </c>
      <c r="AL18">
        <v>0</v>
      </c>
      <c r="AM18">
        <v>0</v>
      </c>
      <c r="AN18">
        <v>0</v>
      </c>
      <c r="AO18">
        <v>0</v>
      </c>
      <c r="AP18">
        <v>0</v>
      </c>
      <c r="AQ18">
        <v>0</v>
      </c>
      <c r="AR18">
        <v>0</v>
      </c>
    </row>
    <row r="19" spans="1:44" x14ac:dyDescent="0.2">
      <c r="A19">
        <f>ROW(Source!A37)</f>
        <v>37</v>
      </c>
      <c r="B19">
        <v>78130816</v>
      </c>
      <c r="C19">
        <v>78130801</v>
      </c>
      <c r="D19">
        <v>75477636</v>
      </c>
      <c r="E19">
        <v>1</v>
      </c>
      <c r="F19">
        <v>1</v>
      </c>
      <c r="G19">
        <v>37</v>
      </c>
      <c r="H19">
        <v>3</v>
      </c>
      <c r="I19" t="s">
        <v>295</v>
      </c>
      <c r="J19" t="s">
        <v>343</v>
      </c>
      <c r="K19" t="s">
        <v>297</v>
      </c>
      <c r="L19">
        <v>1348</v>
      </c>
      <c r="N19">
        <v>1009</v>
      </c>
      <c r="O19" t="s">
        <v>200</v>
      </c>
      <c r="P19" t="s">
        <v>200</v>
      </c>
      <c r="Q19">
        <v>1000</v>
      </c>
      <c r="X19">
        <v>4.0000000000000002E-4</v>
      </c>
      <c r="Y19">
        <v>55.951599999999999</v>
      </c>
      <c r="Z19">
        <v>0</v>
      </c>
      <c r="AA19">
        <v>0</v>
      </c>
      <c r="AB19">
        <v>0</v>
      </c>
      <c r="AC19">
        <v>0</v>
      </c>
      <c r="AD19">
        <v>1</v>
      </c>
      <c r="AE19">
        <v>0</v>
      </c>
      <c r="AF19" t="s">
        <v>3</v>
      </c>
      <c r="AG19">
        <v>4.0000000000000002E-4</v>
      </c>
      <c r="AH19">
        <v>2</v>
      </c>
      <c r="AI19">
        <v>78130805</v>
      </c>
      <c r="AJ19">
        <v>19</v>
      </c>
      <c r="AK19">
        <v>0</v>
      </c>
      <c r="AL19">
        <v>0</v>
      </c>
      <c r="AM19">
        <v>0</v>
      </c>
      <c r="AN19">
        <v>0</v>
      </c>
      <c r="AO19">
        <v>0</v>
      </c>
      <c r="AP19">
        <v>0</v>
      </c>
      <c r="AQ19">
        <v>0</v>
      </c>
      <c r="AR19">
        <v>0</v>
      </c>
    </row>
    <row r="20" spans="1:44" x14ac:dyDescent="0.2">
      <c r="A20">
        <f>ROW(Source!A37)</f>
        <v>37</v>
      </c>
      <c r="B20">
        <v>78130817</v>
      </c>
      <c r="C20">
        <v>78130801</v>
      </c>
      <c r="D20">
        <v>75477764</v>
      </c>
      <c r="E20">
        <v>1</v>
      </c>
      <c r="F20">
        <v>1</v>
      </c>
      <c r="G20">
        <v>37</v>
      </c>
      <c r="H20">
        <v>3</v>
      </c>
      <c r="I20" t="s">
        <v>278</v>
      </c>
      <c r="J20" t="s">
        <v>344</v>
      </c>
      <c r="K20" t="s">
        <v>280</v>
      </c>
      <c r="L20">
        <v>1339</v>
      </c>
      <c r="N20">
        <v>1007</v>
      </c>
      <c r="O20" t="s">
        <v>281</v>
      </c>
      <c r="P20" t="s">
        <v>281</v>
      </c>
      <c r="Q20">
        <v>1</v>
      </c>
      <c r="X20">
        <v>0.44</v>
      </c>
      <c r="Y20">
        <v>143335.38</v>
      </c>
      <c r="Z20">
        <v>0</v>
      </c>
      <c r="AA20">
        <v>0</v>
      </c>
      <c r="AB20">
        <v>0</v>
      </c>
      <c r="AC20">
        <v>0</v>
      </c>
      <c r="AD20">
        <v>1</v>
      </c>
      <c r="AE20">
        <v>0</v>
      </c>
      <c r="AF20" t="s">
        <v>3</v>
      </c>
      <c r="AG20">
        <v>0.44</v>
      </c>
      <c r="AH20">
        <v>2</v>
      </c>
      <c r="AI20">
        <v>78130806</v>
      </c>
      <c r="AJ20">
        <v>20</v>
      </c>
      <c r="AK20">
        <v>0</v>
      </c>
      <c r="AL20">
        <v>0</v>
      </c>
      <c r="AM20">
        <v>0</v>
      </c>
      <c r="AN20">
        <v>0</v>
      </c>
      <c r="AO20">
        <v>0</v>
      </c>
      <c r="AP20">
        <v>0</v>
      </c>
      <c r="AQ20">
        <v>0</v>
      </c>
      <c r="AR20">
        <v>0</v>
      </c>
    </row>
    <row r="21" spans="1:44" x14ac:dyDescent="0.2">
      <c r="A21">
        <f>ROW(Source!A37)</f>
        <v>37</v>
      </c>
      <c r="B21">
        <v>78130818</v>
      </c>
      <c r="C21">
        <v>78130801</v>
      </c>
      <c r="D21">
        <v>75477767</v>
      </c>
      <c r="E21">
        <v>1</v>
      </c>
      <c r="F21">
        <v>1</v>
      </c>
      <c r="G21">
        <v>37</v>
      </c>
      <c r="H21">
        <v>3</v>
      </c>
      <c r="I21" t="s">
        <v>298</v>
      </c>
      <c r="J21" t="s">
        <v>345</v>
      </c>
      <c r="K21" t="s">
        <v>300</v>
      </c>
      <c r="L21">
        <v>1346</v>
      </c>
      <c r="N21">
        <v>1009</v>
      </c>
      <c r="O21" t="s">
        <v>264</v>
      </c>
      <c r="P21" t="s">
        <v>264</v>
      </c>
      <c r="Q21">
        <v>1</v>
      </c>
      <c r="X21">
        <v>0.05</v>
      </c>
      <c r="Y21">
        <v>42.44</v>
      </c>
      <c r="Z21">
        <v>0</v>
      </c>
      <c r="AA21">
        <v>0</v>
      </c>
      <c r="AB21">
        <v>0</v>
      </c>
      <c r="AC21">
        <v>0</v>
      </c>
      <c r="AD21">
        <v>1</v>
      </c>
      <c r="AE21">
        <v>0</v>
      </c>
      <c r="AF21" t="s">
        <v>3</v>
      </c>
      <c r="AG21">
        <v>0.05</v>
      </c>
      <c r="AH21">
        <v>2</v>
      </c>
      <c r="AI21">
        <v>78130807</v>
      </c>
      <c r="AJ21">
        <v>21</v>
      </c>
      <c r="AK21">
        <v>0</v>
      </c>
      <c r="AL21">
        <v>0</v>
      </c>
      <c r="AM21">
        <v>0</v>
      </c>
      <c r="AN21">
        <v>0</v>
      </c>
      <c r="AO21">
        <v>0</v>
      </c>
      <c r="AP21">
        <v>0</v>
      </c>
      <c r="AQ21">
        <v>0</v>
      </c>
      <c r="AR21">
        <v>0</v>
      </c>
    </row>
    <row r="22" spans="1:44" x14ac:dyDescent="0.2">
      <c r="A22">
        <f>ROW(Source!A37)</f>
        <v>37</v>
      </c>
      <c r="B22">
        <v>78130819</v>
      </c>
      <c r="C22">
        <v>78130801</v>
      </c>
      <c r="D22">
        <v>75475973</v>
      </c>
      <c r="E22">
        <v>1</v>
      </c>
      <c r="F22">
        <v>1</v>
      </c>
      <c r="G22">
        <v>37</v>
      </c>
      <c r="H22">
        <v>3</v>
      </c>
      <c r="I22" t="s">
        <v>301</v>
      </c>
      <c r="J22" t="s">
        <v>346</v>
      </c>
      <c r="K22" t="s">
        <v>303</v>
      </c>
      <c r="L22">
        <v>1339</v>
      </c>
      <c r="N22">
        <v>1007</v>
      </c>
      <c r="O22" t="s">
        <v>281</v>
      </c>
      <c r="P22" t="s">
        <v>281</v>
      </c>
      <c r="Q22">
        <v>1</v>
      </c>
      <c r="X22">
        <v>0.34200000000000003</v>
      </c>
      <c r="Y22">
        <v>590.44000000000005</v>
      </c>
      <c r="Z22">
        <v>0</v>
      </c>
      <c r="AA22">
        <v>0</v>
      </c>
      <c r="AB22">
        <v>0</v>
      </c>
      <c r="AC22">
        <v>0</v>
      </c>
      <c r="AD22">
        <v>1</v>
      </c>
      <c r="AE22">
        <v>0</v>
      </c>
      <c r="AF22" t="s">
        <v>3</v>
      </c>
      <c r="AG22">
        <v>0.34200000000000003</v>
      </c>
      <c r="AH22">
        <v>2</v>
      </c>
      <c r="AI22">
        <v>78130808</v>
      </c>
      <c r="AJ22">
        <v>23</v>
      </c>
      <c r="AK22">
        <v>0</v>
      </c>
      <c r="AL22">
        <v>0</v>
      </c>
      <c r="AM22">
        <v>0</v>
      </c>
      <c r="AN22">
        <v>0</v>
      </c>
      <c r="AO22">
        <v>0</v>
      </c>
      <c r="AP22">
        <v>0</v>
      </c>
      <c r="AQ22">
        <v>0</v>
      </c>
      <c r="AR22">
        <v>0</v>
      </c>
    </row>
    <row r="23" spans="1:44" x14ac:dyDescent="0.2">
      <c r="A23">
        <f>ROW(Source!A37)</f>
        <v>37</v>
      </c>
      <c r="B23">
        <v>78130820</v>
      </c>
      <c r="C23">
        <v>78130801</v>
      </c>
      <c r="D23">
        <v>75475965</v>
      </c>
      <c r="E23">
        <v>1</v>
      </c>
      <c r="F23">
        <v>1</v>
      </c>
      <c r="G23">
        <v>37</v>
      </c>
      <c r="H23">
        <v>3</v>
      </c>
      <c r="I23" t="s">
        <v>304</v>
      </c>
      <c r="J23" t="s">
        <v>347</v>
      </c>
      <c r="K23" t="s">
        <v>306</v>
      </c>
      <c r="L23">
        <v>1339</v>
      </c>
      <c r="N23">
        <v>1007</v>
      </c>
      <c r="O23" t="s">
        <v>281</v>
      </c>
      <c r="P23" t="s">
        <v>281</v>
      </c>
      <c r="Q23">
        <v>1</v>
      </c>
      <c r="X23">
        <v>0.19</v>
      </c>
      <c r="Y23">
        <v>79.62</v>
      </c>
      <c r="Z23">
        <v>0</v>
      </c>
      <c r="AA23">
        <v>0</v>
      </c>
      <c r="AB23">
        <v>0</v>
      </c>
      <c r="AC23">
        <v>0</v>
      </c>
      <c r="AD23">
        <v>1</v>
      </c>
      <c r="AE23">
        <v>0</v>
      </c>
      <c r="AF23" t="s">
        <v>3</v>
      </c>
      <c r="AG23">
        <v>0.19</v>
      </c>
      <c r="AH23">
        <v>2</v>
      </c>
      <c r="AI23">
        <v>78130809</v>
      </c>
      <c r="AJ23">
        <v>24</v>
      </c>
      <c r="AK23">
        <v>0</v>
      </c>
      <c r="AL23">
        <v>0</v>
      </c>
      <c r="AM23">
        <v>0</v>
      </c>
      <c r="AN23">
        <v>0</v>
      </c>
      <c r="AO23">
        <v>0</v>
      </c>
      <c r="AP23">
        <v>0</v>
      </c>
      <c r="AQ23">
        <v>0</v>
      </c>
      <c r="AR23">
        <v>0</v>
      </c>
    </row>
    <row r="24" spans="1:44" x14ac:dyDescent="0.2">
      <c r="A24">
        <f>ROW(Source!A37)</f>
        <v>37</v>
      </c>
      <c r="B24">
        <v>78130821</v>
      </c>
      <c r="C24">
        <v>78130801</v>
      </c>
      <c r="D24">
        <v>75476153</v>
      </c>
      <c r="E24">
        <v>1</v>
      </c>
      <c r="F24">
        <v>1</v>
      </c>
      <c r="G24">
        <v>37</v>
      </c>
      <c r="H24">
        <v>3</v>
      </c>
      <c r="I24" t="s">
        <v>307</v>
      </c>
      <c r="J24" t="s">
        <v>348</v>
      </c>
      <c r="K24" t="s">
        <v>309</v>
      </c>
      <c r="L24">
        <v>1348</v>
      </c>
      <c r="N24">
        <v>1009</v>
      </c>
      <c r="O24" t="s">
        <v>200</v>
      </c>
      <c r="P24" t="s">
        <v>200</v>
      </c>
      <c r="Q24">
        <v>1000</v>
      </c>
      <c r="X24">
        <v>4.4000000000000002E-4</v>
      </c>
      <c r="Y24">
        <v>715.78</v>
      </c>
      <c r="Z24">
        <v>0</v>
      </c>
      <c r="AA24">
        <v>0</v>
      </c>
      <c r="AB24">
        <v>0</v>
      </c>
      <c r="AC24">
        <v>0</v>
      </c>
      <c r="AD24">
        <v>1</v>
      </c>
      <c r="AE24">
        <v>0</v>
      </c>
      <c r="AF24" t="s">
        <v>3</v>
      </c>
      <c r="AG24">
        <v>4.4000000000000002E-4</v>
      </c>
      <c r="AH24">
        <v>2</v>
      </c>
      <c r="AI24">
        <v>78130810</v>
      </c>
      <c r="AJ24">
        <v>25</v>
      </c>
      <c r="AK24">
        <v>0</v>
      </c>
      <c r="AL24">
        <v>0</v>
      </c>
      <c r="AM24">
        <v>0</v>
      </c>
      <c r="AN24">
        <v>0</v>
      </c>
      <c r="AO24">
        <v>0</v>
      </c>
      <c r="AP24">
        <v>0</v>
      </c>
      <c r="AQ24">
        <v>0</v>
      </c>
      <c r="AR24">
        <v>0</v>
      </c>
    </row>
    <row r="25" spans="1:44" x14ac:dyDescent="0.2">
      <c r="A25">
        <f>ROW(Source!A37)</f>
        <v>37</v>
      </c>
      <c r="B25">
        <v>78130822</v>
      </c>
      <c r="C25">
        <v>78130801</v>
      </c>
      <c r="D25">
        <v>75476194</v>
      </c>
      <c r="E25">
        <v>1</v>
      </c>
      <c r="F25">
        <v>1</v>
      </c>
      <c r="G25">
        <v>37</v>
      </c>
      <c r="H25">
        <v>3</v>
      </c>
      <c r="I25" t="s">
        <v>310</v>
      </c>
      <c r="J25" t="s">
        <v>349</v>
      </c>
      <c r="K25" t="s">
        <v>350</v>
      </c>
      <c r="L25">
        <v>1346</v>
      </c>
      <c r="N25">
        <v>1009</v>
      </c>
      <c r="O25" t="s">
        <v>264</v>
      </c>
      <c r="P25" t="s">
        <v>264</v>
      </c>
      <c r="Q25">
        <v>1</v>
      </c>
      <c r="X25">
        <v>0.53</v>
      </c>
      <c r="Y25">
        <v>108449.3</v>
      </c>
      <c r="Z25">
        <v>0</v>
      </c>
      <c r="AA25">
        <v>0</v>
      </c>
      <c r="AB25">
        <v>0</v>
      </c>
      <c r="AC25">
        <v>0</v>
      </c>
      <c r="AD25">
        <v>1</v>
      </c>
      <c r="AE25">
        <v>0</v>
      </c>
      <c r="AF25" t="s">
        <v>3</v>
      </c>
      <c r="AG25">
        <v>0.53</v>
      </c>
      <c r="AH25">
        <v>2</v>
      </c>
      <c r="AI25">
        <v>78130811</v>
      </c>
      <c r="AJ25">
        <v>26</v>
      </c>
      <c r="AK25">
        <v>0</v>
      </c>
      <c r="AL25">
        <v>0</v>
      </c>
      <c r="AM25">
        <v>0</v>
      </c>
      <c r="AN25">
        <v>0</v>
      </c>
      <c r="AO25">
        <v>0</v>
      </c>
      <c r="AP25">
        <v>0</v>
      </c>
      <c r="AQ25">
        <v>0</v>
      </c>
      <c r="AR25">
        <v>0</v>
      </c>
    </row>
    <row r="26" spans="1:44" x14ac:dyDescent="0.2">
      <c r="A26">
        <f>ROW(Source!A39)</f>
        <v>39</v>
      </c>
      <c r="B26">
        <v>78131224</v>
      </c>
      <c r="C26">
        <v>78130828</v>
      </c>
      <c r="D26">
        <v>77806460</v>
      </c>
      <c r="E26">
        <v>37</v>
      </c>
      <c r="F26">
        <v>1</v>
      </c>
      <c r="G26">
        <v>37</v>
      </c>
      <c r="H26">
        <v>1</v>
      </c>
      <c r="I26" t="s">
        <v>254</v>
      </c>
      <c r="J26" t="s">
        <v>3</v>
      </c>
      <c r="K26" t="s">
        <v>255</v>
      </c>
      <c r="L26">
        <v>1191</v>
      </c>
      <c r="N26">
        <v>1013</v>
      </c>
      <c r="O26" t="s">
        <v>256</v>
      </c>
      <c r="P26" t="s">
        <v>256</v>
      </c>
      <c r="Q26">
        <v>1</v>
      </c>
      <c r="X26">
        <v>188.6</v>
      </c>
      <c r="Y26">
        <v>0</v>
      </c>
      <c r="Z26">
        <v>0</v>
      </c>
      <c r="AA26">
        <v>0</v>
      </c>
      <c r="AB26">
        <v>0</v>
      </c>
      <c r="AC26">
        <v>0</v>
      </c>
      <c r="AD26">
        <v>1</v>
      </c>
      <c r="AE26">
        <v>1</v>
      </c>
      <c r="AF26" t="s">
        <v>3</v>
      </c>
      <c r="AG26">
        <v>188.6</v>
      </c>
      <c r="AH26">
        <v>2</v>
      </c>
      <c r="AI26">
        <v>78130829</v>
      </c>
      <c r="AJ26">
        <v>27</v>
      </c>
      <c r="AK26">
        <v>0</v>
      </c>
      <c r="AL26">
        <v>0</v>
      </c>
      <c r="AM26">
        <v>0</v>
      </c>
      <c r="AN26">
        <v>0</v>
      </c>
      <c r="AO26">
        <v>0</v>
      </c>
      <c r="AP26">
        <v>0</v>
      </c>
      <c r="AQ26">
        <v>0</v>
      </c>
      <c r="AR26">
        <v>0</v>
      </c>
    </row>
    <row r="27" spans="1:44" x14ac:dyDescent="0.2">
      <c r="A27">
        <f>ROW(Source!A39)</f>
        <v>39</v>
      </c>
      <c r="B27">
        <v>78131225</v>
      </c>
      <c r="C27">
        <v>78130828</v>
      </c>
      <c r="D27">
        <v>77807924</v>
      </c>
      <c r="E27">
        <v>1</v>
      </c>
      <c r="F27">
        <v>1</v>
      </c>
      <c r="G27">
        <v>37</v>
      </c>
      <c r="H27">
        <v>2</v>
      </c>
      <c r="I27" t="s">
        <v>257</v>
      </c>
      <c r="J27" t="s">
        <v>258</v>
      </c>
      <c r="K27" t="s">
        <v>259</v>
      </c>
      <c r="L27">
        <v>1368</v>
      </c>
      <c r="N27">
        <v>1011</v>
      </c>
      <c r="O27" t="s">
        <v>260</v>
      </c>
      <c r="P27" t="s">
        <v>260</v>
      </c>
      <c r="Q27">
        <v>1</v>
      </c>
      <c r="X27">
        <v>14.29</v>
      </c>
      <c r="Y27">
        <v>0</v>
      </c>
      <c r="Z27">
        <v>1369.82</v>
      </c>
      <c r="AA27">
        <v>1183.81</v>
      </c>
      <c r="AB27">
        <v>0</v>
      </c>
      <c r="AC27">
        <v>0</v>
      </c>
      <c r="AD27">
        <v>1</v>
      </c>
      <c r="AE27">
        <v>0</v>
      </c>
      <c r="AF27" t="s">
        <v>3</v>
      </c>
      <c r="AG27">
        <v>14.29</v>
      </c>
      <c r="AH27">
        <v>2</v>
      </c>
      <c r="AI27">
        <v>78130830</v>
      </c>
      <c r="AJ27">
        <v>28</v>
      </c>
      <c r="AK27">
        <v>0</v>
      </c>
      <c r="AL27">
        <v>0</v>
      </c>
      <c r="AM27">
        <v>0</v>
      </c>
      <c r="AN27">
        <v>0</v>
      </c>
      <c r="AO27">
        <v>0</v>
      </c>
      <c r="AP27">
        <v>0</v>
      </c>
      <c r="AQ27">
        <v>0</v>
      </c>
      <c r="AR27">
        <v>0</v>
      </c>
    </row>
    <row r="28" spans="1:44" x14ac:dyDescent="0.2">
      <c r="A28">
        <f>ROW(Source!A39)</f>
        <v>39</v>
      </c>
      <c r="B28">
        <v>78131226</v>
      </c>
      <c r="C28">
        <v>78130828</v>
      </c>
      <c r="D28">
        <v>77806721</v>
      </c>
      <c r="E28">
        <v>37</v>
      </c>
      <c r="F28">
        <v>1</v>
      </c>
      <c r="G28">
        <v>37</v>
      </c>
      <c r="H28">
        <v>3</v>
      </c>
      <c r="I28" t="s">
        <v>27</v>
      </c>
      <c r="J28" t="s">
        <v>3</v>
      </c>
      <c r="K28" t="s">
        <v>28</v>
      </c>
      <c r="L28">
        <v>1354</v>
      </c>
      <c r="N28">
        <v>1010</v>
      </c>
      <c r="O28" t="s">
        <v>29</v>
      </c>
      <c r="P28" t="s">
        <v>29</v>
      </c>
      <c r="Q28">
        <v>1</v>
      </c>
      <c r="X28">
        <v>0</v>
      </c>
      <c r="Y28">
        <v>0</v>
      </c>
      <c r="Z28">
        <v>0</v>
      </c>
      <c r="AA28">
        <v>0</v>
      </c>
      <c r="AB28">
        <v>0</v>
      </c>
      <c r="AC28">
        <v>0</v>
      </c>
      <c r="AD28">
        <v>0</v>
      </c>
      <c r="AE28">
        <v>0</v>
      </c>
      <c r="AF28" t="s">
        <v>3</v>
      </c>
      <c r="AG28">
        <v>0</v>
      </c>
      <c r="AH28">
        <v>2</v>
      </c>
      <c r="AI28">
        <v>78130852</v>
      </c>
      <c r="AJ28">
        <v>29</v>
      </c>
      <c r="AK28">
        <v>0</v>
      </c>
      <c r="AL28">
        <v>0</v>
      </c>
      <c r="AM28">
        <v>0</v>
      </c>
      <c r="AN28">
        <v>0</v>
      </c>
      <c r="AO28">
        <v>0</v>
      </c>
      <c r="AP28">
        <v>0</v>
      </c>
      <c r="AQ28">
        <v>0</v>
      </c>
      <c r="AR28">
        <v>0</v>
      </c>
    </row>
    <row r="29" spans="1:44" x14ac:dyDescent="0.2">
      <c r="A29">
        <f>ROW(Source!A39)</f>
        <v>39</v>
      </c>
      <c r="B29">
        <v>78131227</v>
      </c>
      <c r="C29">
        <v>78130828</v>
      </c>
      <c r="D29">
        <v>77809632</v>
      </c>
      <c r="E29">
        <v>1</v>
      </c>
      <c r="F29">
        <v>1</v>
      </c>
      <c r="G29">
        <v>37</v>
      </c>
      <c r="H29">
        <v>3</v>
      </c>
      <c r="I29" t="s">
        <v>261</v>
      </c>
      <c r="J29" t="s">
        <v>262</v>
      </c>
      <c r="K29" t="s">
        <v>263</v>
      </c>
      <c r="L29">
        <v>1346</v>
      </c>
      <c r="N29">
        <v>1009</v>
      </c>
      <c r="O29" t="s">
        <v>264</v>
      </c>
      <c r="P29" t="s">
        <v>264</v>
      </c>
      <c r="Q29">
        <v>1</v>
      </c>
      <c r="X29">
        <v>0.55000000000000004</v>
      </c>
      <c r="Y29">
        <v>261.27999999999997</v>
      </c>
      <c r="Z29">
        <v>0</v>
      </c>
      <c r="AA29">
        <v>0</v>
      </c>
      <c r="AB29">
        <v>0</v>
      </c>
      <c r="AC29">
        <v>0</v>
      </c>
      <c r="AD29">
        <v>1</v>
      </c>
      <c r="AE29">
        <v>0</v>
      </c>
      <c r="AF29" t="s">
        <v>3</v>
      </c>
      <c r="AG29">
        <v>0.55000000000000004</v>
      </c>
      <c r="AH29">
        <v>2</v>
      </c>
      <c r="AI29">
        <v>78130831</v>
      </c>
      <c r="AJ29">
        <v>30</v>
      </c>
      <c r="AK29">
        <v>0</v>
      </c>
      <c r="AL29">
        <v>0</v>
      </c>
      <c r="AM29">
        <v>0</v>
      </c>
      <c r="AN29">
        <v>0</v>
      </c>
      <c r="AO29">
        <v>0</v>
      </c>
      <c r="AP29">
        <v>0</v>
      </c>
      <c r="AQ29">
        <v>0</v>
      </c>
      <c r="AR29">
        <v>0</v>
      </c>
    </row>
    <row r="30" spans="1:44" x14ac:dyDescent="0.2">
      <c r="A30">
        <f>ROW(Source!A39)</f>
        <v>39</v>
      </c>
      <c r="B30">
        <v>78131228</v>
      </c>
      <c r="C30">
        <v>78130828</v>
      </c>
      <c r="D30">
        <v>77809555</v>
      </c>
      <c r="E30">
        <v>1</v>
      </c>
      <c r="F30">
        <v>1</v>
      </c>
      <c r="G30">
        <v>37</v>
      </c>
      <c r="H30">
        <v>3</v>
      </c>
      <c r="I30" t="s">
        <v>265</v>
      </c>
      <c r="J30" t="s">
        <v>266</v>
      </c>
      <c r="K30" t="s">
        <v>267</v>
      </c>
      <c r="L30">
        <v>1348</v>
      </c>
      <c r="N30">
        <v>1009</v>
      </c>
      <c r="O30" t="s">
        <v>200</v>
      </c>
      <c r="P30" t="s">
        <v>200</v>
      </c>
      <c r="Q30">
        <v>1000</v>
      </c>
      <c r="X30">
        <v>8.4999999999999995E-4</v>
      </c>
      <c r="Y30">
        <v>233970.16</v>
      </c>
      <c r="Z30">
        <v>0</v>
      </c>
      <c r="AA30">
        <v>0</v>
      </c>
      <c r="AB30">
        <v>0</v>
      </c>
      <c r="AC30">
        <v>0</v>
      </c>
      <c r="AD30">
        <v>1</v>
      </c>
      <c r="AE30">
        <v>0</v>
      </c>
      <c r="AF30" t="s">
        <v>3</v>
      </c>
      <c r="AG30">
        <v>8.4999999999999995E-4</v>
      </c>
      <c r="AH30">
        <v>2</v>
      </c>
      <c r="AI30">
        <v>78130832</v>
      </c>
      <c r="AJ30">
        <v>31</v>
      </c>
      <c r="AK30">
        <v>0</v>
      </c>
      <c r="AL30">
        <v>0</v>
      </c>
      <c r="AM30">
        <v>0</v>
      </c>
      <c r="AN30">
        <v>0</v>
      </c>
      <c r="AO30">
        <v>0</v>
      </c>
      <c r="AP30">
        <v>0</v>
      </c>
      <c r="AQ30">
        <v>0</v>
      </c>
      <c r="AR30">
        <v>0</v>
      </c>
    </row>
    <row r="31" spans="1:44" x14ac:dyDescent="0.2">
      <c r="A31">
        <f>ROW(Source!A39)</f>
        <v>39</v>
      </c>
      <c r="B31">
        <v>78131229</v>
      </c>
      <c r="C31">
        <v>78130828</v>
      </c>
      <c r="D31">
        <v>77809584</v>
      </c>
      <c r="E31">
        <v>1</v>
      </c>
      <c r="F31">
        <v>1</v>
      </c>
      <c r="G31">
        <v>37</v>
      </c>
      <c r="H31">
        <v>3</v>
      </c>
      <c r="I31" t="s">
        <v>268</v>
      </c>
      <c r="J31" t="s">
        <v>269</v>
      </c>
      <c r="K31" t="s">
        <v>270</v>
      </c>
      <c r="L31">
        <v>1355</v>
      </c>
      <c r="N31">
        <v>1010</v>
      </c>
      <c r="O31" t="s">
        <v>271</v>
      </c>
      <c r="P31" t="s">
        <v>271</v>
      </c>
      <c r="Q31">
        <v>100</v>
      </c>
      <c r="X31">
        <v>1</v>
      </c>
      <c r="Y31">
        <v>1151.6600000000001</v>
      </c>
      <c r="Z31">
        <v>0</v>
      </c>
      <c r="AA31">
        <v>0</v>
      </c>
      <c r="AB31">
        <v>0</v>
      </c>
      <c r="AC31">
        <v>0</v>
      </c>
      <c r="AD31">
        <v>1</v>
      </c>
      <c r="AE31">
        <v>0</v>
      </c>
      <c r="AF31" t="s">
        <v>3</v>
      </c>
      <c r="AG31">
        <v>1</v>
      </c>
      <c r="AH31">
        <v>2</v>
      </c>
      <c r="AI31">
        <v>78130833</v>
      </c>
      <c r="AJ31">
        <v>32</v>
      </c>
      <c r="AK31">
        <v>0</v>
      </c>
      <c r="AL31">
        <v>0</v>
      </c>
      <c r="AM31">
        <v>0</v>
      </c>
      <c r="AN31">
        <v>0</v>
      </c>
      <c r="AO31">
        <v>0</v>
      </c>
      <c r="AP31">
        <v>0</v>
      </c>
      <c r="AQ31">
        <v>0</v>
      </c>
      <c r="AR31">
        <v>0</v>
      </c>
    </row>
    <row r="32" spans="1:44" x14ac:dyDescent="0.2">
      <c r="A32">
        <f>ROW(Source!A39)</f>
        <v>39</v>
      </c>
      <c r="B32">
        <v>78131230</v>
      </c>
      <c r="C32">
        <v>78130828</v>
      </c>
      <c r="D32">
        <v>77810270</v>
      </c>
      <c r="E32">
        <v>1</v>
      </c>
      <c r="F32">
        <v>1</v>
      </c>
      <c r="G32">
        <v>37</v>
      </c>
      <c r="H32">
        <v>3</v>
      </c>
      <c r="I32" t="s">
        <v>272</v>
      </c>
      <c r="J32" t="s">
        <v>273</v>
      </c>
      <c r="K32" t="s">
        <v>274</v>
      </c>
      <c r="L32">
        <v>1346</v>
      </c>
      <c r="N32">
        <v>1009</v>
      </c>
      <c r="O32" t="s">
        <v>264</v>
      </c>
      <c r="P32" t="s">
        <v>264</v>
      </c>
      <c r="Q32">
        <v>1</v>
      </c>
      <c r="X32">
        <v>0.25</v>
      </c>
      <c r="Y32">
        <v>97.56</v>
      </c>
      <c r="Z32">
        <v>0</v>
      </c>
      <c r="AA32">
        <v>0</v>
      </c>
      <c r="AB32">
        <v>0</v>
      </c>
      <c r="AC32">
        <v>0</v>
      </c>
      <c r="AD32">
        <v>1</v>
      </c>
      <c r="AE32">
        <v>0</v>
      </c>
      <c r="AF32" t="s">
        <v>3</v>
      </c>
      <c r="AG32">
        <v>0.25</v>
      </c>
      <c r="AH32">
        <v>2</v>
      </c>
      <c r="AI32">
        <v>78130834</v>
      </c>
      <c r="AJ32">
        <v>33</v>
      </c>
      <c r="AK32">
        <v>0</v>
      </c>
      <c r="AL32">
        <v>0</v>
      </c>
      <c r="AM32">
        <v>0</v>
      </c>
      <c r="AN32">
        <v>0</v>
      </c>
      <c r="AO32">
        <v>0</v>
      </c>
      <c r="AP32">
        <v>0</v>
      </c>
      <c r="AQ32">
        <v>0</v>
      </c>
      <c r="AR32">
        <v>0</v>
      </c>
    </row>
    <row r="33" spans="1:44" x14ac:dyDescent="0.2">
      <c r="A33">
        <f>ROW(Source!A39)</f>
        <v>39</v>
      </c>
      <c r="B33">
        <v>78131233</v>
      </c>
      <c r="C33">
        <v>78130828</v>
      </c>
      <c r="D33">
        <v>77806705</v>
      </c>
      <c r="E33">
        <v>37</v>
      </c>
      <c r="F33">
        <v>1</v>
      </c>
      <c r="G33">
        <v>37</v>
      </c>
      <c r="H33">
        <v>3</v>
      </c>
      <c r="I33" t="s">
        <v>275</v>
      </c>
      <c r="J33" t="s">
        <v>3</v>
      </c>
      <c r="K33" t="s">
        <v>277</v>
      </c>
      <c r="L33">
        <v>1346</v>
      </c>
      <c r="N33">
        <v>1009</v>
      </c>
      <c r="O33" t="s">
        <v>264</v>
      </c>
      <c r="P33" t="s">
        <v>264</v>
      </c>
      <c r="Q33">
        <v>1</v>
      </c>
      <c r="X33">
        <v>1.6000000000000001E-3</v>
      </c>
      <c r="Y33">
        <v>67.221419999999995</v>
      </c>
      <c r="Z33">
        <v>0</v>
      </c>
      <c r="AA33">
        <v>0</v>
      </c>
      <c r="AB33">
        <v>0</v>
      </c>
      <c r="AC33">
        <v>0</v>
      </c>
      <c r="AD33">
        <v>1</v>
      </c>
      <c r="AE33">
        <v>0</v>
      </c>
      <c r="AF33" t="s">
        <v>3</v>
      </c>
      <c r="AG33">
        <v>1.6000000000000001E-3</v>
      </c>
      <c r="AH33">
        <v>2</v>
      </c>
      <c r="AI33">
        <v>78130835</v>
      </c>
      <c r="AJ33">
        <v>34</v>
      </c>
      <c r="AK33">
        <v>0</v>
      </c>
      <c r="AL33">
        <v>0</v>
      </c>
      <c r="AM33">
        <v>0</v>
      </c>
      <c r="AN33">
        <v>0</v>
      </c>
      <c r="AO33">
        <v>0</v>
      </c>
      <c r="AP33">
        <v>0</v>
      </c>
      <c r="AQ33">
        <v>0</v>
      </c>
      <c r="AR33">
        <v>0</v>
      </c>
    </row>
    <row r="34" spans="1:44" x14ac:dyDescent="0.2">
      <c r="A34">
        <f>ROW(Source!A39)</f>
        <v>39</v>
      </c>
      <c r="B34">
        <v>78131231</v>
      </c>
      <c r="C34">
        <v>78130828</v>
      </c>
      <c r="D34">
        <v>77810520</v>
      </c>
      <c r="E34">
        <v>1</v>
      </c>
      <c r="F34">
        <v>1</v>
      </c>
      <c r="G34">
        <v>37</v>
      </c>
      <c r="H34">
        <v>3</v>
      </c>
      <c r="I34" t="s">
        <v>278</v>
      </c>
      <c r="J34" t="s">
        <v>279</v>
      </c>
      <c r="K34" t="s">
        <v>280</v>
      </c>
      <c r="L34">
        <v>1339</v>
      </c>
      <c r="N34">
        <v>1007</v>
      </c>
      <c r="O34" t="s">
        <v>281</v>
      </c>
      <c r="P34" t="s">
        <v>281</v>
      </c>
      <c r="Q34">
        <v>1</v>
      </c>
      <c r="X34">
        <v>0.47</v>
      </c>
      <c r="Y34">
        <v>49.83</v>
      </c>
      <c r="Z34">
        <v>0</v>
      </c>
      <c r="AA34">
        <v>0</v>
      </c>
      <c r="AB34">
        <v>0</v>
      </c>
      <c r="AC34">
        <v>0</v>
      </c>
      <c r="AD34">
        <v>1</v>
      </c>
      <c r="AE34">
        <v>0</v>
      </c>
      <c r="AF34" t="s">
        <v>3</v>
      </c>
      <c r="AG34">
        <v>0.47</v>
      </c>
      <c r="AH34">
        <v>2</v>
      </c>
      <c r="AI34">
        <v>78130836</v>
      </c>
      <c r="AJ34">
        <v>36</v>
      </c>
      <c r="AK34">
        <v>0</v>
      </c>
      <c r="AL34">
        <v>0</v>
      </c>
      <c r="AM34">
        <v>0</v>
      </c>
      <c r="AN34">
        <v>0</v>
      </c>
      <c r="AO34">
        <v>0</v>
      </c>
      <c r="AP34">
        <v>0</v>
      </c>
      <c r="AQ34">
        <v>0</v>
      </c>
      <c r="AR34">
        <v>0</v>
      </c>
    </row>
    <row r="35" spans="1:44" x14ac:dyDescent="0.2">
      <c r="A35">
        <f>ROW(Source!A39)</f>
        <v>39</v>
      </c>
      <c r="B35">
        <v>78131232</v>
      </c>
      <c r="C35">
        <v>78130828</v>
      </c>
      <c r="D35">
        <v>77810577</v>
      </c>
      <c r="E35">
        <v>1</v>
      </c>
      <c r="F35">
        <v>1</v>
      </c>
      <c r="G35">
        <v>37</v>
      </c>
      <c r="H35">
        <v>3</v>
      </c>
      <c r="I35" t="s">
        <v>282</v>
      </c>
      <c r="J35" t="s">
        <v>283</v>
      </c>
      <c r="K35" t="s">
        <v>284</v>
      </c>
      <c r="L35">
        <v>1346</v>
      </c>
      <c r="N35">
        <v>1009</v>
      </c>
      <c r="O35" t="s">
        <v>264</v>
      </c>
      <c r="P35" t="s">
        <v>264</v>
      </c>
      <c r="Q35">
        <v>1</v>
      </c>
      <c r="X35">
        <v>0.25</v>
      </c>
      <c r="Y35">
        <v>495.12</v>
      </c>
      <c r="Z35">
        <v>0</v>
      </c>
      <c r="AA35">
        <v>0</v>
      </c>
      <c r="AB35">
        <v>0</v>
      </c>
      <c r="AC35">
        <v>0</v>
      </c>
      <c r="AD35">
        <v>1</v>
      </c>
      <c r="AE35">
        <v>0</v>
      </c>
      <c r="AF35" t="s">
        <v>3</v>
      </c>
      <c r="AG35">
        <v>0.25</v>
      </c>
      <c r="AH35">
        <v>2</v>
      </c>
      <c r="AI35">
        <v>78130837</v>
      </c>
      <c r="AJ35">
        <v>41</v>
      </c>
      <c r="AK35">
        <v>0</v>
      </c>
      <c r="AL35">
        <v>0</v>
      </c>
      <c r="AM35">
        <v>0</v>
      </c>
      <c r="AN35">
        <v>0</v>
      </c>
      <c r="AO35">
        <v>0</v>
      </c>
      <c r="AP35">
        <v>0</v>
      </c>
      <c r="AQ35">
        <v>0</v>
      </c>
      <c r="AR35">
        <v>0</v>
      </c>
    </row>
    <row r="36" spans="1:44" x14ac:dyDescent="0.2">
      <c r="A36">
        <f>ROW(Source!A39)</f>
        <v>39</v>
      </c>
      <c r="B36">
        <v>78131234</v>
      </c>
      <c r="C36">
        <v>78130828</v>
      </c>
      <c r="D36">
        <v>77806722</v>
      </c>
      <c r="E36">
        <v>37</v>
      </c>
      <c r="F36">
        <v>1</v>
      </c>
      <c r="G36">
        <v>37</v>
      </c>
      <c r="H36">
        <v>3</v>
      </c>
      <c r="I36" t="s">
        <v>31</v>
      </c>
      <c r="J36" t="s">
        <v>3</v>
      </c>
      <c r="K36" t="s">
        <v>32</v>
      </c>
      <c r="L36">
        <v>1301</v>
      </c>
      <c r="N36">
        <v>1003</v>
      </c>
      <c r="O36" t="s">
        <v>33</v>
      </c>
      <c r="P36" t="s">
        <v>33</v>
      </c>
      <c r="Q36">
        <v>1</v>
      </c>
      <c r="X36">
        <v>89.9</v>
      </c>
      <c r="Y36">
        <v>0</v>
      </c>
      <c r="Z36">
        <v>0</v>
      </c>
      <c r="AA36">
        <v>0</v>
      </c>
      <c r="AB36">
        <v>0</v>
      </c>
      <c r="AC36">
        <v>0</v>
      </c>
      <c r="AD36">
        <v>0</v>
      </c>
      <c r="AE36">
        <v>0</v>
      </c>
      <c r="AF36" t="s">
        <v>3</v>
      </c>
      <c r="AG36">
        <v>89.9</v>
      </c>
      <c r="AH36">
        <v>3</v>
      </c>
      <c r="AI36">
        <v>-1</v>
      </c>
      <c r="AJ36" t="s">
        <v>3</v>
      </c>
      <c r="AK36">
        <v>0</v>
      </c>
      <c r="AL36">
        <v>0</v>
      </c>
      <c r="AM36">
        <v>0</v>
      </c>
      <c r="AN36">
        <v>0</v>
      </c>
      <c r="AO36">
        <v>0</v>
      </c>
      <c r="AP36">
        <v>0</v>
      </c>
      <c r="AQ36">
        <v>0</v>
      </c>
      <c r="AR36">
        <v>0</v>
      </c>
    </row>
    <row r="37" spans="1:44" x14ac:dyDescent="0.2">
      <c r="A37">
        <f>ROW(Source!A39)</f>
        <v>39</v>
      </c>
      <c r="B37">
        <v>78131235</v>
      </c>
      <c r="C37">
        <v>78130828</v>
      </c>
      <c r="D37">
        <v>77806720</v>
      </c>
      <c r="E37">
        <v>37</v>
      </c>
      <c r="F37">
        <v>1</v>
      </c>
      <c r="G37">
        <v>37</v>
      </c>
      <c r="H37">
        <v>3</v>
      </c>
      <c r="I37" t="s">
        <v>35</v>
      </c>
      <c r="J37" t="s">
        <v>3</v>
      </c>
      <c r="K37" t="s">
        <v>339</v>
      </c>
      <c r="L37">
        <v>1354</v>
      </c>
      <c r="N37">
        <v>1010</v>
      </c>
      <c r="O37" t="s">
        <v>29</v>
      </c>
      <c r="P37" t="s">
        <v>29</v>
      </c>
      <c r="Q37">
        <v>1</v>
      </c>
      <c r="X37">
        <v>0</v>
      </c>
      <c r="Y37">
        <v>0</v>
      </c>
      <c r="Z37">
        <v>0</v>
      </c>
      <c r="AA37">
        <v>0</v>
      </c>
      <c r="AB37">
        <v>0</v>
      </c>
      <c r="AC37">
        <v>0</v>
      </c>
      <c r="AD37">
        <v>0</v>
      </c>
      <c r="AE37">
        <v>0</v>
      </c>
      <c r="AF37" t="s">
        <v>3</v>
      </c>
      <c r="AG37">
        <v>0</v>
      </c>
      <c r="AH37">
        <v>3</v>
      </c>
      <c r="AI37">
        <v>-1</v>
      </c>
      <c r="AJ37" t="s">
        <v>3</v>
      </c>
      <c r="AK37">
        <v>0</v>
      </c>
      <c r="AL37">
        <v>0</v>
      </c>
      <c r="AM37">
        <v>0</v>
      </c>
      <c r="AN37">
        <v>0</v>
      </c>
      <c r="AO37">
        <v>0</v>
      </c>
      <c r="AP37">
        <v>0</v>
      </c>
      <c r="AQ37">
        <v>0</v>
      </c>
      <c r="AR37">
        <v>0</v>
      </c>
    </row>
    <row r="38" spans="1:44" x14ac:dyDescent="0.2">
      <c r="A38">
        <f>ROW(Source!A39)</f>
        <v>39</v>
      </c>
      <c r="B38">
        <v>78131236</v>
      </c>
      <c r="C38">
        <v>78130828</v>
      </c>
      <c r="D38">
        <v>77806715</v>
      </c>
      <c r="E38">
        <v>37</v>
      </c>
      <c r="F38">
        <v>1</v>
      </c>
      <c r="G38">
        <v>37</v>
      </c>
      <c r="H38">
        <v>3</v>
      </c>
      <c r="I38" t="s">
        <v>38</v>
      </c>
      <c r="J38" t="s">
        <v>3</v>
      </c>
      <c r="K38" t="s">
        <v>39</v>
      </c>
      <c r="L38">
        <v>1354</v>
      </c>
      <c r="N38">
        <v>1010</v>
      </c>
      <c r="O38" t="s">
        <v>29</v>
      </c>
      <c r="P38" t="s">
        <v>29</v>
      </c>
      <c r="Q38">
        <v>1</v>
      </c>
      <c r="X38">
        <v>0</v>
      </c>
      <c r="Y38">
        <v>0</v>
      </c>
      <c r="Z38">
        <v>0</v>
      </c>
      <c r="AA38">
        <v>0</v>
      </c>
      <c r="AB38">
        <v>0</v>
      </c>
      <c r="AC38">
        <v>0</v>
      </c>
      <c r="AD38">
        <v>0</v>
      </c>
      <c r="AE38">
        <v>0</v>
      </c>
      <c r="AF38" t="s">
        <v>3</v>
      </c>
      <c r="AG38">
        <v>0</v>
      </c>
      <c r="AH38">
        <v>3</v>
      </c>
      <c r="AI38">
        <v>-1</v>
      </c>
      <c r="AJ38" t="s">
        <v>3</v>
      </c>
      <c r="AK38">
        <v>0</v>
      </c>
      <c r="AL38">
        <v>0</v>
      </c>
      <c r="AM38">
        <v>0</v>
      </c>
      <c r="AN38">
        <v>0</v>
      </c>
      <c r="AO38">
        <v>0</v>
      </c>
      <c r="AP38">
        <v>0</v>
      </c>
      <c r="AQ38">
        <v>0</v>
      </c>
      <c r="AR38">
        <v>0</v>
      </c>
    </row>
    <row r="39" spans="1:44" x14ac:dyDescent="0.2">
      <c r="A39">
        <f>ROW(Source!A47)</f>
        <v>47</v>
      </c>
      <c r="B39">
        <v>78131237</v>
      </c>
      <c r="C39">
        <v>78130865</v>
      </c>
      <c r="D39">
        <v>77806460</v>
      </c>
      <c r="E39">
        <v>37</v>
      </c>
      <c r="F39">
        <v>1</v>
      </c>
      <c r="G39">
        <v>37</v>
      </c>
      <c r="H39">
        <v>1</v>
      </c>
      <c r="I39" t="s">
        <v>254</v>
      </c>
      <c r="J39" t="s">
        <v>3</v>
      </c>
      <c r="K39" t="s">
        <v>255</v>
      </c>
      <c r="L39">
        <v>1191</v>
      </c>
      <c r="N39">
        <v>1013</v>
      </c>
      <c r="O39" t="s">
        <v>256</v>
      </c>
      <c r="P39" t="s">
        <v>256</v>
      </c>
      <c r="Q39">
        <v>1</v>
      </c>
      <c r="X39">
        <v>0.86</v>
      </c>
      <c r="Y39">
        <v>0</v>
      </c>
      <c r="Z39">
        <v>0</v>
      </c>
      <c r="AA39">
        <v>0</v>
      </c>
      <c r="AB39">
        <v>0</v>
      </c>
      <c r="AC39">
        <v>0</v>
      </c>
      <c r="AD39">
        <v>1</v>
      </c>
      <c r="AE39">
        <v>1</v>
      </c>
      <c r="AF39" t="s">
        <v>22</v>
      </c>
      <c r="AG39">
        <v>0.17200000000000001</v>
      </c>
      <c r="AH39">
        <v>2</v>
      </c>
      <c r="AI39">
        <v>78130866</v>
      </c>
      <c r="AJ39">
        <v>43</v>
      </c>
      <c r="AK39">
        <v>0</v>
      </c>
      <c r="AL39">
        <v>0</v>
      </c>
      <c r="AM39">
        <v>0</v>
      </c>
      <c r="AN39">
        <v>0</v>
      </c>
      <c r="AO39">
        <v>0</v>
      </c>
      <c r="AP39">
        <v>0</v>
      </c>
      <c r="AQ39">
        <v>0</v>
      </c>
      <c r="AR39">
        <v>0</v>
      </c>
    </row>
    <row r="40" spans="1:44" x14ac:dyDescent="0.2">
      <c r="A40">
        <f>ROW(Source!A47)</f>
        <v>47</v>
      </c>
      <c r="B40">
        <v>78131238</v>
      </c>
      <c r="C40">
        <v>78130865</v>
      </c>
      <c r="D40">
        <v>77807925</v>
      </c>
      <c r="E40">
        <v>1</v>
      </c>
      <c r="F40">
        <v>1</v>
      </c>
      <c r="G40">
        <v>37</v>
      </c>
      <c r="H40">
        <v>2</v>
      </c>
      <c r="I40" t="s">
        <v>313</v>
      </c>
      <c r="J40" t="s">
        <v>314</v>
      </c>
      <c r="K40" t="s">
        <v>315</v>
      </c>
      <c r="L40">
        <v>1368</v>
      </c>
      <c r="N40">
        <v>1011</v>
      </c>
      <c r="O40" t="s">
        <v>260</v>
      </c>
      <c r="P40" t="s">
        <v>260</v>
      </c>
      <c r="Q40">
        <v>1</v>
      </c>
      <c r="X40">
        <v>0.3</v>
      </c>
      <c r="Y40">
        <v>0</v>
      </c>
      <c r="Z40">
        <v>34.270000000000003</v>
      </c>
      <c r="AA40">
        <v>0.23</v>
      </c>
      <c r="AB40">
        <v>0</v>
      </c>
      <c r="AC40">
        <v>0</v>
      </c>
      <c r="AD40">
        <v>1</v>
      </c>
      <c r="AE40">
        <v>0</v>
      </c>
      <c r="AF40" t="s">
        <v>22</v>
      </c>
      <c r="AG40">
        <v>0.06</v>
      </c>
      <c r="AH40">
        <v>2</v>
      </c>
      <c r="AI40">
        <v>78130867</v>
      </c>
      <c r="AJ40">
        <v>44</v>
      </c>
      <c r="AK40">
        <v>0</v>
      </c>
      <c r="AL40">
        <v>0</v>
      </c>
      <c r="AM40">
        <v>0</v>
      </c>
      <c r="AN40">
        <v>0</v>
      </c>
      <c r="AO40">
        <v>0</v>
      </c>
      <c r="AP40">
        <v>0</v>
      </c>
      <c r="AQ40">
        <v>0</v>
      </c>
      <c r="AR40">
        <v>0</v>
      </c>
    </row>
    <row r="41" spans="1:44" x14ac:dyDescent="0.2">
      <c r="A41">
        <f>ROW(Source!A47)</f>
        <v>47</v>
      </c>
      <c r="B41">
        <v>78131239</v>
      </c>
      <c r="C41">
        <v>78130865</v>
      </c>
      <c r="D41">
        <v>77810399</v>
      </c>
      <c r="E41">
        <v>1</v>
      </c>
      <c r="F41">
        <v>1</v>
      </c>
      <c r="G41">
        <v>37</v>
      </c>
      <c r="H41">
        <v>3</v>
      </c>
      <c r="I41" t="s">
        <v>316</v>
      </c>
      <c r="J41" t="s">
        <v>317</v>
      </c>
      <c r="K41" t="s">
        <v>318</v>
      </c>
      <c r="L41">
        <v>1348</v>
      </c>
      <c r="N41">
        <v>1009</v>
      </c>
      <c r="O41" t="s">
        <v>200</v>
      </c>
      <c r="P41" t="s">
        <v>200</v>
      </c>
      <c r="Q41">
        <v>1000</v>
      </c>
      <c r="X41">
        <v>6.9999999999999994E-5</v>
      </c>
      <c r="Y41">
        <v>106831.32</v>
      </c>
      <c r="Z41">
        <v>0</v>
      </c>
      <c r="AA41">
        <v>0</v>
      </c>
      <c r="AB41">
        <v>0</v>
      </c>
      <c r="AC41">
        <v>0</v>
      </c>
      <c r="AD41">
        <v>1</v>
      </c>
      <c r="AE41">
        <v>0</v>
      </c>
      <c r="AF41" t="s">
        <v>21</v>
      </c>
      <c r="AG41">
        <v>0</v>
      </c>
      <c r="AH41">
        <v>2</v>
      </c>
      <c r="AI41">
        <v>78130868</v>
      </c>
      <c r="AJ41">
        <v>45</v>
      </c>
      <c r="AK41">
        <v>0</v>
      </c>
      <c r="AL41">
        <v>0</v>
      </c>
      <c r="AM41">
        <v>0</v>
      </c>
      <c r="AN41">
        <v>0</v>
      </c>
      <c r="AO41">
        <v>0</v>
      </c>
      <c r="AP41">
        <v>0</v>
      </c>
      <c r="AQ41">
        <v>0</v>
      </c>
      <c r="AR41">
        <v>0</v>
      </c>
    </row>
    <row r="42" spans="1:44" x14ac:dyDescent="0.2">
      <c r="A42">
        <f>ROW(Source!A47)</f>
        <v>47</v>
      </c>
      <c r="B42">
        <v>78131240</v>
      </c>
      <c r="C42">
        <v>78130865</v>
      </c>
      <c r="D42">
        <v>77806778</v>
      </c>
      <c r="E42">
        <v>37</v>
      </c>
      <c r="F42">
        <v>1</v>
      </c>
      <c r="G42">
        <v>37</v>
      </c>
      <c r="H42">
        <v>3</v>
      </c>
      <c r="I42" t="s">
        <v>76</v>
      </c>
      <c r="J42" t="s">
        <v>3</v>
      </c>
      <c r="K42" t="s">
        <v>77</v>
      </c>
      <c r="L42">
        <v>1354</v>
      </c>
      <c r="N42">
        <v>1010</v>
      </c>
      <c r="O42" t="s">
        <v>29</v>
      </c>
      <c r="P42" t="s">
        <v>29</v>
      </c>
      <c r="Q42">
        <v>1</v>
      </c>
      <c r="X42">
        <v>1</v>
      </c>
      <c r="Y42">
        <v>0</v>
      </c>
      <c r="Z42">
        <v>0</v>
      </c>
      <c r="AA42">
        <v>0</v>
      </c>
      <c r="AB42">
        <v>0</v>
      </c>
      <c r="AC42">
        <v>0</v>
      </c>
      <c r="AD42">
        <v>0</v>
      </c>
      <c r="AE42">
        <v>0</v>
      </c>
      <c r="AF42" t="s">
        <v>21</v>
      </c>
      <c r="AG42">
        <v>0</v>
      </c>
      <c r="AH42">
        <v>2</v>
      </c>
      <c r="AI42">
        <v>78130874</v>
      </c>
      <c r="AJ42">
        <v>46</v>
      </c>
      <c r="AK42">
        <v>0</v>
      </c>
      <c r="AL42">
        <v>0</v>
      </c>
      <c r="AM42">
        <v>0</v>
      </c>
      <c r="AN42">
        <v>0</v>
      </c>
      <c r="AO42">
        <v>0</v>
      </c>
      <c r="AP42">
        <v>0</v>
      </c>
      <c r="AQ42">
        <v>0</v>
      </c>
      <c r="AR42">
        <v>0</v>
      </c>
    </row>
    <row r="43" spans="1:44" x14ac:dyDescent="0.2">
      <c r="A43">
        <f>ROW(Source!A49)</f>
        <v>49</v>
      </c>
      <c r="B43">
        <v>78131241</v>
      </c>
      <c r="C43">
        <v>78130875</v>
      </c>
      <c r="D43">
        <v>77806460</v>
      </c>
      <c r="E43">
        <v>37</v>
      </c>
      <c r="F43">
        <v>1</v>
      </c>
      <c r="G43">
        <v>37</v>
      </c>
      <c r="H43">
        <v>1</v>
      </c>
      <c r="I43" t="s">
        <v>254</v>
      </c>
      <c r="J43" t="s">
        <v>3</v>
      </c>
      <c r="K43" t="s">
        <v>255</v>
      </c>
      <c r="L43">
        <v>1191</v>
      </c>
      <c r="N43">
        <v>1013</v>
      </c>
      <c r="O43" t="s">
        <v>256</v>
      </c>
      <c r="P43" t="s">
        <v>256</v>
      </c>
      <c r="Q43">
        <v>1</v>
      </c>
      <c r="X43">
        <v>1.72</v>
      </c>
      <c r="Y43">
        <v>0</v>
      </c>
      <c r="Z43">
        <v>0</v>
      </c>
      <c r="AA43">
        <v>0</v>
      </c>
      <c r="AB43">
        <v>0</v>
      </c>
      <c r="AC43">
        <v>0</v>
      </c>
      <c r="AD43">
        <v>1</v>
      </c>
      <c r="AE43">
        <v>1</v>
      </c>
      <c r="AF43" t="s">
        <v>22</v>
      </c>
      <c r="AG43">
        <v>0.34400000000000003</v>
      </c>
      <c r="AH43">
        <v>2</v>
      </c>
      <c r="AI43">
        <v>78130876</v>
      </c>
      <c r="AJ43">
        <v>47</v>
      </c>
      <c r="AK43">
        <v>0</v>
      </c>
      <c r="AL43">
        <v>0</v>
      </c>
      <c r="AM43">
        <v>0</v>
      </c>
      <c r="AN43">
        <v>0</v>
      </c>
      <c r="AO43">
        <v>0</v>
      </c>
      <c r="AP43">
        <v>0</v>
      </c>
      <c r="AQ43">
        <v>0</v>
      </c>
      <c r="AR43">
        <v>0</v>
      </c>
    </row>
    <row r="44" spans="1:44" x14ac:dyDescent="0.2">
      <c r="A44">
        <f>ROW(Source!A49)</f>
        <v>49</v>
      </c>
      <c r="B44">
        <v>78131242</v>
      </c>
      <c r="C44">
        <v>78130875</v>
      </c>
      <c r="D44">
        <v>77810523</v>
      </c>
      <c r="E44">
        <v>1</v>
      </c>
      <c r="F44">
        <v>1</v>
      </c>
      <c r="G44">
        <v>37</v>
      </c>
      <c r="H44">
        <v>3</v>
      </c>
      <c r="I44" t="s">
        <v>298</v>
      </c>
      <c r="J44" t="s">
        <v>299</v>
      </c>
      <c r="K44" t="s">
        <v>300</v>
      </c>
      <c r="L44">
        <v>1346</v>
      </c>
      <c r="N44">
        <v>1009</v>
      </c>
      <c r="O44" t="s">
        <v>264</v>
      </c>
      <c r="P44" t="s">
        <v>264</v>
      </c>
      <c r="Q44">
        <v>1</v>
      </c>
      <c r="X44">
        <v>6.3E-2</v>
      </c>
      <c r="Y44">
        <v>745.17</v>
      </c>
      <c r="Z44">
        <v>0</v>
      </c>
      <c r="AA44">
        <v>0</v>
      </c>
      <c r="AB44">
        <v>0</v>
      </c>
      <c r="AC44">
        <v>0</v>
      </c>
      <c r="AD44">
        <v>1</v>
      </c>
      <c r="AE44">
        <v>0</v>
      </c>
      <c r="AF44" t="s">
        <v>21</v>
      </c>
      <c r="AG44">
        <v>0</v>
      </c>
      <c r="AH44">
        <v>2</v>
      </c>
      <c r="AI44">
        <v>78130877</v>
      </c>
      <c r="AJ44">
        <v>48</v>
      </c>
      <c r="AK44">
        <v>0</v>
      </c>
      <c r="AL44">
        <v>0</v>
      </c>
      <c r="AM44">
        <v>0</v>
      </c>
      <c r="AN44">
        <v>0</v>
      </c>
      <c r="AO44">
        <v>0</v>
      </c>
      <c r="AP44">
        <v>0</v>
      </c>
      <c r="AQ44">
        <v>0</v>
      </c>
      <c r="AR44">
        <v>0</v>
      </c>
    </row>
    <row r="45" spans="1:44" x14ac:dyDescent="0.2">
      <c r="A45">
        <f>ROW(Source!A49)</f>
        <v>49</v>
      </c>
      <c r="B45">
        <v>78131243</v>
      </c>
      <c r="C45">
        <v>78130875</v>
      </c>
      <c r="D45">
        <v>77808904</v>
      </c>
      <c r="E45">
        <v>1</v>
      </c>
      <c r="F45">
        <v>1</v>
      </c>
      <c r="G45">
        <v>37</v>
      </c>
      <c r="H45">
        <v>3</v>
      </c>
      <c r="I45" t="s">
        <v>307</v>
      </c>
      <c r="J45" t="s">
        <v>308</v>
      </c>
      <c r="K45" t="s">
        <v>309</v>
      </c>
      <c r="L45">
        <v>1348</v>
      </c>
      <c r="N45">
        <v>1009</v>
      </c>
      <c r="O45" t="s">
        <v>200</v>
      </c>
      <c r="P45" t="s">
        <v>200</v>
      </c>
      <c r="Q45">
        <v>1000</v>
      </c>
      <c r="X45">
        <v>1.2999999999999999E-4</v>
      </c>
      <c r="Y45">
        <v>115885.91</v>
      </c>
      <c r="Z45">
        <v>0</v>
      </c>
      <c r="AA45">
        <v>0</v>
      </c>
      <c r="AB45">
        <v>0</v>
      </c>
      <c r="AC45">
        <v>0</v>
      </c>
      <c r="AD45">
        <v>1</v>
      </c>
      <c r="AE45">
        <v>0</v>
      </c>
      <c r="AF45" t="s">
        <v>21</v>
      </c>
      <c r="AG45">
        <v>0</v>
      </c>
      <c r="AH45">
        <v>2</v>
      </c>
      <c r="AI45">
        <v>78130878</v>
      </c>
      <c r="AJ45">
        <v>49</v>
      </c>
      <c r="AK45">
        <v>0</v>
      </c>
      <c r="AL45">
        <v>0</v>
      </c>
      <c r="AM45">
        <v>0</v>
      </c>
      <c r="AN45">
        <v>0</v>
      </c>
      <c r="AO45">
        <v>0</v>
      </c>
      <c r="AP45">
        <v>0</v>
      </c>
      <c r="AQ45">
        <v>0</v>
      </c>
      <c r="AR45">
        <v>0</v>
      </c>
    </row>
    <row r="46" spans="1:44" x14ac:dyDescent="0.2">
      <c r="A46">
        <f>ROW(Source!A49)</f>
        <v>49</v>
      </c>
      <c r="B46">
        <v>78131244</v>
      </c>
      <c r="C46">
        <v>78130875</v>
      </c>
      <c r="D46">
        <v>77808945</v>
      </c>
      <c r="E46">
        <v>1</v>
      </c>
      <c r="F46">
        <v>1</v>
      </c>
      <c r="G46">
        <v>37</v>
      </c>
      <c r="H46">
        <v>3</v>
      </c>
      <c r="I46" t="s">
        <v>310</v>
      </c>
      <c r="J46" t="s">
        <v>311</v>
      </c>
      <c r="K46" t="s">
        <v>312</v>
      </c>
      <c r="L46">
        <v>1346</v>
      </c>
      <c r="N46">
        <v>1009</v>
      </c>
      <c r="O46" t="s">
        <v>264</v>
      </c>
      <c r="P46" t="s">
        <v>264</v>
      </c>
      <c r="Q46">
        <v>1</v>
      </c>
      <c r="X46">
        <v>6.3E-2</v>
      </c>
      <c r="Y46">
        <v>92.85</v>
      </c>
      <c r="Z46">
        <v>0</v>
      </c>
      <c r="AA46">
        <v>0</v>
      </c>
      <c r="AB46">
        <v>0</v>
      </c>
      <c r="AC46">
        <v>0</v>
      </c>
      <c r="AD46">
        <v>1</v>
      </c>
      <c r="AE46">
        <v>0</v>
      </c>
      <c r="AF46" t="s">
        <v>21</v>
      </c>
      <c r="AG46">
        <v>0</v>
      </c>
      <c r="AH46">
        <v>2</v>
      </c>
      <c r="AI46">
        <v>78130879</v>
      </c>
      <c r="AJ46">
        <v>50</v>
      </c>
      <c r="AK46">
        <v>0</v>
      </c>
      <c r="AL46">
        <v>0</v>
      </c>
      <c r="AM46">
        <v>0</v>
      </c>
      <c r="AN46">
        <v>0</v>
      </c>
      <c r="AO46">
        <v>0</v>
      </c>
      <c r="AP46">
        <v>0</v>
      </c>
      <c r="AQ46">
        <v>0</v>
      </c>
      <c r="AR46">
        <v>0</v>
      </c>
    </row>
    <row r="47" spans="1:44" x14ac:dyDescent="0.2">
      <c r="A47">
        <f>ROW(Source!A50)</f>
        <v>50</v>
      </c>
      <c r="B47">
        <v>78131245</v>
      </c>
      <c r="C47">
        <v>78130884</v>
      </c>
      <c r="D47">
        <v>77806460</v>
      </c>
      <c r="E47">
        <v>37</v>
      </c>
      <c r="F47">
        <v>1</v>
      </c>
      <c r="G47">
        <v>37</v>
      </c>
      <c r="H47">
        <v>1</v>
      </c>
      <c r="I47" t="s">
        <v>254</v>
      </c>
      <c r="J47" t="s">
        <v>3</v>
      </c>
      <c r="K47" t="s">
        <v>255</v>
      </c>
      <c r="L47">
        <v>1191</v>
      </c>
      <c r="N47">
        <v>1013</v>
      </c>
      <c r="O47" t="s">
        <v>256</v>
      </c>
      <c r="P47" t="s">
        <v>256</v>
      </c>
      <c r="Q47">
        <v>1</v>
      </c>
      <c r="X47">
        <v>0.86</v>
      </c>
      <c r="Y47">
        <v>0</v>
      </c>
      <c r="Z47">
        <v>0</v>
      </c>
      <c r="AA47">
        <v>0</v>
      </c>
      <c r="AB47">
        <v>0</v>
      </c>
      <c r="AC47">
        <v>0</v>
      </c>
      <c r="AD47">
        <v>1</v>
      </c>
      <c r="AE47">
        <v>1</v>
      </c>
      <c r="AF47" t="s">
        <v>3</v>
      </c>
      <c r="AG47">
        <v>0.86</v>
      </c>
      <c r="AH47">
        <v>2</v>
      </c>
      <c r="AI47">
        <v>78130885</v>
      </c>
      <c r="AJ47">
        <v>51</v>
      </c>
      <c r="AK47">
        <v>0</v>
      </c>
      <c r="AL47">
        <v>0</v>
      </c>
      <c r="AM47">
        <v>0</v>
      </c>
      <c r="AN47">
        <v>0</v>
      </c>
      <c r="AO47">
        <v>0</v>
      </c>
      <c r="AP47">
        <v>0</v>
      </c>
      <c r="AQ47">
        <v>0</v>
      </c>
      <c r="AR47">
        <v>0</v>
      </c>
    </row>
    <row r="48" spans="1:44" x14ac:dyDescent="0.2">
      <c r="A48">
        <f>ROW(Source!A50)</f>
        <v>50</v>
      </c>
      <c r="B48">
        <v>78131246</v>
      </c>
      <c r="C48">
        <v>78130884</v>
      </c>
      <c r="D48">
        <v>77807925</v>
      </c>
      <c r="E48">
        <v>1</v>
      </c>
      <c r="F48">
        <v>1</v>
      </c>
      <c r="G48">
        <v>37</v>
      </c>
      <c r="H48">
        <v>2</v>
      </c>
      <c r="I48" t="s">
        <v>313</v>
      </c>
      <c r="J48" t="s">
        <v>314</v>
      </c>
      <c r="K48" t="s">
        <v>315</v>
      </c>
      <c r="L48">
        <v>1368</v>
      </c>
      <c r="N48">
        <v>1011</v>
      </c>
      <c r="O48" t="s">
        <v>260</v>
      </c>
      <c r="P48" t="s">
        <v>260</v>
      </c>
      <c r="Q48">
        <v>1</v>
      </c>
      <c r="X48">
        <v>0.3</v>
      </c>
      <c r="Y48">
        <v>0</v>
      </c>
      <c r="Z48">
        <v>34.270000000000003</v>
      </c>
      <c r="AA48">
        <v>0.23</v>
      </c>
      <c r="AB48">
        <v>0</v>
      </c>
      <c r="AC48">
        <v>0</v>
      </c>
      <c r="AD48">
        <v>1</v>
      </c>
      <c r="AE48">
        <v>0</v>
      </c>
      <c r="AF48" t="s">
        <v>3</v>
      </c>
      <c r="AG48">
        <v>0.3</v>
      </c>
      <c r="AH48">
        <v>2</v>
      </c>
      <c r="AI48">
        <v>78130886</v>
      </c>
      <c r="AJ48">
        <v>52</v>
      </c>
      <c r="AK48">
        <v>0</v>
      </c>
      <c r="AL48">
        <v>0</v>
      </c>
      <c r="AM48">
        <v>0</v>
      </c>
      <c r="AN48">
        <v>0</v>
      </c>
      <c r="AO48">
        <v>0</v>
      </c>
      <c r="AP48">
        <v>0</v>
      </c>
      <c r="AQ48">
        <v>0</v>
      </c>
      <c r="AR48">
        <v>0</v>
      </c>
    </row>
    <row r="49" spans="1:44" x14ac:dyDescent="0.2">
      <c r="A49">
        <f>ROW(Source!A50)</f>
        <v>50</v>
      </c>
      <c r="B49">
        <v>78131247</v>
      </c>
      <c r="C49">
        <v>78130884</v>
      </c>
      <c r="D49">
        <v>77810399</v>
      </c>
      <c r="E49">
        <v>1</v>
      </c>
      <c r="F49">
        <v>1</v>
      </c>
      <c r="G49">
        <v>37</v>
      </c>
      <c r="H49">
        <v>3</v>
      </c>
      <c r="I49" t="s">
        <v>316</v>
      </c>
      <c r="J49" t="s">
        <v>317</v>
      </c>
      <c r="K49" t="s">
        <v>318</v>
      </c>
      <c r="L49">
        <v>1348</v>
      </c>
      <c r="N49">
        <v>1009</v>
      </c>
      <c r="O49" t="s">
        <v>200</v>
      </c>
      <c r="P49" t="s">
        <v>200</v>
      </c>
      <c r="Q49">
        <v>1000</v>
      </c>
      <c r="X49">
        <v>6.9999999999999994E-5</v>
      </c>
      <c r="Y49">
        <v>106831.32</v>
      </c>
      <c r="Z49">
        <v>0</v>
      </c>
      <c r="AA49">
        <v>0</v>
      </c>
      <c r="AB49">
        <v>0</v>
      </c>
      <c r="AC49">
        <v>0</v>
      </c>
      <c r="AD49">
        <v>1</v>
      </c>
      <c r="AE49">
        <v>0</v>
      </c>
      <c r="AF49" t="s">
        <v>3</v>
      </c>
      <c r="AG49">
        <v>6.9999999999999994E-5</v>
      </c>
      <c r="AH49">
        <v>2</v>
      </c>
      <c r="AI49">
        <v>78130887</v>
      </c>
      <c r="AJ49">
        <v>53</v>
      </c>
      <c r="AK49">
        <v>0</v>
      </c>
      <c r="AL49">
        <v>0</v>
      </c>
      <c r="AM49">
        <v>0</v>
      </c>
      <c r="AN49">
        <v>0</v>
      </c>
      <c r="AO49">
        <v>0</v>
      </c>
      <c r="AP49">
        <v>0</v>
      </c>
      <c r="AQ49">
        <v>0</v>
      </c>
      <c r="AR49">
        <v>0</v>
      </c>
    </row>
    <row r="50" spans="1:44" x14ac:dyDescent="0.2">
      <c r="A50">
        <f>ROW(Source!A50)</f>
        <v>50</v>
      </c>
      <c r="B50">
        <v>78131248</v>
      </c>
      <c r="C50">
        <v>78130884</v>
      </c>
      <c r="D50">
        <v>77806778</v>
      </c>
      <c r="E50">
        <v>37</v>
      </c>
      <c r="F50">
        <v>1</v>
      </c>
      <c r="G50">
        <v>37</v>
      </c>
      <c r="H50">
        <v>3</v>
      </c>
      <c r="I50" t="s">
        <v>76</v>
      </c>
      <c r="J50" t="s">
        <v>3</v>
      </c>
      <c r="K50" t="s">
        <v>77</v>
      </c>
      <c r="L50">
        <v>1354</v>
      </c>
      <c r="N50">
        <v>1010</v>
      </c>
      <c r="O50" t="s">
        <v>29</v>
      </c>
      <c r="P50" t="s">
        <v>29</v>
      </c>
      <c r="Q50">
        <v>1</v>
      </c>
      <c r="X50">
        <v>1</v>
      </c>
      <c r="Y50">
        <v>0</v>
      </c>
      <c r="Z50">
        <v>0</v>
      </c>
      <c r="AA50">
        <v>0</v>
      </c>
      <c r="AB50">
        <v>0</v>
      </c>
      <c r="AC50">
        <v>0</v>
      </c>
      <c r="AD50">
        <v>0</v>
      </c>
      <c r="AE50">
        <v>0</v>
      </c>
      <c r="AF50" t="s">
        <v>3</v>
      </c>
      <c r="AG50">
        <v>1</v>
      </c>
      <c r="AH50">
        <v>3</v>
      </c>
      <c r="AI50">
        <v>-1</v>
      </c>
      <c r="AJ50" t="s">
        <v>3</v>
      </c>
      <c r="AK50">
        <v>0</v>
      </c>
      <c r="AL50">
        <v>0</v>
      </c>
      <c r="AM50">
        <v>0</v>
      </c>
      <c r="AN50">
        <v>0</v>
      </c>
      <c r="AO50">
        <v>0</v>
      </c>
      <c r="AP50">
        <v>0</v>
      </c>
      <c r="AQ50">
        <v>0</v>
      </c>
      <c r="AR50">
        <v>0</v>
      </c>
    </row>
    <row r="51" spans="1:44" x14ac:dyDescent="0.2">
      <c r="A51">
        <f>ROW(Source!A53)</f>
        <v>53</v>
      </c>
      <c r="B51">
        <v>78131249</v>
      </c>
      <c r="C51">
        <v>78130896</v>
      </c>
      <c r="D51">
        <v>77806460</v>
      </c>
      <c r="E51">
        <v>37</v>
      </c>
      <c r="F51">
        <v>1</v>
      </c>
      <c r="G51">
        <v>37</v>
      </c>
      <c r="H51">
        <v>1</v>
      </c>
      <c r="I51" t="s">
        <v>254</v>
      </c>
      <c r="J51" t="s">
        <v>3</v>
      </c>
      <c r="K51" t="s">
        <v>255</v>
      </c>
      <c r="L51">
        <v>1191</v>
      </c>
      <c r="N51">
        <v>1013</v>
      </c>
      <c r="O51" t="s">
        <v>256</v>
      </c>
      <c r="P51" t="s">
        <v>256</v>
      </c>
      <c r="Q51">
        <v>1</v>
      </c>
      <c r="X51">
        <v>1.72</v>
      </c>
      <c r="Y51">
        <v>0</v>
      </c>
      <c r="Z51">
        <v>0</v>
      </c>
      <c r="AA51">
        <v>0</v>
      </c>
      <c r="AB51">
        <v>0</v>
      </c>
      <c r="AC51">
        <v>0</v>
      </c>
      <c r="AD51">
        <v>1</v>
      </c>
      <c r="AE51">
        <v>1</v>
      </c>
      <c r="AF51" t="s">
        <v>3</v>
      </c>
      <c r="AG51">
        <v>1.72</v>
      </c>
      <c r="AH51">
        <v>2</v>
      </c>
      <c r="AI51">
        <v>78130897</v>
      </c>
      <c r="AJ51">
        <v>56</v>
      </c>
      <c r="AK51">
        <v>0</v>
      </c>
      <c r="AL51">
        <v>0</v>
      </c>
      <c r="AM51">
        <v>0</v>
      </c>
      <c r="AN51">
        <v>0</v>
      </c>
      <c r="AO51">
        <v>0</v>
      </c>
      <c r="AP51">
        <v>0</v>
      </c>
      <c r="AQ51">
        <v>0</v>
      </c>
      <c r="AR51">
        <v>0</v>
      </c>
    </row>
    <row r="52" spans="1:44" x14ac:dyDescent="0.2">
      <c r="A52">
        <f>ROW(Source!A53)</f>
        <v>53</v>
      </c>
      <c r="B52">
        <v>78131250</v>
      </c>
      <c r="C52">
        <v>78130896</v>
      </c>
      <c r="D52">
        <v>77810523</v>
      </c>
      <c r="E52">
        <v>1</v>
      </c>
      <c r="F52">
        <v>1</v>
      </c>
      <c r="G52">
        <v>37</v>
      </c>
      <c r="H52">
        <v>3</v>
      </c>
      <c r="I52" t="s">
        <v>298</v>
      </c>
      <c r="J52" t="s">
        <v>299</v>
      </c>
      <c r="K52" t="s">
        <v>300</v>
      </c>
      <c r="L52">
        <v>1346</v>
      </c>
      <c r="N52">
        <v>1009</v>
      </c>
      <c r="O52" t="s">
        <v>264</v>
      </c>
      <c r="P52" t="s">
        <v>264</v>
      </c>
      <c r="Q52">
        <v>1</v>
      </c>
      <c r="X52">
        <v>6.3E-2</v>
      </c>
      <c r="Y52">
        <v>745.17</v>
      </c>
      <c r="Z52">
        <v>0</v>
      </c>
      <c r="AA52">
        <v>0</v>
      </c>
      <c r="AB52">
        <v>0</v>
      </c>
      <c r="AC52">
        <v>0</v>
      </c>
      <c r="AD52">
        <v>1</v>
      </c>
      <c r="AE52">
        <v>0</v>
      </c>
      <c r="AF52" t="s">
        <v>3</v>
      </c>
      <c r="AG52">
        <v>6.3E-2</v>
      </c>
      <c r="AH52">
        <v>2</v>
      </c>
      <c r="AI52">
        <v>78130898</v>
      </c>
      <c r="AJ52">
        <v>57</v>
      </c>
      <c r="AK52">
        <v>0</v>
      </c>
      <c r="AL52">
        <v>0</v>
      </c>
      <c r="AM52">
        <v>0</v>
      </c>
      <c r="AN52">
        <v>0</v>
      </c>
      <c r="AO52">
        <v>0</v>
      </c>
      <c r="AP52">
        <v>0</v>
      </c>
      <c r="AQ52">
        <v>0</v>
      </c>
      <c r="AR52">
        <v>0</v>
      </c>
    </row>
    <row r="53" spans="1:44" x14ac:dyDescent="0.2">
      <c r="A53">
        <f>ROW(Source!A53)</f>
        <v>53</v>
      </c>
      <c r="B53">
        <v>78131251</v>
      </c>
      <c r="C53">
        <v>78130896</v>
      </c>
      <c r="D53">
        <v>77808904</v>
      </c>
      <c r="E53">
        <v>1</v>
      </c>
      <c r="F53">
        <v>1</v>
      </c>
      <c r="G53">
        <v>37</v>
      </c>
      <c r="H53">
        <v>3</v>
      </c>
      <c r="I53" t="s">
        <v>307</v>
      </c>
      <c r="J53" t="s">
        <v>308</v>
      </c>
      <c r="K53" t="s">
        <v>309</v>
      </c>
      <c r="L53">
        <v>1348</v>
      </c>
      <c r="N53">
        <v>1009</v>
      </c>
      <c r="O53" t="s">
        <v>200</v>
      </c>
      <c r="P53" t="s">
        <v>200</v>
      </c>
      <c r="Q53">
        <v>1000</v>
      </c>
      <c r="X53">
        <v>1.2999999999999999E-4</v>
      </c>
      <c r="Y53">
        <v>115885.91</v>
      </c>
      <c r="Z53">
        <v>0</v>
      </c>
      <c r="AA53">
        <v>0</v>
      </c>
      <c r="AB53">
        <v>0</v>
      </c>
      <c r="AC53">
        <v>0</v>
      </c>
      <c r="AD53">
        <v>1</v>
      </c>
      <c r="AE53">
        <v>0</v>
      </c>
      <c r="AF53" t="s">
        <v>3</v>
      </c>
      <c r="AG53">
        <v>1.2999999999999999E-4</v>
      </c>
      <c r="AH53">
        <v>2</v>
      </c>
      <c r="AI53">
        <v>78130899</v>
      </c>
      <c r="AJ53">
        <v>59</v>
      </c>
      <c r="AK53">
        <v>0</v>
      </c>
      <c r="AL53">
        <v>0</v>
      </c>
      <c r="AM53">
        <v>0</v>
      </c>
      <c r="AN53">
        <v>0</v>
      </c>
      <c r="AO53">
        <v>0</v>
      </c>
      <c r="AP53">
        <v>0</v>
      </c>
      <c r="AQ53">
        <v>0</v>
      </c>
      <c r="AR53">
        <v>0</v>
      </c>
    </row>
    <row r="54" spans="1:44" x14ac:dyDescent="0.2">
      <c r="A54">
        <f>ROW(Source!A53)</f>
        <v>53</v>
      </c>
      <c r="B54">
        <v>78131252</v>
      </c>
      <c r="C54">
        <v>78130896</v>
      </c>
      <c r="D54">
        <v>77808945</v>
      </c>
      <c r="E54">
        <v>1</v>
      </c>
      <c r="F54">
        <v>1</v>
      </c>
      <c r="G54">
        <v>37</v>
      </c>
      <c r="H54">
        <v>3</v>
      </c>
      <c r="I54" t="s">
        <v>310</v>
      </c>
      <c r="J54" t="s">
        <v>311</v>
      </c>
      <c r="K54" t="s">
        <v>312</v>
      </c>
      <c r="L54">
        <v>1346</v>
      </c>
      <c r="N54">
        <v>1009</v>
      </c>
      <c r="O54" t="s">
        <v>264</v>
      </c>
      <c r="P54" t="s">
        <v>264</v>
      </c>
      <c r="Q54">
        <v>1</v>
      </c>
      <c r="X54">
        <v>6.3E-2</v>
      </c>
      <c r="Y54">
        <v>92.85</v>
      </c>
      <c r="Z54">
        <v>0</v>
      </c>
      <c r="AA54">
        <v>0</v>
      </c>
      <c r="AB54">
        <v>0</v>
      </c>
      <c r="AC54">
        <v>0</v>
      </c>
      <c r="AD54">
        <v>1</v>
      </c>
      <c r="AE54">
        <v>0</v>
      </c>
      <c r="AF54" t="s">
        <v>3</v>
      </c>
      <c r="AG54">
        <v>6.3E-2</v>
      </c>
      <c r="AH54">
        <v>2</v>
      </c>
      <c r="AI54">
        <v>78130900</v>
      </c>
      <c r="AJ54">
        <v>60</v>
      </c>
      <c r="AK54">
        <v>0</v>
      </c>
      <c r="AL54">
        <v>0</v>
      </c>
      <c r="AM54">
        <v>0</v>
      </c>
      <c r="AN54">
        <v>0</v>
      </c>
      <c r="AO54">
        <v>0</v>
      </c>
      <c r="AP54">
        <v>0</v>
      </c>
      <c r="AQ54">
        <v>0</v>
      </c>
      <c r="AR54">
        <v>0</v>
      </c>
    </row>
    <row r="55" spans="1:44" x14ac:dyDescent="0.2">
      <c r="A55">
        <f>ROW(Source!A124)</f>
        <v>124</v>
      </c>
      <c r="B55">
        <v>78131253</v>
      </c>
      <c r="C55">
        <v>78131019</v>
      </c>
      <c r="D55">
        <v>77806460</v>
      </c>
      <c r="E55">
        <v>37</v>
      </c>
      <c r="F55">
        <v>1</v>
      </c>
      <c r="G55">
        <v>37</v>
      </c>
      <c r="H55">
        <v>1</v>
      </c>
      <c r="I55" t="s">
        <v>254</v>
      </c>
      <c r="J55" t="s">
        <v>3</v>
      </c>
      <c r="K55" t="s">
        <v>255</v>
      </c>
      <c r="L55">
        <v>1191</v>
      </c>
      <c r="N55">
        <v>1013</v>
      </c>
      <c r="O55" t="s">
        <v>256</v>
      </c>
      <c r="P55" t="s">
        <v>256</v>
      </c>
      <c r="Q55">
        <v>1</v>
      </c>
      <c r="X55">
        <v>60.32</v>
      </c>
      <c r="Y55">
        <v>0</v>
      </c>
      <c r="Z55">
        <v>0</v>
      </c>
      <c r="AA55">
        <v>0</v>
      </c>
      <c r="AB55">
        <v>0</v>
      </c>
      <c r="AC55">
        <v>0</v>
      </c>
      <c r="AD55">
        <v>1</v>
      </c>
      <c r="AE55">
        <v>1</v>
      </c>
      <c r="AF55" t="s">
        <v>3</v>
      </c>
      <c r="AG55">
        <v>60.32</v>
      </c>
      <c r="AH55">
        <v>2</v>
      </c>
      <c r="AI55">
        <v>78131020</v>
      </c>
      <c r="AJ55">
        <v>61</v>
      </c>
      <c r="AK55">
        <v>0</v>
      </c>
      <c r="AL55">
        <v>0</v>
      </c>
      <c r="AM55">
        <v>0</v>
      </c>
      <c r="AN55">
        <v>0</v>
      </c>
      <c r="AO55">
        <v>0</v>
      </c>
      <c r="AP55">
        <v>0</v>
      </c>
      <c r="AQ55">
        <v>0</v>
      </c>
      <c r="AR55">
        <v>0</v>
      </c>
    </row>
    <row r="56" spans="1:44" x14ac:dyDescent="0.2">
      <c r="A56">
        <f>ROW(Source!A124)</f>
        <v>124</v>
      </c>
      <c r="B56">
        <v>78131254</v>
      </c>
      <c r="C56">
        <v>78131019</v>
      </c>
      <c r="D56">
        <v>77808418</v>
      </c>
      <c r="E56">
        <v>1</v>
      </c>
      <c r="F56">
        <v>1</v>
      </c>
      <c r="G56">
        <v>37</v>
      </c>
      <c r="H56">
        <v>2</v>
      </c>
      <c r="I56" t="s">
        <v>351</v>
      </c>
      <c r="J56" t="s">
        <v>352</v>
      </c>
      <c r="K56" t="s">
        <v>353</v>
      </c>
      <c r="L56">
        <v>1368</v>
      </c>
      <c r="N56">
        <v>1011</v>
      </c>
      <c r="O56" t="s">
        <v>260</v>
      </c>
      <c r="P56" t="s">
        <v>260</v>
      </c>
      <c r="Q56">
        <v>1</v>
      </c>
      <c r="X56">
        <v>4.75</v>
      </c>
      <c r="Y56">
        <v>0</v>
      </c>
      <c r="Z56">
        <v>24.76</v>
      </c>
      <c r="AA56">
        <v>1.81</v>
      </c>
      <c r="AB56">
        <v>0</v>
      </c>
      <c r="AC56">
        <v>0</v>
      </c>
      <c r="AD56">
        <v>1</v>
      </c>
      <c r="AE56">
        <v>0</v>
      </c>
      <c r="AF56" t="s">
        <v>3</v>
      </c>
      <c r="AG56">
        <v>4.75</v>
      </c>
      <c r="AH56">
        <v>3</v>
      </c>
      <c r="AI56">
        <v>-1</v>
      </c>
      <c r="AJ56" t="s">
        <v>3</v>
      </c>
      <c r="AK56">
        <v>0</v>
      </c>
      <c r="AL56">
        <v>0</v>
      </c>
      <c r="AM56">
        <v>0</v>
      </c>
      <c r="AN56">
        <v>0</v>
      </c>
      <c r="AO56">
        <v>0</v>
      </c>
      <c r="AP56">
        <v>0</v>
      </c>
      <c r="AQ56">
        <v>0</v>
      </c>
      <c r="AR56">
        <v>0</v>
      </c>
    </row>
    <row r="57" spans="1:44" x14ac:dyDescent="0.2">
      <c r="A57">
        <f>ROW(Source!A124)</f>
        <v>124</v>
      </c>
      <c r="B57">
        <v>78131255</v>
      </c>
      <c r="C57">
        <v>78131019</v>
      </c>
      <c r="D57">
        <v>77806461</v>
      </c>
      <c r="E57">
        <v>37</v>
      </c>
      <c r="F57">
        <v>1</v>
      </c>
      <c r="G57">
        <v>37</v>
      </c>
      <c r="H57">
        <v>3</v>
      </c>
      <c r="I57" t="s">
        <v>322</v>
      </c>
      <c r="J57" t="s">
        <v>3</v>
      </c>
      <c r="K57" t="s">
        <v>323</v>
      </c>
      <c r="L57">
        <v>1348</v>
      </c>
      <c r="N57">
        <v>1009</v>
      </c>
      <c r="O57" t="s">
        <v>200</v>
      </c>
      <c r="P57" t="s">
        <v>200</v>
      </c>
      <c r="Q57">
        <v>1000</v>
      </c>
      <c r="X57">
        <v>0.42199999999999999</v>
      </c>
      <c r="Y57">
        <v>0</v>
      </c>
      <c r="Z57">
        <v>0</v>
      </c>
      <c r="AA57">
        <v>0</v>
      </c>
      <c r="AB57">
        <v>0</v>
      </c>
      <c r="AC57">
        <v>0</v>
      </c>
      <c r="AD57">
        <v>1</v>
      </c>
      <c r="AE57">
        <v>0</v>
      </c>
      <c r="AF57" t="s">
        <v>3</v>
      </c>
      <c r="AG57">
        <v>0.42199999999999999</v>
      </c>
      <c r="AH57">
        <v>2</v>
      </c>
      <c r="AI57">
        <v>78131022</v>
      </c>
      <c r="AJ57">
        <v>63</v>
      </c>
      <c r="AK57">
        <v>0</v>
      </c>
      <c r="AL57">
        <v>0</v>
      </c>
      <c r="AM57">
        <v>0</v>
      </c>
      <c r="AN57">
        <v>0</v>
      </c>
      <c r="AO57">
        <v>0</v>
      </c>
      <c r="AP57">
        <v>0</v>
      </c>
      <c r="AQ57">
        <v>0</v>
      </c>
      <c r="AR57">
        <v>0</v>
      </c>
    </row>
    <row r="58" spans="1:44" x14ac:dyDescent="0.2">
      <c r="A58">
        <f>ROW(Source!A125)</f>
        <v>125</v>
      </c>
      <c r="B58">
        <v>78131256</v>
      </c>
      <c r="C58">
        <v>78131026</v>
      </c>
      <c r="D58">
        <v>77806460</v>
      </c>
      <c r="E58">
        <v>37</v>
      </c>
      <c r="F58">
        <v>1</v>
      </c>
      <c r="G58">
        <v>37</v>
      </c>
      <c r="H58">
        <v>1</v>
      </c>
      <c r="I58" t="s">
        <v>254</v>
      </c>
      <c r="J58" t="s">
        <v>3</v>
      </c>
      <c r="K58" t="s">
        <v>255</v>
      </c>
      <c r="L58">
        <v>1191</v>
      </c>
      <c r="N58">
        <v>1013</v>
      </c>
      <c r="O58" t="s">
        <v>256</v>
      </c>
      <c r="P58" t="s">
        <v>256</v>
      </c>
      <c r="Q58">
        <v>1</v>
      </c>
      <c r="X58">
        <v>59.13</v>
      </c>
      <c r="Y58">
        <v>0</v>
      </c>
      <c r="Z58">
        <v>0</v>
      </c>
      <c r="AA58">
        <v>0</v>
      </c>
      <c r="AB58">
        <v>0</v>
      </c>
      <c r="AC58">
        <v>0</v>
      </c>
      <c r="AD58">
        <v>1</v>
      </c>
      <c r="AE58">
        <v>1</v>
      </c>
      <c r="AF58" t="s">
        <v>3</v>
      </c>
      <c r="AG58">
        <v>59.13</v>
      </c>
      <c r="AH58">
        <v>2</v>
      </c>
      <c r="AI58">
        <v>78131027</v>
      </c>
      <c r="AJ58">
        <v>64</v>
      </c>
      <c r="AK58">
        <v>0</v>
      </c>
      <c r="AL58">
        <v>0</v>
      </c>
      <c r="AM58">
        <v>0</v>
      </c>
      <c r="AN58">
        <v>0</v>
      </c>
      <c r="AO58">
        <v>0</v>
      </c>
      <c r="AP58">
        <v>0</v>
      </c>
      <c r="AQ58">
        <v>0</v>
      </c>
      <c r="AR58">
        <v>0</v>
      </c>
    </row>
    <row r="59" spans="1:44" x14ac:dyDescent="0.2">
      <c r="A59">
        <f>ROW(Source!A125)</f>
        <v>125</v>
      </c>
      <c r="B59">
        <v>78131257</v>
      </c>
      <c r="C59">
        <v>78131026</v>
      </c>
      <c r="D59">
        <v>77807927</v>
      </c>
      <c r="E59">
        <v>1</v>
      </c>
      <c r="F59">
        <v>1</v>
      </c>
      <c r="G59">
        <v>37</v>
      </c>
      <c r="H59">
        <v>2</v>
      </c>
      <c r="I59" t="s">
        <v>324</v>
      </c>
      <c r="J59" t="s">
        <v>325</v>
      </c>
      <c r="K59" t="s">
        <v>326</v>
      </c>
      <c r="L59">
        <v>1368</v>
      </c>
      <c r="N59">
        <v>1011</v>
      </c>
      <c r="O59" t="s">
        <v>260</v>
      </c>
      <c r="P59" t="s">
        <v>260</v>
      </c>
      <c r="Q59">
        <v>1</v>
      </c>
      <c r="X59">
        <v>7.98</v>
      </c>
      <c r="Y59">
        <v>0</v>
      </c>
      <c r="Z59">
        <v>7.29</v>
      </c>
      <c r="AA59">
        <v>0.24</v>
      </c>
      <c r="AB59">
        <v>0</v>
      </c>
      <c r="AC59">
        <v>0</v>
      </c>
      <c r="AD59">
        <v>1</v>
      </c>
      <c r="AE59">
        <v>0</v>
      </c>
      <c r="AF59" t="s">
        <v>3</v>
      </c>
      <c r="AG59">
        <v>7.98</v>
      </c>
      <c r="AH59">
        <v>2</v>
      </c>
      <c r="AI59">
        <v>78131028</v>
      </c>
      <c r="AJ59">
        <v>65</v>
      </c>
      <c r="AK59">
        <v>0</v>
      </c>
      <c r="AL59">
        <v>0</v>
      </c>
      <c r="AM59">
        <v>0</v>
      </c>
      <c r="AN59">
        <v>0</v>
      </c>
      <c r="AO59">
        <v>0</v>
      </c>
      <c r="AP59">
        <v>0</v>
      </c>
      <c r="AQ59">
        <v>0</v>
      </c>
      <c r="AR59">
        <v>0</v>
      </c>
    </row>
    <row r="60" spans="1:44" x14ac:dyDescent="0.2">
      <c r="A60">
        <f>ROW(Source!A125)</f>
        <v>125</v>
      </c>
      <c r="B60">
        <v>78131258</v>
      </c>
      <c r="C60">
        <v>78131026</v>
      </c>
      <c r="D60">
        <v>77808724</v>
      </c>
      <c r="E60">
        <v>1</v>
      </c>
      <c r="F60">
        <v>1</v>
      </c>
      <c r="G60">
        <v>37</v>
      </c>
      <c r="H60">
        <v>3</v>
      </c>
      <c r="I60" t="s">
        <v>301</v>
      </c>
      <c r="J60" t="s">
        <v>302</v>
      </c>
      <c r="K60" t="s">
        <v>303</v>
      </c>
      <c r="L60">
        <v>1339</v>
      </c>
      <c r="N60">
        <v>1007</v>
      </c>
      <c r="O60" t="s">
        <v>281</v>
      </c>
      <c r="P60" t="s">
        <v>281</v>
      </c>
      <c r="Q60">
        <v>1</v>
      </c>
      <c r="X60">
        <v>1.52</v>
      </c>
      <c r="Y60">
        <v>89.3</v>
      </c>
      <c r="Z60">
        <v>0</v>
      </c>
      <c r="AA60">
        <v>0</v>
      </c>
      <c r="AB60">
        <v>0</v>
      </c>
      <c r="AC60">
        <v>0</v>
      </c>
      <c r="AD60">
        <v>1</v>
      </c>
      <c r="AE60">
        <v>0</v>
      </c>
      <c r="AF60" t="s">
        <v>3</v>
      </c>
      <c r="AG60">
        <v>1.52</v>
      </c>
      <c r="AH60">
        <v>2</v>
      </c>
      <c r="AI60">
        <v>78131029</v>
      </c>
      <c r="AJ60">
        <v>66</v>
      </c>
      <c r="AK60">
        <v>0</v>
      </c>
      <c r="AL60">
        <v>0</v>
      </c>
      <c r="AM60">
        <v>0</v>
      </c>
      <c r="AN60">
        <v>0</v>
      </c>
      <c r="AO60">
        <v>0</v>
      </c>
      <c r="AP60">
        <v>0</v>
      </c>
      <c r="AQ60">
        <v>0</v>
      </c>
      <c r="AR60">
        <v>0</v>
      </c>
    </row>
    <row r="61" spans="1:44" x14ac:dyDescent="0.2">
      <c r="A61">
        <f>ROW(Source!A125)</f>
        <v>125</v>
      </c>
      <c r="B61">
        <v>78131259</v>
      </c>
      <c r="C61">
        <v>78131026</v>
      </c>
      <c r="D61">
        <v>77808716</v>
      </c>
      <c r="E61">
        <v>1</v>
      </c>
      <c r="F61">
        <v>1</v>
      </c>
      <c r="G61">
        <v>37</v>
      </c>
      <c r="H61">
        <v>3</v>
      </c>
      <c r="I61" t="s">
        <v>304</v>
      </c>
      <c r="J61" t="s">
        <v>305</v>
      </c>
      <c r="K61" t="s">
        <v>306</v>
      </c>
      <c r="L61">
        <v>1339</v>
      </c>
      <c r="N61">
        <v>1007</v>
      </c>
      <c r="O61" t="s">
        <v>281</v>
      </c>
      <c r="P61" t="s">
        <v>281</v>
      </c>
      <c r="Q61">
        <v>1</v>
      </c>
      <c r="X61">
        <v>0.33</v>
      </c>
      <c r="Y61">
        <v>698.15</v>
      </c>
      <c r="Z61">
        <v>0</v>
      </c>
      <c r="AA61">
        <v>0</v>
      </c>
      <c r="AB61">
        <v>0</v>
      </c>
      <c r="AC61">
        <v>0</v>
      </c>
      <c r="AD61">
        <v>1</v>
      </c>
      <c r="AE61">
        <v>0</v>
      </c>
      <c r="AF61" t="s">
        <v>3</v>
      </c>
      <c r="AG61">
        <v>0.33</v>
      </c>
      <c r="AH61">
        <v>2</v>
      </c>
      <c r="AI61">
        <v>78131030</v>
      </c>
      <c r="AJ61">
        <v>67</v>
      </c>
      <c r="AK61">
        <v>0</v>
      </c>
      <c r="AL61">
        <v>0</v>
      </c>
      <c r="AM61">
        <v>0</v>
      </c>
      <c r="AN61">
        <v>0</v>
      </c>
      <c r="AO61">
        <v>0</v>
      </c>
      <c r="AP61">
        <v>0</v>
      </c>
      <c r="AQ61">
        <v>0</v>
      </c>
      <c r="AR61">
        <v>0</v>
      </c>
    </row>
    <row r="62" spans="1:44" x14ac:dyDescent="0.2">
      <c r="A62">
        <f>ROW(Source!A126)</f>
        <v>126</v>
      </c>
      <c r="B62">
        <v>78131404</v>
      </c>
      <c r="C62">
        <v>78131403</v>
      </c>
      <c r="D62">
        <v>77806460</v>
      </c>
      <c r="E62">
        <v>37</v>
      </c>
      <c r="F62">
        <v>1</v>
      </c>
      <c r="G62">
        <v>37</v>
      </c>
      <c r="H62">
        <v>1</v>
      </c>
      <c r="I62" t="s">
        <v>254</v>
      </c>
      <c r="J62" t="s">
        <v>3</v>
      </c>
      <c r="K62" t="s">
        <v>255</v>
      </c>
      <c r="L62">
        <v>1191</v>
      </c>
      <c r="N62">
        <v>1013</v>
      </c>
      <c r="O62" t="s">
        <v>256</v>
      </c>
      <c r="P62" t="s">
        <v>256</v>
      </c>
      <c r="Q62">
        <v>1</v>
      </c>
      <c r="X62">
        <v>63.6</v>
      </c>
      <c r="Y62">
        <v>0</v>
      </c>
      <c r="Z62">
        <v>0</v>
      </c>
      <c r="AA62">
        <v>0</v>
      </c>
      <c r="AB62">
        <v>0</v>
      </c>
      <c r="AC62">
        <v>0</v>
      </c>
      <c r="AD62">
        <v>1</v>
      </c>
      <c r="AE62">
        <v>1</v>
      </c>
      <c r="AF62" t="s">
        <v>3</v>
      </c>
      <c r="AG62">
        <v>63.6</v>
      </c>
      <c r="AH62">
        <v>2</v>
      </c>
      <c r="AI62">
        <v>78131404</v>
      </c>
      <c r="AJ62">
        <v>68</v>
      </c>
      <c r="AK62">
        <v>0</v>
      </c>
      <c r="AL62">
        <v>0</v>
      </c>
      <c r="AM62">
        <v>0</v>
      </c>
      <c r="AN62">
        <v>0</v>
      </c>
      <c r="AO62">
        <v>0</v>
      </c>
      <c r="AP62">
        <v>0</v>
      </c>
      <c r="AQ62">
        <v>0</v>
      </c>
      <c r="AR62">
        <v>0</v>
      </c>
    </row>
    <row r="63" spans="1:44" x14ac:dyDescent="0.2">
      <c r="A63">
        <f>ROW(Source!A126)</f>
        <v>126</v>
      </c>
      <c r="B63">
        <v>78131405</v>
      </c>
      <c r="C63">
        <v>78131403</v>
      </c>
      <c r="D63">
        <v>77807927</v>
      </c>
      <c r="E63">
        <v>1</v>
      </c>
      <c r="F63">
        <v>1</v>
      </c>
      <c r="G63">
        <v>37</v>
      </c>
      <c r="H63">
        <v>2</v>
      </c>
      <c r="I63" t="s">
        <v>324</v>
      </c>
      <c r="J63" t="s">
        <v>325</v>
      </c>
      <c r="K63" t="s">
        <v>326</v>
      </c>
      <c r="L63">
        <v>1368</v>
      </c>
      <c r="N63">
        <v>1011</v>
      </c>
      <c r="O63" t="s">
        <v>260</v>
      </c>
      <c r="P63" t="s">
        <v>260</v>
      </c>
      <c r="Q63">
        <v>1</v>
      </c>
      <c r="X63">
        <v>20.75</v>
      </c>
      <c r="Y63">
        <v>0</v>
      </c>
      <c r="Z63">
        <v>7.29</v>
      </c>
      <c r="AA63">
        <v>0.24</v>
      </c>
      <c r="AB63">
        <v>0</v>
      </c>
      <c r="AC63">
        <v>0</v>
      </c>
      <c r="AD63">
        <v>1</v>
      </c>
      <c r="AE63">
        <v>0</v>
      </c>
      <c r="AF63" t="s">
        <v>3</v>
      </c>
      <c r="AG63">
        <v>20.75</v>
      </c>
      <c r="AH63">
        <v>2</v>
      </c>
      <c r="AI63">
        <v>78131405</v>
      </c>
      <c r="AJ63">
        <v>69</v>
      </c>
      <c r="AK63">
        <v>0</v>
      </c>
      <c r="AL63">
        <v>0</v>
      </c>
      <c r="AM63">
        <v>0</v>
      </c>
      <c r="AN63">
        <v>0</v>
      </c>
      <c r="AO63">
        <v>0</v>
      </c>
      <c r="AP63">
        <v>0</v>
      </c>
      <c r="AQ63">
        <v>0</v>
      </c>
      <c r="AR63">
        <v>0</v>
      </c>
    </row>
    <row r="64" spans="1:44" x14ac:dyDescent="0.2">
      <c r="A64">
        <f>ROW(Source!A126)</f>
        <v>126</v>
      </c>
      <c r="B64">
        <v>78131406</v>
      </c>
      <c r="C64">
        <v>78131403</v>
      </c>
      <c r="D64">
        <v>77806721</v>
      </c>
      <c r="E64">
        <v>37</v>
      </c>
      <c r="F64">
        <v>1</v>
      </c>
      <c r="G64">
        <v>37</v>
      </c>
      <c r="H64">
        <v>3</v>
      </c>
      <c r="I64" t="s">
        <v>27</v>
      </c>
      <c r="J64" t="s">
        <v>3</v>
      </c>
      <c r="K64" t="s">
        <v>28</v>
      </c>
      <c r="L64">
        <v>1354</v>
      </c>
      <c r="N64">
        <v>1010</v>
      </c>
      <c r="O64" t="s">
        <v>29</v>
      </c>
      <c r="P64" t="s">
        <v>29</v>
      </c>
      <c r="Q64">
        <v>1</v>
      </c>
      <c r="X64">
        <v>0</v>
      </c>
      <c r="Y64">
        <v>0</v>
      </c>
      <c r="Z64">
        <v>0</v>
      </c>
      <c r="AA64">
        <v>0</v>
      </c>
      <c r="AB64">
        <v>0</v>
      </c>
      <c r="AC64">
        <v>0</v>
      </c>
      <c r="AD64">
        <v>0</v>
      </c>
      <c r="AE64">
        <v>0</v>
      </c>
      <c r="AF64" t="s">
        <v>3</v>
      </c>
      <c r="AG64">
        <v>0</v>
      </c>
      <c r="AH64">
        <v>3</v>
      </c>
      <c r="AI64">
        <v>-1</v>
      </c>
      <c r="AJ64" t="s">
        <v>3</v>
      </c>
      <c r="AK64">
        <v>0</v>
      </c>
      <c r="AL64">
        <v>0</v>
      </c>
      <c r="AM64">
        <v>0</v>
      </c>
      <c r="AN64">
        <v>0</v>
      </c>
      <c r="AO64">
        <v>0</v>
      </c>
      <c r="AP64">
        <v>0</v>
      </c>
      <c r="AQ64">
        <v>0</v>
      </c>
      <c r="AR64">
        <v>0</v>
      </c>
    </row>
    <row r="65" spans="1:44" x14ac:dyDescent="0.2">
      <c r="A65">
        <f>ROW(Source!A126)</f>
        <v>126</v>
      </c>
      <c r="B65">
        <v>78131413</v>
      </c>
      <c r="C65">
        <v>78131403</v>
      </c>
      <c r="D65">
        <v>77806705</v>
      </c>
      <c r="E65">
        <v>37</v>
      </c>
      <c r="F65">
        <v>1</v>
      </c>
      <c r="G65">
        <v>37</v>
      </c>
      <c r="H65">
        <v>3</v>
      </c>
      <c r="I65" t="s">
        <v>275</v>
      </c>
      <c r="J65" t="s">
        <v>3</v>
      </c>
      <c r="K65" t="s">
        <v>277</v>
      </c>
      <c r="L65">
        <v>1346</v>
      </c>
      <c r="N65">
        <v>1009</v>
      </c>
      <c r="O65" t="s">
        <v>264</v>
      </c>
      <c r="P65" t="s">
        <v>264</v>
      </c>
      <c r="Q65">
        <v>1</v>
      </c>
      <c r="X65">
        <v>1.66E-2</v>
      </c>
      <c r="Y65">
        <v>67.221419999999995</v>
      </c>
      <c r="Z65">
        <v>0</v>
      </c>
      <c r="AA65">
        <v>0</v>
      </c>
      <c r="AB65">
        <v>0</v>
      </c>
      <c r="AC65">
        <v>0</v>
      </c>
      <c r="AD65">
        <v>1</v>
      </c>
      <c r="AE65">
        <v>0</v>
      </c>
      <c r="AF65" t="s">
        <v>3</v>
      </c>
      <c r="AG65">
        <v>1.66E-2</v>
      </c>
      <c r="AH65">
        <v>2</v>
      </c>
      <c r="AI65">
        <v>78131413</v>
      </c>
      <c r="AJ65">
        <v>70</v>
      </c>
      <c r="AK65">
        <v>0</v>
      </c>
      <c r="AL65">
        <v>0</v>
      </c>
      <c r="AM65">
        <v>0</v>
      </c>
      <c r="AN65">
        <v>0</v>
      </c>
      <c r="AO65">
        <v>0</v>
      </c>
      <c r="AP65">
        <v>0</v>
      </c>
      <c r="AQ65">
        <v>0</v>
      </c>
      <c r="AR65">
        <v>0</v>
      </c>
    </row>
    <row r="66" spans="1:44" x14ac:dyDescent="0.2">
      <c r="A66">
        <f>ROW(Source!A126)</f>
        <v>126</v>
      </c>
      <c r="B66">
        <v>78131411</v>
      </c>
      <c r="C66">
        <v>78131403</v>
      </c>
      <c r="D66">
        <v>77814390</v>
      </c>
      <c r="E66">
        <v>1</v>
      </c>
      <c r="F66">
        <v>1</v>
      </c>
      <c r="G66">
        <v>37</v>
      </c>
      <c r="H66">
        <v>3</v>
      </c>
      <c r="I66" t="s">
        <v>170</v>
      </c>
      <c r="J66" t="s">
        <v>172</v>
      </c>
      <c r="K66" t="s">
        <v>171</v>
      </c>
      <c r="L66">
        <v>1301</v>
      </c>
      <c r="N66">
        <v>1003</v>
      </c>
      <c r="O66" t="s">
        <v>33</v>
      </c>
      <c r="P66" t="s">
        <v>33</v>
      </c>
      <c r="Q66">
        <v>1</v>
      </c>
      <c r="X66">
        <v>100</v>
      </c>
      <c r="Y66">
        <v>476.24</v>
      </c>
      <c r="Z66">
        <v>0</v>
      </c>
      <c r="AA66">
        <v>0</v>
      </c>
      <c r="AB66">
        <v>0</v>
      </c>
      <c r="AC66">
        <v>0</v>
      </c>
      <c r="AD66">
        <v>1</v>
      </c>
      <c r="AE66">
        <v>0</v>
      </c>
      <c r="AF66" t="s">
        <v>3</v>
      </c>
      <c r="AG66">
        <v>100</v>
      </c>
      <c r="AH66">
        <v>2</v>
      </c>
      <c r="AI66">
        <v>78131411</v>
      </c>
      <c r="AJ66">
        <v>72</v>
      </c>
      <c r="AK66">
        <v>0</v>
      </c>
      <c r="AL66">
        <v>0</v>
      </c>
      <c r="AM66">
        <v>0</v>
      </c>
      <c r="AN66">
        <v>0</v>
      </c>
      <c r="AO66">
        <v>0</v>
      </c>
      <c r="AP66">
        <v>0</v>
      </c>
      <c r="AQ66">
        <v>0</v>
      </c>
      <c r="AR66">
        <v>0</v>
      </c>
    </row>
    <row r="67" spans="1:44" x14ac:dyDescent="0.2">
      <c r="A67">
        <f>ROW(Source!A126)</f>
        <v>126</v>
      </c>
      <c r="B67">
        <v>78131407</v>
      </c>
      <c r="C67">
        <v>78131403</v>
      </c>
      <c r="D67">
        <v>77810391</v>
      </c>
      <c r="E67">
        <v>1</v>
      </c>
      <c r="F67">
        <v>1</v>
      </c>
      <c r="G67">
        <v>37</v>
      </c>
      <c r="H67">
        <v>3</v>
      </c>
      <c r="I67" t="s">
        <v>327</v>
      </c>
      <c r="J67" t="s">
        <v>328</v>
      </c>
      <c r="K67" t="s">
        <v>329</v>
      </c>
      <c r="L67">
        <v>1346</v>
      </c>
      <c r="N67">
        <v>1009</v>
      </c>
      <c r="O67" t="s">
        <v>264</v>
      </c>
      <c r="P67" t="s">
        <v>264</v>
      </c>
      <c r="Q67">
        <v>1</v>
      </c>
      <c r="X67">
        <v>2.9999999999999997E-4</v>
      </c>
      <c r="Y67">
        <v>168.83</v>
      </c>
      <c r="Z67">
        <v>0</v>
      </c>
      <c r="AA67">
        <v>0</v>
      </c>
      <c r="AB67">
        <v>0</v>
      </c>
      <c r="AC67">
        <v>0</v>
      </c>
      <c r="AD67">
        <v>1</v>
      </c>
      <c r="AE67">
        <v>0</v>
      </c>
      <c r="AF67" t="s">
        <v>3</v>
      </c>
      <c r="AG67">
        <v>2.9999999999999997E-4</v>
      </c>
      <c r="AH67">
        <v>2</v>
      </c>
      <c r="AI67">
        <v>78131407</v>
      </c>
      <c r="AJ67">
        <v>73</v>
      </c>
      <c r="AK67">
        <v>0</v>
      </c>
      <c r="AL67">
        <v>0</v>
      </c>
      <c r="AM67">
        <v>0</v>
      </c>
      <c r="AN67">
        <v>0</v>
      </c>
      <c r="AO67">
        <v>0</v>
      </c>
      <c r="AP67">
        <v>0</v>
      </c>
      <c r="AQ67">
        <v>0</v>
      </c>
      <c r="AR67">
        <v>0</v>
      </c>
    </row>
    <row r="68" spans="1:44" x14ac:dyDescent="0.2">
      <c r="A68">
        <f>ROW(Source!A126)</f>
        <v>126</v>
      </c>
      <c r="B68">
        <v>78131408</v>
      </c>
      <c r="C68">
        <v>78131403</v>
      </c>
      <c r="D68">
        <v>77810520</v>
      </c>
      <c r="E68">
        <v>1</v>
      </c>
      <c r="F68">
        <v>1</v>
      </c>
      <c r="G68">
        <v>37</v>
      </c>
      <c r="H68">
        <v>3</v>
      </c>
      <c r="I68" t="s">
        <v>278</v>
      </c>
      <c r="J68" t="s">
        <v>279</v>
      </c>
      <c r="K68" t="s">
        <v>280</v>
      </c>
      <c r="L68">
        <v>1339</v>
      </c>
      <c r="N68">
        <v>1007</v>
      </c>
      <c r="O68" t="s">
        <v>281</v>
      </c>
      <c r="P68" t="s">
        <v>281</v>
      </c>
      <c r="Q68">
        <v>1</v>
      </c>
      <c r="X68">
        <v>4.6399999999999997</v>
      </c>
      <c r="Y68">
        <v>49.83</v>
      </c>
      <c r="Z68">
        <v>0</v>
      </c>
      <c r="AA68">
        <v>0</v>
      </c>
      <c r="AB68">
        <v>0</v>
      </c>
      <c r="AC68">
        <v>0</v>
      </c>
      <c r="AD68">
        <v>1</v>
      </c>
      <c r="AE68">
        <v>0</v>
      </c>
      <c r="AF68" t="s">
        <v>3</v>
      </c>
      <c r="AG68">
        <v>4.6399999999999997</v>
      </c>
      <c r="AH68">
        <v>2</v>
      </c>
      <c r="AI68">
        <v>78131408</v>
      </c>
      <c r="AJ68">
        <v>74</v>
      </c>
      <c r="AK68">
        <v>0</v>
      </c>
      <c r="AL68">
        <v>0</v>
      </c>
      <c r="AM68">
        <v>0</v>
      </c>
      <c r="AN68">
        <v>0</v>
      </c>
      <c r="AO68">
        <v>0</v>
      </c>
      <c r="AP68">
        <v>0</v>
      </c>
      <c r="AQ68">
        <v>0</v>
      </c>
      <c r="AR68">
        <v>0</v>
      </c>
    </row>
    <row r="69" spans="1:44" x14ac:dyDescent="0.2">
      <c r="A69">
        <f>ROW(Source!A126)</f>
        <v>126</v>
      </c>
      <c r="B69">
        <v>78131409</v>
      </c>
      <c r="C69">
        <v>78131403</v>
      </c>
      <c r="D69">
        <v>77808724</v>
      </c>
      <c r="E69">
        <v>1</v>
      </c>
      <c r="F69">
        <v>1</v>
      </c>
      <c r="G69">
        <v>37</v>
      </c>
      <c r="H69">
        <v>3</v>
      </c>
      <c r="I69" t="s">
        <v>301</v>
      </c>
      <c r="J69" t="s">
        <v>302</v>
      </c>
      <c r="K69" t="s">
        <v>303</v>
      </c>
      <c r="L69">
        <v>1339</v>
      </c>
      <c r="N69">
        <v>1007</v>
      </c>
      <c r="O69" t="s">
        <v>281</v>
      </c>
      <c r="P69" t="s">
        <v>281</v>
      </c>
      <c r="Q69">
        <v>1</v>
      </c>
      <c r="X69">
        <v>0.45</v>
      </c>
      <c r="Y69">
        <v>89.3</v>
      </c>
      <c r="Z69">
        <v>0</v>
      </c>
      <c r="AA69">
        <v>0</v>
      </c>
      <c r="AB69">
        <v>0</v>
      </c>
      <c r="AC69">
        <v>0</v>
      </c>
      <c r="AD69">
        <v>1</v>
      </c>
      <c r="AE69">
        <v>0</v>
      </c>
      <c r="AF69" t="s">
        <v>3</v>
      </c>
      <c r="AG69">
        <v>0.45</v>
      </c>
      <c r="AH69">
        <v>2</v>
      </c>
      <c r="AI69">
        <v>78131409</v>
      </c>
      <c r="AJ69">
        <v>75</v>
      </c>
      <c r="AK69">
        <v>0</v>
      </c>
      <c r="AL69">
        <v>0</v>
      </c>
      <c r="AM69">
        <v>0</v>
      </c>
      <c r="AN69">
        <v>0</v>
      </c>
      <c r="AO69">
        <v>0</v>
      </c>
      <c r="AP69">
        <v>0</v>
      </c>
      <c r="AQ69">
        <v>0</v>
      </c>
      <c r="AR69">
        <v>0</v>
      </c>
    </row>
    <row r="70" spans="1:44" x14ac:dyDescent="0.2">
      <c r="A70">
        <f>ROW(Source!A126)</f>
        <v>126</v>
      </c>
      <c r="B70">
        <v>78131410</v>
      </c>
      <c r="C70">
        <v>78131403</v>
      </c>
      <c r="D70">
        <v>77808716</v>
      </c>
      <c r="E70">
        <v>1</v>
      </c>
      <c r="F70">
        <v>1</v>
      </c>
      <c r="G70">
        <v>37</v>
      </c>
      <c r="H70">
        <v>3</v>
      </c>
      <c r="I70" t="s">
        <v>304</v>
      </c>
      <c r="J70" t="s">
        <v>305</v>
      </c>
      <c r="K70" t="s">
        <v>306</v>
      </c>
      <c r="L70">
        <v>1339</v>
      </c>
      <c r="N70">
        <v>1007</v>
      </c>
      <c r="O70" t="s">
        <v>281</v>
      </c>
      <c r="P70" t="s">
        <v>281</v>
      </c>
      <c r="Q70">
        <v>1</v>
      </c>
      <c r="X70">
        <v>0.41</v>
      </c>
      <c r="Y70">
        <v>698.15</v>
      </c>
      <c r="Z70">
        <v>0</v>
      </c>
      <c r="AA70">
        <v>0</v>
      </c>
      <c r="AB70">
        <v>0</v>
      </c>
      <c r="AC70">
        <v>0</v>
      </c>
      <c r="AD70">
        <v>1</v>
      </c>
      <c r="AE70">
        <v>0</v>
      </c>
      <c r="AF70" t="s">
        <v>3</v>
      </c>
      <c r="AG70">
        <v>0.41</v>
      </c>
      <c r="AH70">
        <v>2</v>
      </c>
      <c r="AI70">
        <v>78131410</v>
      </c>
      <c r="AJ70">
        <v>76</v>
      </c>
      <c r="AK70">
        <v>0</v>
      </c>
      <c r="AL70">
        <v>0</v>
      </c>
      <c r="AM70">
        <v>0</v>
      </c>
      <c r="AN70">
        <v>0</v>
      </c>
      <c r="AO70">
        <v>0</v>
      </c>
      <c r="AP70">
        <v>0</v>
      </c>
      <c r="AQ70">
        <v>0</v>
      </c>
      <c r="AR70">
        <v>0</v>
      </c>
    </row>
    <row r="71" spans="1:44" x14ac:dyDescent="0.2">
      <c r="A71">
        <f>ROW(Source!A126)</f>
        <v>126</v>
      </c>
      <c r="B71">
        <v>78131412</v>
      </c>
      <c r="C71">
        <v>78131403</v>
      </c>
      <c r="D71">
        <v>77811604</v>
      </c>
      <c r="E71">
        <v>1</v>
      </c>
      <c r="F71">
        <v>1</v>
      </c>
      <c r="G71">
        <v>37</v>
      </c>
      <c r="H71">
        <v>3</v>
      </c>
      <c r="I71" t="s">
        <v>330</v>
      </c>
      <c r="J71" t="s">
        <v>331</v>
      </c>
      <c r="K71" t="s">
        <v>332</v>
      </c>
      <c r="L71">
        <v>1339</v>
      </c>
      <c r="N71">
        <v>1007</v>
      </c>
      <c r="O71" t="s">
        <v>281</v>
      </c>
      <c r="P71" t="s">
        <v>281</v>
      </c>
      <c r="Q71">
        <v>1</v>
      </c>
      <c r="X71">
        <v>7.0000000000000001E-3</v>
      </c>
      <c r="Y71">
        <v>4969.8599999999997</v>
      </c>
      <c r="Z71">
        <v>0</v>
      </c>
      <c r="AA71">
        <v>0</v>
      </c>
      <c r="AB71">
        <v>0</v>
      </c>
      <c r="AC71">
        <v>0</v>
      </c>
      <c r="AD71">
        <v>1</v>
      </c>
      <c r="AE71">
        <v>0</v>
      </c>
      <c r="AF71" t="s">
        <v>3</v>
      </c>
      <c r="AG71">
        <v>7.0000000000000001E-3</v>
      </c>
      <c r="AH71">
        <v>2</v>
      </c>
      <c r="AI71">
        <v>78131412</v>
      </c>
      <c r="AJ71">
        <v>77</v>
      </c>
      <c r="AK71">
        <v>0</v>
      </c>
      <c r="AL71">
        <v>0</v>
      </c>
      <c r="AM71">
        <v>0</v>
      </c>
      <c r="AN71">
        <v>0</v>
      </c>
      <c r="AO71">
        <v>0</v>
      </c>
      <c r="AP71">
        <v>0</v>
      </c>
      <c r="AQ71">
        <v>0</v>
      </c>
      <c r="AR71">
        <v>0</v>
      </c>
    </row>
    <row r="72" spans="1:44" x14ac:dyDescent="0.2">
      <c r="A72">
        <f>ROW(Source!A129)</f>
        <v>129</v>
      </c>
      <c r="B72">
        <v>78131416</v>
      </c>
      <c r="C72">
        <v>78131415</v>
      </c>
      <c r="D72">
        <v>77806460</v>
      </c>
      <c r="E72">
        <v>37</v>
      </c>
      <c r="F72">
        <v>1</v>
      </c>
      <c r="G72">
        <v>37</v>
      </c>
      <c r="H72">
        <v>1</v>
      </c>
      <c r="I72" t="s">
        <v>254</v>
      </c>
      <c r="J72" t="s">
        <v>3</v>
      </c>
      <c r="K72" t="s">
        <v>255</v>
      </c>
      <c r="L72">
        <v>1191</v>
      </c>
      <c r="N72">
        <v>1013</v>
      </c>
      <c r="O72" t="s">
        <v>256</v>
      </c>
      <c r="P72" t="s">
        <v>256</v>
      </c>
      <c r="Q72">
        <v>1</v>
      </c>
      <c r="X72">
        <v>83.38</v>
      </c>
      <c r="Y72">
        <v>0</v>
      </c>
      <c r="Z72">
        <v>0</v>
      </c>
      <c r="AA72">
        <v>0</v>
      </c>
      <c r="AB72">
        <v>0</v>
      </c>
      <c r="AC72">
        <v>0</v>
      </c>
      <c r="AD72">
        <v>1</v>
      </c>
      <c r="AE72">
        <v>1</v>
      </c>
      <c r="AF72" t="s">
        <v>3</v>
      </c>
      <c r="AG72">
        <v>83.38</v>
      </c>
      <c r="AH72">
        <v>2</v>
      </c>
      <c r="AI72">
        <v>78131416</v>
      </c>
      <c r="AJ72">
        <v>78</v>
      </c>
      <c r="AK72">
        <v>0</v>
      </c>
      <c r="AL72">
        <v>0</v>
      </c>
      <c r="AM72">
        <v>0</v>
      </c>
      <c r="AN72">
        <v>0</v>
      </c>
      <c r="AO72">
        <v>0</v>
      </c>
      <c r="AP72">
        <v>0</v>
      </c>
      <c r="AQ72">
        <v>0</v>
      </c>
      <c r="AR72">
        <v>0</v>
      </c>
    </row>
    <row r="73" spans="1:44" x14ac:dyDescent="0.2">
      <c r="A73">
        <f>ROW(Source!A129)</f>
        <v>129</v>
      </c>
      <c r="B73">
        <v>78131417</v>
      </c>
      <c r="C73">
        <v>78131415</v>
      </c>
      <c r="D73">
        <v>77807927</v>
      </c>
      <c r="E73">
        <v>1</v>
      </c>
      <c r="F73">
        <v>1</v>
      </c>
      <c r="G73">
        <v>37</v>
      </c>
      <c r="H73">
        <v>2</v>
      </c>
      <c r="I73" t="s">
        <v>324</v>
      </c>
      <c r="J73" t="s">
        <v>325</v>
      </c>
      <c r="K73" t="s">
        <v>326</v>
      </c>
      <c r="L73">
        <v>1368</v>
      </c>
      <c r="N73">
        <v>1011</v>
      </c>
      <c r="O73" t="s">
        <v>260</v>
      </c>
      <c r="P73" t="s">
        <v>260</v>
      </c>
      <c r="Q73">
        <v>1</v>
      </c>
      <c r="X73">
        <v>37.619999999999997</v>
      </c>
      <c r="Y73">
        <v>0</v>
      </c>
      <c r="Z73">
        <v>7.29</v>
      </c>
      <c r="AA73">
        <v>0.24</v>
      </c>
      <c r="AB73">
        <v>0</v>
      </c>
      <c r="AC73">
        <v>0</v>
      </c>
      <c r="AD73">
        <v>1</v>
      </c>
      <c r="AE73">
        <v>0</v>
      </c>
      <c r="AF73" t="s">
        <v>3</v>
      </c>
      <c r="AG73">
        <v>37.619999999999997</v>
      </c>
      <c r="AH73">
        <v>2</v>
      </c>
      <c r="AI73">
        <v>78131417</v>
      </c>
      <c r="AJ73">
        <v>79</v>
      </c>
      <c r="AK73">
        <v>0</v>
      </c>
      <c r="AL73">
        <v>0</v>
      </c>
      <c r="AM73">
        <v>0</v>
      </c>
      <c r="AN73">
        <v>0</v>
      </c>
      <c r="AO73">
        <v>0</v>
      </c>
      <c r="AP73">
        <v>0</v>
      </c>
      <c r="AQ73">
        <v>0</v>
      </c>
      <c r="AR73">
        <v>0</v>
      </c>
    </row>
    <row r="74" spans="1:44" x14ac:dyDescent="0.2">
      <c r="A74">
        <f>ROW(Source!A129)</f>
        <v>129</v>
      </c>
      <c r="B74">
        <v>78131418</v>
      </c>
      <c r="C74">
        <v>78131415</v>
      </c>
      <c r="D74">
        <v>77806721</v>
      </c>
      <c r="E74">
        <v>37</v>
      </c>
      <c r="F74">
        <v>1</v>
      </c>
      <c r="G74">
        <v>37</v>
      </c>
      <c r="H74">
        <v>3</v>
      </c>
      <c r="I74" t="s">
        <v>27</v>
      </c>
      <c r="J74" t="s">
        <v>3</v>
      </c>
      <c r="K74" t="s">
        <v>28</v>
      </c>
      <c r="L74">
        <v>1354</v>
      </c>
      <c r="N74">
        <v>1010</v>
      </c>
      <c r="O74" t="s">
        <v>29</v>
      </c>
      <c r="P74" t="s">
        <v>29</v>
      </c>
      <c r="Q74">
        <v>1</v>
      </c>
      <c r="X74">
        <v>0</v>
      </c>
      <c r="Y74">
        <v>0</v>
      </c>
      <c r="Z74">
        <v>0</v>
      </c>
      <c r="AA74">
        <v>0</v>
      </c>
      <c r="AB74">
        <v>0</v>
      </c>
      <c r="AC74">
        <v>0</v>
      </c>
      <c r="AD74">
        <v>0</v>
      </c>
      <c r="AE74">
        <v>0</v>
      </c>
      <c r="AF74" t="s">
        <v>3</v>
      </c>
      <c r="AG74">
        <v>0</v>
      </c>
      <c r="AH74">
        <v>3</v>
      </c>
      <c r="AI74">
        <v>-1</v>
      </c>
      <c r="AJ74" t="s">
        <v>3</v>
      </c>
      <c r="AK74">
        <v>0</v>
      </c>
      <c r="AL74">
        <v>0</v>
      </c>
      <c r="AM74">
        <v>0</v>
      </c>
      <c r="AN74">
        <v>0</v>
      </c>
      <c r="AO74">
        <v>0</v>
      </c>
      <c r="AP74">
        <v>0</v>
      </c>
      <c r="AQ74">
        <v>0</v>
      </c>
      <c r="AR74">
        <v>0</v>
      </c>
    </row>
    <row r="75" spans="1:44" x14ac:dyDescent="0.2">
      <c r="A75">
        <f>ROW(Source!A129)</f>
        <v>129</v>
      </c>
      <c r="B75">
        <v>78131425</v>
      </c>
      <c r="C75">
        <v>78131415</v>
      </c>
      <c r="D75">
        <v>77806705</v>
      </c>
      <c r="E75">
        <v>37</v>
      </c>
      <c r="F75">
        <v>1</v>
      </c>
      <c r="G75">
        <v>37</v>
      </c>
      <c r="H75">
        <v>3</v>
      </c>
      <c r="I75" t="s">
        <v>275</v>
      </c>
      <c r="J75" t="s">
        <v>3</v>
      </c>
      <c r="K75" t="s">
        <v>277</v>
      </c>
      <c r="L75">
        <v>1346</v>
      </c>
      <c r="N75">
        <v>1009</v>
      </c>
      <c r="O75" t="s">
        <v>264</v>
      </c>
      <c r="P75" t="s">
        <v>264</v>
      </c>
      <c r="Q75">
        <v>1</v>
      </c>
      <c r="X75">
        <v>2.5100000000000001E-2</v>
      </c>
      <c r="Y75">
        <v>67.221419999999995</v>
      </c>
      <c r="Z75">
        <v>0</v>
      </c>
      <c r="AA75">
        <v>0</v>
      </c>
      <c r="AB75">
        <v>0</v>
      </c>
      <c r="AC75">
        <v>0</v>
      </c>
      <c r="AD75">
        <v>1</v>
      </c>
      <c r="AE75">
        <v>0</v>
      </c>
      <c r="AF75" t="s">
        <v>3</v>
      </c>
      <c r="AG75">
        <v>2.5100000000000001E-2</v>
      </c>
      <c r="AH75">
        <v>2</v>
      </c>
      <c r="AI75">
        <v>78131425</v>
      </c>
      <c r="AJ75">
        <v>80</v>
      </c>
      <c r="AK75">
        <v>0</v>
      </c>
      <c r="AL75">
        <v>0</v>
      </c>
      <c r="AM75">
        <v>0</v>
      </c>
      <c r="AN75">
        <v>0</v>
      </c>
      <c r="AO75">
        <v>0</v>
      </c>
      <c r="AP75">
        <v>0</v>
      </c>
      <c r="AQ75">
        <v>0</v>
      </c>
      <c r="AR75">
        <v>0</v>
      </c>
    </row>
    <row r="76" spans="1:44" x14ac:dyDescent="0.2">
      <c r="A76">
        <f>ROW(Source!A129)</f>
        <v>129</v>
      </c>
      <c r="B76">
        <v>78131423</v>
      </c>
      <c r="C76">
        <v>78131415</v>
      </c>
      <c r="D76">
        <v>77814392</v>
      </c>
      <c r="E76">
        <v>1</v>
      </c>
      <c r="F76">
        <v>1</v>
      </c>
      <c r="G76">
        <v>37</v>
      </c>
      <c r="H76">
        <v>3</v>
      </c>
      <c r="I76" t="s">
        <v>182</v>
      </c>
      <c r="J76" t="s">
        <v>184</v>
      </c>
      <c r="K76" t="s">
        <v>183</v>
      </c>
      <c r="L76">
        <v>1301</v>
      </c>
      <c r="N76">
        <v>1003</v>
      </c>
      <c r="O76" t="s">
        <v>33</v>
      </c>
      <c r="P76" t="s">
        <v>33</v>
      </c>
      <c r="Q76">
        <v>1</v>
      </c>
      <c r="X76">
        <v>100</v>
      </c>
      <c r="Y76">
        <v>752.92</v>
      </c>
      <c r="Z76">
        <v>0</v>
      </c>
      <c r="AA76">
        <v>0</v>
      </c>
      <c r="AB76">
        <v>0</v>
      </c>
      <c r="AC76">
        <v>0</v>
      </c>
      <c r="AD76">
        <v>1</v>
      </c>
      <c r="AE76">
        <v>0</v>
      </c>
      <c r="AF76" t="s">
        <v>3</v>
      </c>
      <c r="AG76">
        <v>100</v>
      </c>
      <c r="AH76">
        <v>2</v>
      </c>
      <c r="AI76">
        <v>78131423</v>
      </c>
      <c r="AJ76">
        <v>82</v>
      </c>
      <c r="AK76">
        <v>0</v>
      </c>
      <c r="AL76">
        <v>0</v>
      </c>
      <c r="AM76">
        <v>0</v>
      </c>
      <c r="AN76">
        <v>0</v>
      </c>
      <c r="AO76">
        <v>0</v>
      </c>
      <c r="AP76">
        <v>0</v>
      </c>
      <c r="AQ76">
        <v>0</v>
      </c>
      <c r="AR76">
        <v>0</v>
      </c>
    </row>
    <row r="77" spans="1:44" x14ac:dyDescent="0.2">
      <c r="A77">
        <f>ROW(Source!A129)</f>
        <v>129</v>
      </c>
      <c r="B77">
        <v>78131419</v>
      </c>
      <c r="C77">
        <v>78131415</v>
      </c>
      <c r="D77">
        <v>77810391</v>
      </c>
      <c r="E77">
        <v>1</v>
      </c>
      <c r="F77">
        <v>1</v>
      </c>
      <c r="G77">
        <v>37</v>
      </c>
      <c r="H77">
        <v>3</v>
      </c>
      <c r="I77" t="s">
        <v>327</v>
      </c>
      <c r="J77" t="s">
        <v>328</v>
      </c>
      <c r="K77" t="s">
        <v>329</v>
      </c>
      <c r="L77">
        <v>1346</v>
      </c>
      <c r="N77">
        <v>1009</v>
      </c>
      <c r="O77" t="s">
        <v>264</v>
      </c>
      <c r="P77" t="s">
        <v>264</v>
      </c>
      <c r="Q77">
        <v>1</v>
      </c>
      <c r="X77">
        <v>5.0000000000000001E-4</v>
      </c>
      <c r="Y77">
        <v>168.83</v>
      </c>
      <c r="Z77">
        <v>0</v>
      </c>
      <c r="AA77">
        <v>0</v>
      </c>
      <c r="AB77">
        <v>0</v>
      </c>
      <c r="AC77">
        <v>0</v>
      </c>
      <c r="AD77">
        <v>1</v>
      </c>
      <c r="AE77">
        <v>0</v>
      </c>
      <c r="AF77" t="s">
        <v>3</v>
      </c>
      <c r="AG77">
        <v>5.0000000000000001E-4</v>
      </c>
      <c r="AH77">
        <v>2</v>
      </c>
      <c r="AI77">
        <v>78131419</v>
      </c>
      <c r="AJ77">
        <v>83</v>
      </c>
      <c r="AK77">
        <v>0</v>
      </c>
      <c r="AL77">
        <v>0</v>
      </c>
      <c r="AM77">
        <v>0</v>
      </c>
      <c r="AN77">
        <v>0</v>
      </c>
      <c r="AO77">
        <v>0</v>
      </c>
      <c r="AP77">
        <v>0</v>
      </c>
      <c r="AQ77">
        <v>0</v>
      </c>
      <c r="AR77">
        <v>0</v>
      </c>
    </row>
    <row r="78" spans="1:44" x14ac:dyDescent="0.2">
      <c r="A78">
        <f>ROW(Source!A129)</f>
        <v>129</v>
      </c>
      <c r="B78">
        <v>78131420</v>
      </c>
      <c r="C78">
        <v>78131415</v>
      </c>
      <c r="D78">
        <v>77810520</v>
      </c>
      <c r="E78">
        <v>1</v>
      </c>
      <c r="F78">
        <v>1</v>
      </c>
      <c r="G78">
        <v>37</v>
      </c>
      <c r="H78">
        <v>3</v>
      </c>
      <c r="I78" t="s">
        <v>278</v>
      </c>
      <c r="J78" t="s">
        <v>279</v>
      </c>
      <c r="K78" t="s">
        <v>280</v>
      </c>
      <c r="L78">
        <v>1339</v>
      </c>
      <c r="N78">
        <v>1007</v>
      </c>
      <c r="O78" t="s">
        <v>281</v>
      </c>
      <c r="P78" t="s">
        <v>281</v>
      </c>
      <c r="Q78">
        <v>1</v>
      </c>
      <c r="X78">
        <v>7.03</v>
      </c>
      <c r="Y78">
        <v>49.83</v>
      </c>
      <c r="Z78">
        <v>0</v>
      </c>
      <c r="AA78">
        <v>0</v>
      </c>
      <c r="AB78">
        <v>0</v>
      </c>
      <c r="AC78">
        <v>0</v>
      </c>
      <c r="AD78">
        <v>1</v>
      </c>
      <c r="AE78">
        <v>0</v>
      </c>
      <c r="AF78" t="s">
        <v>3</v>
      </c>
      <c r="AG78">
        <v>7.03</v>
      </c>
      <c r="AH78">
        <v>2</v>
      </c>
      <c r="AI78">
        <v>78131420</v>
      </c>
      <c r="AJ78">
        <v>84</v>
      </c>
      <c r="AK78">
        <v>0</v>
      </c>
      <c r="AL78">
        <v>0</v>
      </c>
      <c r="AM78">
        <v>0</v>
      </c>
      <c r="AN78">
        <v>0</v>
      </c>
      <c r="AO78">
        <v>0</v>
      </c>
      <c r="AP78">
        <v>0</v>
      </c>
      <c r="AQ78">
        <v>0</v>
      </c>
      <c r="AR78">
        <v>0</v>
      </c>
    </row>
    <row r="79" spans="1:44" x14ac:dyDescent="0.2">
      <c r="A79">
        <f>ROW(Source!A129)</f>
        <v>129</v>
      </c>
      <c r="B79">
        <v>78131421</v>
      </c>
      <c r="C79">
        <v>78131415</v>
      </c>
      <c r="D79">
        <v>77808724</v>
      </c>
      <c r="E79">
        <v>1</v>
      </c>
      <c r="F79">
        <v>1</v>
      </c>
      <c r="G79">
        <v>37</v>
      </c>
      <c r="H79">
        <v>3</v>
      </c>
      <c r="I79" t="s">
        <v>301</v>
      </c>
      <c r="J79" t="s">
        <v>302</v>
      </c>
      <c r="K79" t="s">
        <v>303</v>
      </c>
      <c r="L79">
        <v>1339</v>
      </c>
      <c r="N79">
        <v>1007</v>
      </c>
      <c r="O79" t="s">
        <v>281</v>
      </c>
      <c r="P79" t="s">
        <v>281</v>
      </c>
      <c r="Q79">
        <v>1</v>
      </c>
      <c r="X79">
        <v>0.67</v>
      </c>
      <c r="Y79">
        <v>89.3</v>
      </c>
      <c r="Z79">
        <v>0</v>
      </c>
      <c r="AA79">
        <v>0</v>
      </c>
      <c r="AB79">
        <v>0</v>
      </c>
      <c r="AC79">
        <v>0</v>
      </c>
      <c r="AD79">
        <v>1</v>
      </c>
      <c r="AE79">
        <v>0</v>
      </c>
      <c r="AF79" t="s">
        <v>3</v>
      </c>
      <c r="AG79">
        <v>0.67</v>
      </c>
      <c r="AH79">
        <v>2</v>
      </c>
      <c r="AI79">
        <v>78131421</v>
      </c>
      <c r="AJ79">
        <v>85</v>
      </c>
      <c r="AK79">
        <v>0</v>
      </c>
      <c r="AL79">
        <v>0</v>
      </c>
      <c r="AM79">
        <v>0</v>
      </c>
      <c r="AN79">
        <v>0</v>
      </c>
      <c r="AO79">
        <v>0</v>
      </c>
      <c r="AP79">
        <v>0</v>
      </c>
      <c r="AQ79">
        <v>0</v>
      </c>
      <c r="AR79">
        <v>0</v>
      </c>
    </row>
    <row r="80" spans="1:44" x14ac:dyDescent="0.2">
      <c r="A80">
        <f>ROW(Source!A129)</f>
        <v>129</v>
      </c>
      <c r="B80">
        <v>78131422</v>
      </c>
      <c r="C80">
        <v>78131415</v>
      </c>
      <c r="D80">
        <v>77808716</v>
      </c>
      <c r="E80">
        <v>1</v>
      </c>
      <c r="F80">
        <v>1</v>
      </c>
      <c r="G80">
        <v>37</v>
      </c>
      <c r="H80">
        <v>3</v>
      </c>
      <c r="I80" t="s">
        <v>304</v>
      </c>
      <c r="J80" t="s">
        <v>305</v>
      </c>
      <c r="K80" t="s">
        <v>306</v>
      </c>
      <c r="L80">
        <v>1339</v>
      </c>
      <c r="N80">
        <v>1007</v>
      </c>
      <c r="O80" t="s">
        <v>281</v>
      </c>
      <c r="P80" t="s">
        <v>281</v>
      </c>
      <c r="Q80">
        <v>1</v>
      </c>
      <c r="X80">
        <v>0.61</v>
      </c>
      <c r="Y80">
        <v>698.15</v>
      </c>
      <c r="Z80">
        <v>0</v>
      </c>
      <c r="AA80">
        <v>0</v>
      </c>
      <c r="AB80">
        <v>0</v>
      </c>
      <c r="AC80">
        <v>0</v>
      </c>
      <c r="AD80">
        <v>1</v>
      </c>
      <c r="AE80">
        <v>0</v>
      </c>
      <c r="AF80" t="s">
        <v>3</v>
      </c>
      <c r="AG80">
        <v>0.61</v>
      </c>
      <c r="AH80">
        <v>2</v>
      </c>
      <c r="AI80">
        <v>78131422</v>
      </c>
      <c r="AJ80">
        <v>86</v>
      </c>
      <c r="AK80">
        <v>0</v>
      </c>
      <c r="AL80">
        <v>0</v>
      </c>
      <c r="AM80">
        <v>0</v>
      </c>
      <c r="AN80">
        <v>0</v>
      </c>
      <c r="AO80">
        <v>0</v>
      </c>
      <c r="AP80">
        <v>0</v>
      </c>
      <c r="AQ80">
        <v>0</v>
      </c>
      <c r="AR80">
        <v>0</v>
      </c>
    </row>
    <row r="81" spans="1:44" x14ac:dyDescent="0.2">
      <c r="A81">
        <f>ROW(Source!A129)</f>
        <v>129</v>
      </c>
      <c r="B81">
        <v>78131424</v>
      </c>
      <c r="C81">
        <v>78131415</v>
      </c>
      <c r="D81">
        <v>77811604</v>
      </c>
      <c r="E81">
        <v>1</v>
      </c>
      <c r="F81">
        <v>1</v>
      </c>
      <c r="G81">
        <v>37</v>
      </c>
      <c r="H81">
        <v>3</v>
      </c>
      <c r="I81" t="s">
        <v>330</v>
      </c>
      <c r="J81" t="s">
        <v>331</v>
      </c>
      <c r="K81" t="s">
        <v>332</v>
      </c>
      <c r="L81">
        <v>1339</v>
      </c>
      <c r="N81">
        <v>1007</v>
      </c>
      <c r="O81" t="s">
        <v>281</v>
      </c>
      <c r="P81" t="s">
        <v>281</v>
      </c>
      <c r="Q81">
        <v>1</v>
      </c>
      <c r="X81">
        <v>2.1000000000000001E-2</v>
      </c>
      <c r="Y81">
        <v>4969.8599999999997</v>
      </c>
      <c r="Z81">
        <v>0</v>
      </c>
      <c r="AA81">
        <v>0</v>
      </c>
      <c r="AB81">
        <v>0</v>
      </c>
      <c r="AC81">
        <v>0</v>
      </c>
      <c r="AD81">
        <v>1</v>
      </c>
      <c r="AE81">
        <v>0</v>
      </c>
      <c r="AF81" t="s">
        <v>3</v>
      </c>
      <c r="AG81">
        <v>2.1000000000000001E-2</v>
      </c>
      <c r="AH81">
        <v>2</v>
      </c>
      <c r="AI81">
        <v>78131424</v>
      </c>
      <c r="AJ81">
        <v>87</v>
      </c>
      <c r="AK81">
        <v>0</v>
      </c>
      <c r="AL81">
        <v>0</v>
      </c>
      <c r="AM81">
        <v>0</v>
      </c>
      <c r="AN81">
        <v>0</v>
      </c>
      <c r="AO81">
        <v>0</v>
      </c>
      <c r="AP81">
        <v>0</v>
      </c>
      <c r="AQ81">
        <v>0</v>
      </c>
      <c r="AR81">
        <v>0</v>
      </c>
    </row>
    <row r="82" spans="1:44" x14ac:dyDescent="0.2">
      <c r="A82">
        <f>ROW(Source!A132)</f>
        <v>132</v>
      </c>
      <c r="B82">
        <v>78131048</v>
      </c>
      <c r="C82">
        <v>78131035</v>
      </c>
      <c r="D82">
        <v>75473738</v>
      </c>
      <c r="E82">
        <v>75462080</v>
      </c>
      <c r="F82">
        <v>1</v>
      </c>
      <c r="G82">
        <v>37</v>
      </c>
      <c r="H82">
        <v>1</v>
      </c>
      <c r="I82" t="s">
        <v>254</v>
      </c>
      <c r="J82" t="s">
        <v>3</v>
      </c>
      <c r="K82" t="s">
        <v>255</v>
      </c>
      <c r="L82">
        <v>1191</v>
      </c>
      <c r="N82">
        <v>1013</v>
      </c>
      <c r="O82" t="s">
        <v>256</v>
      </c>
      <c r="P82" t="s">
        <v>256</v>
      </c>
      <c r="Q82">
        <v>1</v>
      </c>
      <c r="X82">
        <v>49.8</v>
      </c>
      <c r="Y82">
        <v>0</v>
      </c>
      <c r="Z82">
        <v>0</v>
      </c>
      <c r="AA82">
        <v>0</v>
      </c>
      <c r="AB82">
        <v>0</v>
      </c>
      <c r="AC82">
        <v>0</v>
      </c>
      <c r="AD82">
        <v>1</v>
      </c>
      <c r="AE82">
        <v>1</v>
      </c>
      <c r="AF82" t="s">
        <v>3</v>
      </c>
      <c r="AG82">
        <v>49.8</v>
      </c>
      <c r="AH82">
        <v>2</v>
      </c>
      <c r="AI82">
        <v>78131036</v>
      </c>
      <c r="AJ82">
        <v>88</v>
      </c>
      <c r="AK82">
        <v>0</v>
      </c>
      <c r="AL82">
        <v>0</v>
      </c>
      <c r="AM82">
        <v>0</v>
      </c>
      <c r="AN82">
        <v>0</v>
      </c>
      <c r="AO82">
        <v>0</v>
      </c>
      <c r="AP82">
        <v>0</v>
      </c>
      <c r="AQ82">
        <v>0</v>
      </c>
      <c r="AR82">
        <v>0</v>
      </c>
    </row>
    <row r="83" spans="1:44" x14ac:dyDescent="0.2">
      <c r="A83">
        <f>ROW(Source!A132)</f>
        <v>132</v>
      </c>
      <c r="B83">
        <v>78131049</v>
      </c>
      <c r="C83">
        <v>78131035</v>
      </c>
      <c r="D83">
        <v>75475172</v>
      </c>
      <c r="E83">
        <v>1</v>
      </c>
      <c r="F83">
        <v>1</v>
      </c>
      <c r="G83">
        <v>37</v>
      </c>
      <c r="H83">
        <v>2</v>
      </c>
      <c r="I83" t="s">
        <v>285</v>
      </c>
      <c r="J83" t="s">
        <v>340</v>
      </c>
      <c r="K83" t="s">
        <v>287</v>
      </c>
      <c r="L83">
        <v>1368</v>
      </c>
      <c r="N83">
        <v>1011</v>
      </c>
      <c r="O83" t="s">
        <v>260</v>
      </c>
      <c r="P83" t="s">
        <v>260</v>
      </c>
      <c r="Q83">
        <v>1</v>
      </c>
      <c r="X83">
        <v>2.11</v>
      </c>
      <c r="Y83">
        <v>0</v>
      </c>
      <c r="Z83">
        <v>59.8</v>
      </c>
      <c r="AA83">
        <v>7.0000000000000007E-2</v>
      </c>
      <c r="AB83">
        <v>0</v>
      </c>
      <c r="AC83">
        <v>0</v>
      </c>
      <c r="AD83">
        <v>1</v>
      </c>
      <c r="AE83">
        <v>0</v>
      </c>
      <c r="AF83" t="s">
        <v>3</v>
      </c>
      <c r="AG83">
        <v>2.11</v>
      </c>
      <c r="AH83">
        <v>2</v>
      </c>
      <c r="AI83">
        <v>78131037</v>
      </c>
      <c r="AJ83">
        <v>89</v>
      </c>
      <c r="AK83">
        <v>0</v>
      </c>
      <c r="AL83">
        <v>0</v>
      </c>
      <c r="AM83">
        <v>0</v>
      </c>
      <c r="AN83">
        <v>0</v>
      </c>
      <c r="AO83">
        <v>0</v>
      </c>
      <c r="AP83">
        <v>0</v>
      </c>
      <c r="AQ83">
        <v>0</v>
      </c>
      <c r="AR83">
        <v>0</v>
      </c>
    </row>
    <row r="84" spans="1:44" x14ac:dyDescent="0.2">
      <c r="A84">
        <f>ROW(Source!A132)</f>
        <v>132</v>
      </c>
      <c r="B84">
        <v>78131059</v>
      </c>
      <c r="C84">
        <v>78131035</v>
      </c>
      <c r="D84">
        <v>75473979</v>
      </c>
      <c r="E84">
        <v>75462080</v>
      </c>
      <c r="F84">
        <v>1</v>
      </c>
      <c r="G84">
        <v>37</v>
      </c>
      <c r="H84">
        <v>3</v>
      </c>
      <c r="I84" t="s">
        <v>275</v>
      </c>
      <c r="J84" t="s">
        <v>3</v>
      </c>
      <c r="K84" t="s">
        <v>277</v>
      </c>
      <c r="L84">
        <v>1346</v>
      </c>
      <c r="N84">
        <v>1009</v>
      </c>
      <c r="O84" t="s">
        <v>264</v>
      </c>
      <c r="P84" t="s">
        <v>264</v>
      </c>
      <c r="Q84">
        <v>1</v>
      </c>
      <c r="X84">
        <v>9.9000000000000008E-3</v>
      </c>
      <c r="Y84">
        <v>33344.089999999997</v>
      </c>
      <c r="Z84">
        <v>0</v>
      </c>
      <c r="AA84">
        <v>0</v>
      </c>
      <c r="AB84">
        <v>0</v>
      </c>
      <c r="AC84">
        <v>0</v>
      </c>
      <c r="AD84">
        <v>1</v>
      </c>
      <c r="AE84">
        <v>0</v>
      </c>
      <c r="AF84" t="s">
        <v>3</v>
      </c>
      <c r="AG84">
        <v>9.9000000000000008E-3</v>
      </c>
      <c r="AH84">
        <v>2</v>
      </c>
      <c r="AI84">
        <v>78131038</v>
      </c>
      <c r="AJ84">
        <v>90</v>
      </c>
      <c r="AK84">
        <v>0</v>
      </c>
      <c r="AL84">
        <v>0</v>
      </c>
      <c r="AM84">
        <v>0</v>
      </c>
      <c r="AN84">
        <v>0</v>
      </c>
      <c r="AO84">
        <v>0</v>
      </c>
      <c r="AP84">
        <v>0</v>
      </c>
      <c r="AQ84">
        <v>0</v>
      </c>
      <c r="AR84">
        <v>0</v>
      </c>
    </row>
    <row r="85" spans="1:44" x14ac:dyDescent="0.2">
      <c r="A85">
        <f>ROW(Source!A132)</f>
        <v>132</v>
      </c>
      <c r="B85">
        <v>78131058</v>
      </c>
      <c r="C85">
        <v>78131035</v>
      </c>
      <c r="D85">
        <v>75482685</v>
      </c>
      <c r="E85">
        <v>1</v>
      </c>
      <c r="F85">
        <v>1</v>
      </c>
      <c r="G85">
        <v>37</v>
      </c>
      <c r="H85">
        <v>3</v>
      </c>
      <c r="I85" t="s">
        <v>288</v>
      </c>
      <c r="J85" t="s">
        <v>341</v>
      </c>
      <c r="K85" t="s">
        <v>290</v>
      </c>
      <c r="L85">
        <v>1356</v>
      </c>
      <c r="N85">
        <v>1010</v>
      </c>
      <c r="O85" t="s">
        <v>291</v>
      </c>
      <c r="P85" t="s">
        <v>291</v>
      </c>
      <c r="Q85">
        <v>1000</v>
      </c>
      <c r="X85">
        <v>3.4000000000000002E-2</v>
      </c>
      <c r="Y85">
        <v>760.72</v>
      </c>
      <c r="Z85">
        <v>0</v>
      </c>
      <c r="AA85">
        <v>0</v>
      </c>
      <c r="AB85">
        <v>0</v>
      </c>
      <c r="AC85">
        <v>0</v>
      </c>
      <c r="AD85">
        <v>1</v>
      </c>
      <c r="AE85">
        <v>0</v>
      </c>
      <c r="AF85" t="s">
        <v>3</v>
      </c>
      <c r="AG85">
        <v>3.4000000000000002E-2</v>
      </c>
      <c r="AH85">
        <v>2</v>
      </c>
      <c r="AI85">
        <v>78131047</v>
      </c>
      <c r="AJ85">
        <v>91</v>
      </c>
      <c r="AK85">
        <v>0</v>
      </c>
      <c r="AL85">
        <v>0</v>
      </c>
      <c r="AM85">
        <v>0</v>
      </c>
      <c r="AN85">
        <v>0</v>
      </c>
      <c r="AO85">
        <v>0</v>
      </c>
      <c r="AP85">
        <v>0</v>
      </c>
      <c r="AQ85">
        <v>0</v>
      </c>
      <c r="AR85">
        <v>0</v>
      </c>
    </row>
    <row r="86" spans="1:44" x14ac:dyDescent="0.2">
      <c r="A86">
        <f>ROW(Source!A132)</f>
        <v>132</v>
      </c>
      <c r="B86">
        <v>78131057</v>
      </c>
      <c r="C86">
        <v>78131035</v>
      </c>
      <c r="D86">
        <v>75481594</v>
      </c>
      <c r="E86">
        <v>1</v>
      </c>
      <c r="F86">
        <v>1</v>
      </c>
      <c r="G86">
        <v>37</v>
      </c>
      <c r="H86">
        <v>3</v>
      </c>
      <c r="I86" t="s">
        <v>166</v>
      </c>
      <c r="J86" t="s">
        <v>354</v>
      </c>
      <c r="K86" t="s">
        <v>167</v>
      </c>
      <c r="L86">
        <v>1301</v>
      </c>
      <c r="N86">
        <v>1003</v>
      </c>
      <c r="O86" t="s">
        <v>33</v>
      </c>
      <c r="P86" t="s">
        <v>33</v>
      </c>
      <c r="Q86">
        <v>1</v>
      </c>
      <c r="X86">
        <v>100</v>
      </c>
      <c r="Y86">
        <v>99.65</v>
      </c>
      <c r="Z86">
        <v>0</v>
      </c>
      <c r="AA86">
        <v>0</v>
      </c>
      <c r="AB86">
        <v>0</v>
      </c>
      <c r="AC86">
        <v>0</v>
      </c>
      <c r="AD86">
        <v>1</v>
      </c>
      <c r="AE86">
        <v>0</v>
      </c>
      <c r="AF86" t="s">
        <v>3</v>
      </c>
      <c r="AG86">
        <v>100</v>
      </c>
      <c r="AH86">
        <v>2</v>
      </c>
      <c r="AI86">
        <v>78131046</v>
      </c>
      <c r="AJ86">
        <v>92</v>
      </c>
      <c r="AK86">
        <v>0</v>
      </c>
      <c r="AL86">
        <v>0</v>
      </c>
      <c r="AM86">
        <v>0</v>
      </c>
      <c r="AN86">
        <v>0</v>
      </c>
      <c r="AO86">
        <v>0</v>
      </c>
      <c r="AP86">
        <v>0</v>
      </c>
      <c r="AQ86">
        <v>0</v>
      </c>
      <c r="AR86">
        <v>0</v>
      </c>
    </row>
    <row r="87" spans="1:44" x14ac:dyDescent="0.2">
      <c r="A87">
        <f>ROW(Source!A132)</f>
        <v>132</v>
      </c>
      <c r="B87">
        <v>78131050</v>
      </c>
      <c r="C87">
        <v>78131035</v>
      </c>
      <c r="D87">
        <v>75477636</v>
      </c>
      <c r="E87">
        <v>1</v>
      </c>
      <c r="F87">
        <v>1</v>
      </c>
      <c r="G87">
        <v>37</v>
      </c>
      <c r="H87">
        <v>3</v>
      </c>
      <c r="I87" t="s">
        <v>295</v>
      </c>
      <c r="J87" t="s">
        <v>343</v>
      </c>
      <c r="K87" t="s">
        <v>297</v>
      </c>
      <c r="L87">
        <v>1348</v>
      </c>
      <c r="N87">
        <v>1009</v>
      </c>
      <c r="O87" t="s">
        <v>200</v>
      </c>
      <c r="P87" t="s">
        <v>200</v>
      </c>
      <c r="Q87">
        <v>1000</v>
      </c>
      <c r="X87">
        <v>4.0000000000000002E-4</v>
      </c>
      <c r="Y87">
        <v>55.951599999999999</v>
      </c>
      <c r="Z87">
        <v>0</v>
      </c>
      <c r="AA87">
        <v>0</v>
      </c>
      <c r="AB87">
        <v>0</v>
      </c>
      <c r="AC87">
        <v>0</v>
      </c>
      <c r="AD87">
        <v>1</v>
      </c>
      <c r="AE87">
        <v>0</v>
      </c>
      <c r="AF87" t="s">
        <v>3</v>
      </c>
      <c r="AG87">
        <v>4.0000000000000002E-4</v>
      </c>
      <c r="AH87">
        <v>2</v>
      </c>
      <c r="AI87">
        <v>78131039</v>
      </c>
      <c r="AJ87">
        <v>93</v>
      </c>
      <c r="AK87">
        <v>0</v>
      </c>
      <c r="AL87">
        <v>0</v>
      </c>
      <c r="AM87">
        <v>0</v>
      </c>
      <c r="AN87">
        <v>0</v>
      </c>
      <c r="AO87">
        <v>0</v>
      </c>
      <c r="AP87">
        <v>0</v>
      </c>
      <c r="AQ87">
        <v>0</v>
      </c>
      <c r="AR87">
        <v>0</v>
      </c>
    </row>
    <row r="88" spans="1:44" x14ac:dyDescent="0.2">
      <c r="A88">
        <f>ROW(Source!A132)</f>
        <v>132</v>
      </c>
      <c r="B88">
        <v>78131051</v>
      </c>
      <c r="C88">
        <v>78131035</v>
      </c>
      <c r="D88">
        <v>75477764</v>
      </c>
      <c r="E88">
        <v>1</v>
      </c>
      <c r="F88">
        <v>1</v>
      </c>
      <c r="G88">
        <v>37</v>
      </c>
      <c r="H88">
        <v>3</v>
      </c>
      <c r="I88" t="s">
        <v>278</v>
      </c>
      <c r="J88" t="s">
        <v>344</v>
      </c>
      <c r="K88" t="s">
        <v>280</v>
      </c>
      <c r="L88">
        <v>1339</v>
      </c>
      <c r="N88">
        <v>1007</v>
      </c>
      <c r="O88" t="s">
        <v>281</v>
      </c>
      <c r="P88" t="s">
        <v>281</v>
      </c>
      <c r="Q88">
        <v>1</v>
      </c>
      <c r="X88">
        <v>2.75</v>
      </c>
      <c r="Y88">
        <v>143335.38</v>
      </c>
      <c r="Z88">
        <v>0</v>
      </c>
      <c r="AA88">
        <v>0</v>
      </c>
      <c r="AB88">
        <v>0</v>
      </c>
      <c r="AC88">
        <v>0</v>
      </c>
      <c r="AD88">
        <v>1</v>
      </c>
      <c r="AE88">
        <v>0</v>
      </c>
      <c r="AF88" t="s">
        <v>3</v>
      </c>
      <c r="AG88">
        <v>2.75</v>
      </c>
      <c r="AH88">
        <v>2</v>
      </c>
      <c r="AI88">
        <v>78131040</v>
      </c>
      <c r="AJ88">
        <v>94</v>
      </c>
      <c r="AK88">
        <v>0</v>
      </c>
      <c r="AL88">
        <v>0</v>
      </c>
      <c r="AM88">
        <v>0</v>
      </c>
      <c r="AN88">
        <v>0</v>
      </c>
      <c r="AO88">
        <v>0</v>
      </c>
      <c r="AP88">
        <v>0</v>
      </c>
      <c r="AQ88">
        <v>0</v>
      </c>
      <c r="AR88">
        <v>0</v>
      </c>
    </row>
    <row r="89" spans="1:44" x14ac:dyDescent="0.2">
      <c r="A89">
        <f>ROW(Source!A132)</f>
        <v>132</v>
      </c>
      <c r="B89">
        <v>78131052</v>
      </c>
      <c r="C89">
        <v>78131035</v>
      </c>
      <c r="D89">
        <v>75477767</v>
      </c>
      <c r="E89">
        <v>1</v>
      </c>
      <c r="F89">
        <v>1</v>
      </c>
      <c r="G89">
        <v>37</v>
      </c>
      <c r="H89">
        <v>3</v>
      </c>
      <c r="I89" t="s">
        <v>298</v>
      </c>
      <c r="J89" t="s">
        <v>345</v>
      </c>
      <c r="K89" t="s">
        <v>300</v>
      </c>
      <c r="L89">
        <v>1346</v>
      </c>
      <c r="N89">
        <v>1009</v>
      </c>
      <c r="O89" t="s">
        <v>264</v>
      </c>
      <c r="P89" t="s">
        <v>264</v>
      </c>
      <c r="Q89">
        <v>1</v>
      </c>
      <c r="X89">
        <v>0.02</v>
      </c>
      <c r="Y89">
        <v>42.44</v>
      </c>
      <c r="Z89">
        <v>0</v>
      </c>
      <c r="AA89">
        <v>0</v>
      </c>
      <c r="AB89">
        <v>0</v>
      </c>
      <c r="AC89">
        <v>0</v>
      </c>
      <c r="AD89">
        <v>1</v>
      </c>
      <c r="AE89">
        <v>0</v>
      </c>
      <c r="AF89" t="s">
        <v>3</v>
      </c>
      <c r="AG89">
        <v>0.02</v>
      </c>
      <c r="AH89">
        <v>2</v>
      </c>
      <c r="AI89">
        <v>78131041</v>
      </c>
      <c r="AJ89">
        <v>95</v>
      </c>
      <c r="AK89">
        <v>0</v>
      </c>
      <c r="AL89">
        <v>0</v>
      </c>
      <c r="AM89">
        <v>0</v>
      </c>
      <c r="AN89">
        <v>0</v>
      </c>
      <c r="AO89">
        <v>0</v>
      </c>
      <c r="AP89">
        <v>0</v>
      </c>
      <c r="AQ89">
        <v>0</v>
      </c>
      <c r="AR89">
        <v>0</v>
      </c>
    </row>
    <row r="90" spans="1:44" x14ac:dyDescent="0.2">
      <c r="A90">
        <f>ROW(Source!A132)</f>
        <v>132</v>
      </c>
      <c r="B90">
        <v>78131053</v>
      </c>
      <c r="C90">
        <v>78131035</v>
      </c>
      <c r="D90">
        <v>75475973</v>
      </c>
      <c r="E90">
        <v>1</v>
      </c>
      <c r="F90">
        <v>1</v>
      </c>
      <c r="G90">
        <v>37</v>
      </c>
      <c r="H90">
        <v>3</v>
      </c>
      <c r="I90" t="s">
        <v>301</v>
      </c>
      <c r="J90" t="s">
        <v>346</v>
      </c>
      <c r="K90" t="s">
        <v>303</v>
      </c>
      <c r="L90">
        <v>1339</v>
      </c>
      <c r="N90">
        <v>1007</v>
      </c>
      <c r="O90" t="s">
        <v>281</v>
      </c>
      <c r="P90" t="s">
        <v>281</v>
      </c>
      <c r="Q90">
        <v>1</v>
      </c>
      <c r="X90">
        <v>0.64600000000000002</v>
      </c>
      <c r="Y90">
        <v>590.44000000000005</v>
      </c>
      <c r="Z90">
        <v>0</v>
      </c>
      <c r="AA90">
        <v>0</v>
      </c>
      <c r="AB90">
        <v>0</v>
      </c>
      <c r="AC90">
        <v>0</v>
      </c>
      <c r="AD90">
        <v>1</v>
      </c>
      <c r="AE90">
        <v>0</v>
      </c>
      <c r="AF90" t="s">
        <v>3</v>
      </c>
      <c r="AG90">
        <v>0.64600000000000002</v>
      </c>
      <c r="AH90">
        <v>2</v>
      </c>
      <c r="AI90">
        <v>78131042</v>
      </c>
      <c r="AJ90">
        <v>96</v>
      </c>
      <c r="AK90">
        <v>0</v>
      </c>
      <c r="AL90">
        <v>0</v>
      </c>
      <c r="AM90">
        <v>0</v>
      </c>
      <c r="AN90">
        <v>0</v>
      </c>
      <c r="AO90">
        <v>0</v>
      </c>
      <c r="AP90">
        <v>0</v>
      </c>
      <c r="AQ90">
        <v>0</v>
      </c>
      <c r="AR90">
        <v>0</v>
      </c>
    </row>
    <row r="91" spans="1:44" x14ac:dyDescent="0.2">
      <c r="A91">
        <f>ROW(Source!A132)</f>
        <v>132</v>
      </c>
      <c r="B91">
        <v>78131054</v>
      </c>
      <c r="C91">
        <v>78131035</v>
      </c>
      <c r="D91">
        <v>75475965</v>
      </c>
      <c r="E91">
        <v>1</v>
      </c>
      <c r="F91">
        <v>1</v>
      </c>
      <c r="G91">
        <v>37</v>
      </c>
      <c r="H91">
        <v>3</v>
      </c>
      <c r="I91" t="s">
        <v>304</v>
      </c>
      <c r="J91" t="s">
        <v>347</v>
      </c>
      <c r="K91" t="s">
        <v>306</v>
      </c>
      <c r="L91">
        <v>1339</v>
      </c>
      <c r="N91">
        <v>1007</v>
      </c>
      <c r="O91" t="s">
        <v>281</v>
      </c>
      <c r="P91" t="s">
        <v>281</v>
      </c>
      <c r="Q91">
        <v>1</v>
      </c>
      <c r="X91">
        <v>0.38</v>
      </c>
      <c r="Y91">
        <v>79.62</v>
      </c>
      <c r="Z91">
        <v>0</v>
      </c>
      <c r="AA91">
        <v>0</v>
      </c>
      <c r="AB91">
        <v>0</v>
      </c>
      <c r="AC91">
        <v>0</v>
      </c>
      <c r="AD91">
        <v>1</v>
      </c>
      <c r="AE91">
        <v>0</v>
      </c>
      <c r="AF91" t="s">
        <v>3</v>
      </c>
      <c r="AG91">
        <v>0.38</v>
      </c>
      <c r="AH91">
        <v>2</v>
      </c>
      <c r="AI91">
        <v>78131043</v>
      </c>
      <c r="AJ91">
        <v>97</v>
      </c>
      <c r="AK91">
        <v>0</v>
      </c>
      <c r="AL91">
        <v>0</v>
      </c>
      <c r="AM91">
        <v>0</v>
      </c>
      <c r="AN91">
        <v>0</v>
      </c>
      <c r="AO91">
        <v>0</v>
      </c>
      <c r="AP91">
        <v>0</v>
      </c>
      <c r="AQ91">
        <v>0</v>
      </c>
      <c r="AR91">
        <v>0</v>
      </c>
    </row>
    <row r="92" spans="1:44" x14ac:dyDescent="0.2">
      <c r="A92">
        <f>ROW(Source!A132)</f>
        <v>132</v>
      </c>
      <c r="B92">
        <v>78131055</v>
      </c>
      <c r="C92">
        <v>78131035</v>
      </c>
      <c r="D92">
        <v>75476153</v>
      </c>
      <c r="E92">
        <v>1</v>
      </c>
      <c r="F92">
        <v>1</v>
      </c>
      <c r="G92">
        <v>37</v>
      </c>
      <c r="H92">
        <v>3</v>
      </c>
      <c r="I92" t="s">
        <v>307</v>
      </c>
      <c r="J92" t="s">
        <v>348</v>
      </c>
      <c r="K92" t="s">
        <v>309</v>
      </c>
      <c r="L92">
        <v>1348</v>
      </c>
      <c r="N92">
        <v>1009</v>
      </c>
      <c r="O92" t="s">
        <v>200</v>
      </c>
      <c r="P92" t="s">
        <v>200</v>
      </c>
      <c r="Q92">
        <v>1000</v>
      </c>
      <c r="X92">
        <v>5.4000000000000001E-4</v>
      </c>
      <c r="Y92">
        <v>715.78</v>
      </c>
      <c r="Z92">
        <v>0</v>
      </c>
      <c r="AA92">
        <v>0</v>
      </c>
      <c r="AB92">
        <v>0</v>
      </c>
      <c r="AC92">
        <v>0</v>
      </c>
      <c r="AD92">
        <v>1</v>
      </c>
      <c r="AE92">
        <v>0</v>
      </c>
      <c r="AF92" t="s">
        <v>3</v>
      </c>
      <c r="AG92">
        <v>5.4000000000000001E-4</v>
      </c>
      <c r="AH92">
        <v>2</v>
      </c>
      <c r="AI92">
        <v>78131044</v>
      </c>
      <c r="AJ92">
        <v>98</v>
      </c>
      <c r="AK92">
        <v>0</v>
      </c>
      <c r="AL92">
        <v>0</v>
      </c>
      <c r="AM92">
        <v>0</v>
      </c>
      <c r="AN92">
        <v>0</v>
      </c>
      <c r="AO92">
        <v>0</v>
      </c>
      <c r="AP92">
        <v>0</v>
      </c>
      <c r="AQ92">
        <v>0</v>
      </c>
      <c r="AR92">
        <v>0</v>
      </c>
    </row>
    <row r="93" spans="1:44" x14ac:dyDescent="0.2">
      <c r="A93">
        <f>ROW(Source!A132)</f>
        <v>132</v>
      </c>
      <c r="B93">
        <v>78131056</v>
      </c>
      <c r="C93">
        <v>78131035</v>
      </c>
      <c r="D93">
        <v>75476194</v>
      </c>
      <c r="E93">
        <v>1</v>
      </c>
      <c r="F93">
        <v>1</v>
      </c>
      <c r="G93">
        <v>37</v>
      </c>
      <c r="H93">
        <v>3</v>
      </c>
      <c r="I93" t="s">
        <v>310</v>
      </c>
      <c r="J93" t="s">
        <v>349</v>
      </c>
      <c r="K93" t="s">
        <v>350</v>
      </c>
      <c r="L93">
        <v>1346</v>
      </c>
      <c r="N93">
        <v>1009</v>
      </c>
      <c r="O93" t="s">
        <v>264</v>
      </c>
      <c r="P93" t="s">
        <v>264</v>
      </c>
      <c r="Q93">
        <v>1</v>
      </c>
      <c r="X93">
        <v>0.62</v>
      </c>
      <c r="Y93">
        <v>108449.3</v>
      </c>
      <c r="Z93">
        <v>0</v>
      </c>
      <c r="AA93">
        <v>0</v>
      </c>
      <c r="AB93">
        <v>0</v>
      </c>
      <c r="AC93">
        <v>0</v>
      </c>
      <c r="AD93">
        <v>1</v>
      </c>
      <c r="AE93">
        <v>0</v>
      </c>
      <c r="AF93" t="s">
        <v>3</v>
      </c>
      <c r="AG93">
        <v>0.62</v>
      </c>
      <c r="AH93">
        <v>2</v>
      </c>
      <c r="AI93">
        <v>78131045</v>
      </c>
      <c r="AJ93">
        <v>99</v>
      </c>
      <c r="AK93">
        <v>0</v>
      </c>
      <c r="AL93">
        <v>0</v>
      </c>
      <c r="AM93">
        <v>0</v>
      </c>
      <c r="AN93">
        <v>0</v>
      </c>
      <c r="AO93">
        <v>0</v>
      </c>
      <c r="AP93">
        <v>0</v>
      </c>
      <c r="AQ93">
        <v>0</v>
      </c>
      <c r="AR93">
        <v>0</v>
      </c>
    </row>
    <row r="94" spans="1:44" x14ac:dyDescent="0.2">
      <c r="A94">
        <f>ROW(Source!A133)</f>
        <v>133</v>
      </c>
      <c r="B94">
        <v>78131071</v>
      </c>
      <c r="C94">
        <v>78131060</v>
      </c>
      <c r="D94">
        <v>75473738</v>
      </c>
      <c r="E94">
        <v>75462080</v>
      </c>
      <c r="F94">
        <v>1</v>
      </c>
      <c r="G94">
        <v>37</v>
      </c>
      <c r="H94">
        <v>1</v>
      </c>
      <c r="I94" t="s">
        <v>254</v>
      </c>
      <c r="J94" t="s">
        <v>3</v>
      </c>
      <c r="K94" t="s">
        <v>255</v>
      </c>
      <c r="L94">
        <v>1191</v>
      </c>
      <c r="N94">
        <v>1013</v>
      </c>
      <c r="O94" t="s">
        <v>256</v>
      </c>
      <c r="P94" t="s">
        <v>256</v>
      </c>
      <c r="Q94">
        <v>1</v>
      </c>
      <c r="X94">
        <v>63.82</v>
      </c>
      <c r="Y94">
        <v>0</v>
      </c>
      <c r="Z94">
        <v>0</v>
      </c>
      <c r="AA94">
        <v>0</v>
      </c>
      <c r="AB94">
        <v>0</v>
      </c>
      <c r="AC94">
        <v>0</v>
      </c>
      <c r="AD94">
        <v>1</v>
      </c>
      <c r="AE94">
        <v>1</v>
      </c>
      <c r="AF94" t="s">
        <v>3</v>
      </c>
      <c r="AG94">
        <v>63.82</v>
      </c>
      <c r="AH94">
        <v>2</v>
      </c>
      <c r="AI94">
        <v>78131061</v>
      </c>
      <c r="AJ94">
        <v>100</v>
      </c>
      <c r="AK94">
        <v>0</v>
      </c>
      <c r="AL94">
        <v>0</v>
      </c>
      <c r="AM94">
        <v>0</v>
      </c>
      <c r="AN94">
        <v>0</v>
      </c>
      <c r="AO94">
        <v>0</v>
      </c>
      <c r="AP94">
        <v>0</v>
      </c>
      <c r="AQ94">
        <v>0</v>
      </c>
      <c r="AR94">
        <v>0</v>
      </c>
    </row>
    <row r="95" spans="1:44" x14ac:dyDescent="0.2">
      <c r="A95">
        <f>ROW(Source!A133)</f>
        <v>133</v>
      </c>
      <c r="B95">
        <v>78131072</v>
      </c>
      <c r="C95">
        <v>78131060</v>
      </c>
      <c r="D95">
        <v>75475172</v>
      </c>
      <c r="E95">
        <v>1</v>
      </c>
      <c r="F95">
        <v>1</v>
      </c>
      <c r="G95">
        <v>37</v>
      </c>
      <c r="H95">
        <v>2</v>
      </c>
      <c r="I95" t="s">
        <v>285</v>
      </c>
      <c r="J95" t="s">
        <v>340</v>
      </c>
      <c r="K95" t="s">
        <v>287</v>
      </c>
      <c r="L95">
        <v>1368</v>
      </c>
      <c r="N95">
        <v>1011</v>
      </c>
      <c r="O95" t="s">
        <v>260</v>
      </c>
      <c r="P95" t="s">
        <v>260</v>
      </c>
      <c r="Q95">
        <v>1</v>
      </c>
      <c r="X95">
        <v>4.38</v>
      </c>
      <c r="Y95">
        <v>0</v>
      </c>
      <c r="Z95">
        <v>59.8</v>
      </c>
      <c r="AA95">
        <v>7.0000000000000007E-2</v>
      </c>
      <c r="AB95">
        <v>0</v>
      </c>
      <c r="AC95">
        <v>0</v>
      </c>
      <c r="AD95">
        <v>1</v>
      </c>
      <c r="AE95">
        <v>0</v>
      </c>
      <c r="AF95" t="s">
        <v>3</v>
      </c>
      <c r="AG95">
        <v>4.38</v>
      </c>
      <c r="AH95">
        <v>2</v>
      </c>
      <c r="AI95">
        <v>78131062</v>
      </c>
      <c r="AJ95">
        <v>101</v>
      </c>
      <c r="AK95">
        <v>0</v>
      </c>
      <c r="AL95">
        <v>0</v>
      </c>
      <c r="AM95">
        <v>0</v>
      </c>
      <c r="AN95">
        <v>0</v>
      </c>
      <c r="AO95">
        <v>0</v>
      </c>
      <c r="AP95">
        <v>0</v>
      </c>
      <c r="AQ95">
        <v>0</v>
      </c>
      <c r="AR95">
        <v>0</v>
      </c>
    </row>
    <row r="96" spans="1:44" x14ac:dyDescent="0.2">
      <c r="A96">
        <f>ROW(Source!A133)</f>
        <v>133</v>
      </c>
      <c r="B96">
        <v>78131080</v>
      </c>
      <c r="C96">
        <v>78131060</v>
      </c>
      <c r="D96">
        <v>75473979</v>
      </c>
      <c r="E96">
        <v>75462080</v>
      </c>
      <c r="F96">
        <v>1</v>
      </c>
      <c r="G96">
        <v>37</v>
      </c>
      <c r="H96">
        <v>3</v>
      </c>
      <c r="I96" t="s">
        <v>275</v>
      </c>
      <c r="J96" t="s">
        <v>3</v>
      </c>
      <c r="K96" t="s">
        <v>277</v>
      </c>
      <c r="L96">
        <v>1346</v>
      </c>
      <c r="N96">
        <v>1009</v>
      </c>
      <c r="O96" t="s">
        <v>264</v>
      </c>
      <c r="P96" t="s">
        <v>264</v>
      </c>
      <c r="Q96">
        <v>1</v>
      </c>
      <c r="X96">
        <v>2.5100000000000001E-2</v>
      </c>
      <c r="Y96">
        <v>4352.96</v>
      </c>
      <c r="Z96">
        <v>0</v>
      </c>
      <c r="AA96">
        <v>0</v>
      </c>
      <c r="AB96">
        <v>0</v>
      </c>
      <c r="AC96">
        <v>0</v>
      </c>
      <c r="AD96">
        <v>1</v>
      </c>
      <c r="AE96">
        <v>0</v>
      </c>
      <c r="AF96" t="s">
        <v>3</v>
      </c>
      <c r="AG96">
        <v>2.5100000000000001E-2</v>
      </c>
      <c r="AH96">
        <v>2</v>
      </c>
      <c r="AI96">
        <v>78131063</v>
      </c>
      <c r="AJ96">
        <v>102</v>
      </c>
      <c r="AK96">
        <v>0</v>
      </c>
      <c r="AL96">
        <v>0</v>
      </c>
      <c r="AM96">
        <v>0</v>
      </c>
      <c r="AN96">
        <v>0</v>
      </c>
      <c r="AO96">
        <v>0</v>
      </c>
      <c r="AP96">
        <v>0</v>
      </c>
      <c r="AQ96">
        <v>0</v>
      </c>
      <c r="AR96">
        <v>0</v>
      </c>
    </row>
    <row r="97" spans="1:44" x14ac:dyDescent="0.2">
      <c r="A97">
        <f>ROW(Source!A133)</f>
        <v>133</v>
      </c>
      <c r="B97">
        <v>78131078</v>
      </c>
      <c r="C97">
        <v>78131060</v>
      </c>
      <c r="D97">
        <v>75482686</v>
      </c>
      <c r="E97">
        <v>1</v>
      </c>
      <c r="F97">
        <v>1</v>
      </c>
      <c r="G97">
        <v>37</v>
      </c>
      <c r="H97">
        <v>3</v>
      </c>
      <c r="I97" t="s">
        <v>333</v>
      </c>
      <c r="J97" t="s">
        <v>355</v>
      </c>
      <c r="K97" t="s">
        <v>335</v>
      </c>
      <c r="L97">
        <v>1356</v>
      </c>
      <c r="N97">
        <v>1010</v>
      </c>
      <c r="O97" t="s">
        <v>291</v>
      </c>
      <c r="P97" t="s">
        <v>291</v>
      </c>
      <c r="Q97">
        <v>1000</v>
      </c>
      <c r="X97">
        <v>3.4000000000000002E-2</v>
      </c>
      <c r="Y97">
        <v>1468.66</v>
      </c>
      <c r="Z97">
        <v>0</v>
      </c>
      <c r="AA97">
        <v>0</v>
      </c>
      <c r="AB97">
        <v>0</v>
      </c>
      <c r="AC97">
        <v>0</v>
      </c>
      <c r="AD97">
        <v>1</v>
      </c>
      <c r="AE97">
        <v>0</v>
      </c>
      <c r="AF97" t="s">
        <v>3</v>
      </c>
      <c r="AG97">
        <v>3.4000000000000002E-2</v>
      </c>
      <c r="AH97">
        <v>2</v>
      </c>
      <c r="AI97">
        <v>78131069</v>
      </c>
      <c r="AJ97">
        <v>103</v>
      </c>
      <c r="AK97">
        <v>0</v>
      </c>
      <c r="AL97">
        <v>0</v>
      </c>
      <c r="AM97">
        <v>0</v>
      </c>
      <c r="AN97">
        <v>0</v>
      </c>
      <c r="AO97">
        <v>0</v>
      </c>
      <c r="AP97">
        <v>0</v>
      </c>
      <c r="AQ97">
        <v>0</v>
      </c>
      <c r="AR97">
        <v>0</v>
      </c>
    </row>
    <row r="98" spans="1:44" x14ac:dyDescent="0.2">
      <c r="A98">
        <f>ROW(Source!A133)</f>
        <v>133</v>
      </c>
      <c r="B98">
        <v>78131077</v>
      </c>
      <c r="C98">
        <v>78131060</v>
      </c>
      <c r="D98">
        <v>75481596</v>
      </c>
      <c r="E98">
        <v>1</v>
      </c>
      <c r="F98">
        <v>1</v>
      </c>
      <c r="G98">
        <v>37</v>
      </c>
      <c r="H98">
        <v>3</v>
      </c>
      <c r="I98" t="s">
        <v>356</v>
      </c>
      <c r="J98" t="s">
        <v>357</v>
      </c>
      <c r="K98" t="s">
        <v>358</v>
      </c>
      <c r="L98">
        <v>1301</v>
      </c>
      <c r="N98">
        <v>1003</v>
      </c>
      <c r="O98" t="s">
        <v>33</v>
      </c>
      <c r="P98" t="s">
        <v>33</v>
      </c>
      <c r="Q98">
        <v>1</v>
      </c>
      <c r="X98">
        <v>100</v>
      </c>
      <c r="Y98">
        <v>715.78</v>
      </c>
      <c r="Z98">
        <v>0</v>
      </c>
      <c r="AA98">
        <v>0</v>
      </c>
      <c r="AB98">
        <v>0</v>
      </c>
      <c r="AC98">
        <v>0</v>
      </c>
      <c r="AD98">
        <v>1</v>
      </c>
      <c r="AE98">
        <v>0</v>
      </c>
      <c r="AF98" t="s">
        <v>3</v>
      </c>
      <c r="AG98">
        <v>100</v>
      </c>
      <c r="AH98">
        <v>3</v>
      </c>
      <c r="AI98">
        <v>-1</v>
      </c>
      <c r="AJ98" t="s">
        <v>3</v>
      </c>
      <c r="AK98">
        <v>0</v>
      </c>
      <c r="AL98">
        <v>0</v>
      </c>
      <c r="AM98">
        <v>0</v>
      </c>
      <c r="AN98">
        <v>0</v>
      </c>
      <c r="AO98">
        <v>0</v>
      </c>
      <c r="AP98">
        <v>0</v>
      </c>
      <c r="AQ98">
        <v>0</v>
      </c>
      <c r="AR98">
        <v>0</v>
      </c>
    </row>
    <row r="99" spans="1:44" x14ac:dyDescent="0.2">
      <c r="A99">
        <f>ROW(Source!A133)</f>
        <v>133</v>
      </c>
      <c r="B99">
        <v>78131073</v>
      </c>
      <c r="C99">
        <v>78131060</v>
      </c>
      <c r="D99">
        <v>75477636</v>
      </c>
      <c r="E99">
        <v>1</v>
      </c>
      <c r="F99">
        <v>1</v>
      </c>
      <c r="G99">
        <v>37</v>
      </c>
      <c r="H99">
        <v>3</v>
      </c>
      <c r="I99" t="s">
        <v>295</v>
      </c>
      <c r="J99" t="s">
        <v>343</v>
      </c>
      <c r="K99" t="s">
        <v>297</v>
      </c>
      <c r="L99">
        <v>1348</v>
      </c>
      <c r="N99">
        <v>1009</v>
      </c>
      <c r="O99" t="s">
        <v>200</v>
      </c>
      <c r="P99" t="s">
        <v>200</v>
      </c>
      <c r="Q99">
        <v>1000</v>
      </c>
      <c r="X99">
        <v>1E-3</v>
      </c>
      <c r="Y99">
        <v>55.951599999999999</v>
      </c>
      <c r="Z99">
        <v>0</v>
      </c>
      <c r="AA99">
        <v>0</v>
      </c>
      <c r="AB99">
        <v>0</v>
      </c>
      <c r="AC99">
        <v>0</v>
      </c>
      <c r="AD99">
        <v>1</v>
      </c>
      <c r="AE99">
        <v>0</v>
      </c>
      <c r="AF99" t="s">
        <v>3</v>
      </c>
      <c r="AG99">
        <v>1E-3</v>
      </c>
      <c r="AH99">
        <v>2</v>
      </c>
      <c r="AI99">
        <v>78131064</v>
      </c>
      <c r="AJ99">
        <v>105</v>
      </c>
      <c r="AK99">
        <v>0</v>
      </c>
      <c r="AL99">
        <v>0</v>
      </c>
      <c r="AM99">
        <v>0</v>
      </c>
      <c r="AN99">
        <v>0</v>
      </c>
      <c r="AO99">
        <v>0</v>
      </c>
      <c r="AP99">
        <v>0</v>
      </c>
      <c r="AQ99">
        <v>0</v>
      </c>
      <c r="AR99">
        <v>0</v>
      </c>
    </row>
    <row r="100" spans="1:44" x14ac:dyDescent="0.2">
      <c r="A100">
        <f>ROW(Source!A133)</f>
        <v>133</v>
      </c>
      <c r="B100">
        <v>78131074</v>
      </c>
      <c r="C100">
        <v>78131060</v>
      </c>
      <c r="D100">
        <v>75477764</v>
      </c>
      <c r="E100">
        <v>1</v>
      </c>
      <c r="F100">
        <v>1</v>
      </c>
      <c r="G100">
        <v>37</v>
      </c>
      <c r="H100">
        <v>3</v>
      </c>
      <c r="I100" t="s">
        <v>278</v>
      </c>
      <c r="J100" t="s">
        <v>344</v>
      </c>
      <c r="K100" t="s">
        <v>280</v>
      </c>
      <c r="L100">
        <v>1339</v>
      </c>
      <c r="N100">
        <v>1007</v>
      </c>
      <c r="O100" t="s">
        <v>281</v>
      </c>
      <c r="P100" t="s">
        <v>281</v>
      </c>
      <c r="Q100">
        <v>1</v>
      </c>
      <c r="X100">
        <v>7.03</v>
      </c>
      <c r="Y100">
        <v>143335.38</v>
      </c>
      <c r="Z100">
        <v>0</v>
      </c>
      <c r="AA100">
        <v>0</v>
      </c>
      <c r="AB100">
        <v>0</v>
      </c>
      <c r="AC100">
        <v>0</v>
      </c>
      <c r="AD100">
        <v>1</v>
      </c>
      <c r="AE100">
        <v>0</v>
      </c>
      <c r="AF100" t="s">
        <v>3</v>
      </c>
      <c r="AG100">
        <v>7.03</v>
      </c>
      <c r="AH100">
        <v>2</v>
      </c>
      <c r="AI100">
        <v>78131065</v>
      </c>
      <c r="AJ100">
        <v>106</v>
      </c>
      <c r="AK100">
        <v>0</v>
      </c>
      <c r="AL100">
        <v>0</v>
      </c>
      <c r="AM100">
        <v>0</v>
      </c>
      <c r="AN100">
        <v>0</v>
      </c>
      <c r="AO100">
        <v>0</v>
      </c>
      <c r="AP100">
        <v>0</v>
      </c>
      <c r="AQ100">
        <v>0</v>
      </c>
      <c r="AR100">
        <v>0</v>
      </c>
    </row>
    <row r="101" spans="1:44" x14ac:dyDescent="0.2">
      <c r="A101">
        <f>ROW(Source!A133)</f>
        <v>133</v>
      </c>
      <c r="B101">
        <v>78131075</v>
      </c>
      <c r="C101">
        <v>78131060</v>
      </c>
      <c r="D101">
        <v>75475973</v>
      </c>
      <c r="E101">
        <v>1</v>
      </c>
      <c r="F101">
        <v>1</v>
      </c>
      <c r="G101">
        <v>37</v>
      </c>
      <c r="H101">
        <v>3</v>
      </c>
      <c r="I101" t="s">
        <v>301</v>
      </c>
      <c r="J101" t="s">
        <v>346</v>
      </c>
      <c r="K101" t="s">
        <v>303</v>
      </c>
      <c r="L101">
        <v>1339</v>
      </c>
      <c r="N101">
        <v>1007</v>
      </c>
      <c r="O101" t="s">
        <v>281</v>
      </c>
      <c r="P101" t="s">
        <v>281</v>
      </c>
      <c r="Q101">
        <v>1</v>
      </c>
      <c r="X101">
        <v>1.68</v>
      </c>
      <c r="Y101">
        <v>42.44</v>
      </c>
      <c r="Z101">
        <v>0</v>
      </c>
      <c r="AA101">
        <v>0</v>
      </c>
      <c r="AB101">
        <v>0</v>
      </c>
      <c r="AC101">
        <v>0</v>
      </c>
      <c r="AD101">
        <v>1</v>
      </c>
      <c r="AE101">
        <v>0</v>
      </c>
      <c r="AF101" t="s">
        <v>3</v>
      </c>
      <c r="AG101">
        <v>1.68</v>
      </c>
      <c r="AH101">
        <v>2</v>
      </c>
      <c r="AI101">
        <v>78131066</v>
      </c>
      <c r="AJ101">
        <v>107</v>
      </c>
      <c r="AK101">
        <v>0</v>
      </c>
      <c r="AL101">
        <v>0</v>
      </c>
      <c r="AM101">
        <v>0</v>
      </c>
      <c r="AN101">
        <v>0</v>
      </c>
      <c r="AO101">
        <v>0</v>
      </c>
      <c r="AP101">
        <v>0</v>
      </c>
      <c r="AQ101">
        <v>0</v>
      </c>
      <c r="AR101">
        <v>0</v>
      </c>
    </row>
    <row r="102" spans="1:44" x14ac:dyDescent="0.2">
      <c r="A102">
        <f>ROW(Source!A133)</f>
        <v>133</v>
      </c>
      <c r="B102">
        <v>78131076</v>
      </c>
      <c r="C102">
        <v>78131060</v>
      </c>
      <c r="D102">
        <v>75475965</v>
      </c>
      <c r="E102">
        <v>1</v>
      </c>
      <c r="F102">
        <v>1</v>
      </c>
      <c r="G102">
        <v>37</v>
      </c>
      <c r="H102">
        <v>3</v>
      </c>
      <c r="I102" t="s">
        <v>304</v>
      </c>
      <c r="J102" t="s">
        <v>347</v>
      </c>
      <c r="K102" t="s">
        <v>306</v>
      </c>
      <c r="L102">
        <v>1339</v>
      </c>
      <c r="N102">
        <v>1007</v>
      </c>
      <c r="O102" t="s">
        <v>281</v>
      </c>
      <c r="P102" t="s">
        <v>281</v>
      </c>
      <c r="Q102">
        <v>1</v>
      </c>
      <c r="X102">
        <v>1.7</v>
      </c>
      <c r="Y102">
        <v>79.62</v>
      </c>
      <c r="Z102">
        <v>0</v>
      </c>
      <c r="AA102">
        <v>0</v>
      </c>
      <c r="AB102">
        <v>0</v>
      </c>
      <c r="AC102">
        <v>0</v>
      </c>
      <c r="AD102">
        <v>1</v>
      </c>
      <c r="AE102">
        <v>0</v>
      </c>
      <c r="AF102" t="s">
        <v>3</v>
      </c>
      <c r="AG102">
        <v>1.7</v>
      </c>
      <c r="AH102">
        <v>2</v>
      </c>
      <c r="AI102">
        <v>78131067</v>
      </c>
      <c r="AJ102">
        <v>108</v>
      </c>
      <c r="AK102">
        <v>0</v>
      </c>
      <c r="AL102">
        <v>0</v>
      </c>
      <c r="AM102">
        <v>0</v>
      </c>
      <c r="AN102">
        <v>0</v>
      </c>
      <c r="AO102">
        <v>0</v>
      </c>
      <c r="AP102">
        <v>0</v>
      </c>
      <c r="AQ102">
        <v>0</v>
      </c>
      <c r="AR102">
        <v>0</v>
      </c>
    </row>
    <row r="103" spans="1:44" x14ac:dyDescent="0.2">
      <c r="A103">
        <f>ROW(Source!A133)</f>
        <v>133</v>
      </c>
      <c r="B103">
        <v>78131079</v>
      </c>
      <c r="C103">
        <v>78131060</v>
      </c>
      <c r="D103">
        <v>75478843</v>
      </c>
      <c r="E103">
        <v>1</v>
      </c>
      <c r="F103">
        <v>1</v>
      </c>
      <c r="G103">
        <v>37</v>
      </c>
      <c r="H103">
        <v>3</v>
      </c>
      <c r="I103" t="s">
        <v>330</v>
      </c>
      <c r="J103" t="s">
        <v>359</v>
      </c>
      <c r="K103" t="s">
        <v>332</v>
      </c>
      <c r="L103">
        <v>1339</v>
      </c>
      <c r="N103">
        <v>1007</v>
      </c>
      <c r="O103" t="s">
        <v>281</v>
      </c>
      <c r="P103" t="s">
        <v>281</v>
      </c>
      <c r="Q103">
        <v>1</v>
      </c>
      <c r="X103">
        <v>7.0000000000000001E-3</v>
      </c>
      <c r="Y103">
        <v>59029.89</v>
      </c>
      <c r="Z103">
        <v>0</v>
      </c>
      <c r="AA103">
        <v>0</v>
      </c>
      <c r="AB103">
        <v>0</v>
      </c>
      <c r="AC103">
        <v>0</v>
      </c>
      <c r="AD103">
        <v>1</v>
      </c>
      <c r="AE103">
        <v>0</v>
      </c>
      <c r="AF103" t="s">
        <v>3</v>
      </c>
      <c r="AG103">
        <v>7.0000000000000001E-3</v>
      </c>
      <c r="AH103">
        <v>2</v>
      </c>
      <c r="AI103">
        <v>78131070</v>
      </c>
      <c r="AJ103">
        <v>109</v>
      </c>
      <c r="AK103">
        <v>0</v>
      </c>
      <c r="AL103">
        <v>0</v>
      </c>
      <c r="AM103">
        <v>0</v>
      </c>
      <c r="AN103">
        <v>0</v>
      </c>
      <c r="AO103">
        <v>0</v>
      </c>
      <c r="AP103">
        <v>0</v>
      </c>
      <c r="AQ103">
        <v>0</v>
      </c>
      <c r="AR103">
        <v>0</v>
      </c>
    </row>
    <row r="104" spans="1:44" x14ac:dyDescent="0.2">
      <c r="A104">
        <f>ROW(Source!A134)</f>
        <v>134</v>
      </c>
      <c r="B104">
        <v>78131260</v>
      </c>
      <c r="C104">
        <v>78131081</v>
      </c>
      <c r="D104">
        <v>77806460</v>
      </c>
      <c r="E104">
        <v>37</v>
      </c>
      <c r="F104">
        <v>1</v>
      </c>
      <c r="G104">
        <v>37</v>
      </c>
      <c r="H104">
        <v>1</v>
      </c>
      <c r="I104" t="s">
        <v>254</v>
      </c>
      <c r="J104" t="s">
        <v>3</v>
      </c>
      <c r="K104" t="s">
        <v>255</v>
      </c>
      <c r="L104">
        <v>1191</v>
      </c>
      <c r="N104">
        <v>1013</v>
      </c>
      <c r="O104" t="s">
        <v>256</v>
      </c>
      <c r="P104" t="s">
        <v>256</v>
      </c>
      <c r="Q104">
        <v>1</v>
      </c>
      <c r="X104">
        <v>6.49</v>
      </c>
      <c r="Y104">
        <v>0</v>
      </c>
      <c r="Z104">
        <v>0</v>
      </c>
      <c r="AA104">
        <v>0</v>
      </c>
      <c r="AB104">
        <v>0</v>
      </c>
      <c r="AC104">
        <v>0</v>
      </c>
      <c r="AD104">
        <v>1</v>
      </c>
      <c r="AE104">
        <v>1</v>
      </c>
      <c r="AF104" t="s">
        <v>3</v>
      </c>
      <c r="AG104">
        <v>6.49</v>
      </c>
      <c r="AH104">
        <v>2</v>
      </c>
      <c r="AI104">
        <v>78131082</v>
      </c>
      <c r="AJ104">
        <v>110</v>
      </c>
      <c r="AK104">
        <v>0</v>
      </c>
      <c r="AL104">
        <v>0</v>
      </c>
      <c r="AM104">
        <v>0</v>
      </c>
      <c r="AN104">
        <v>0</v>
      </c>
      <c r="AO104">
        <v>0</v>
      </c>
      <c r="AP104">
        <v>0</v>
      </c>
      <c r="AQ104">
        <v>0</v>
      </c>
      <c r="AR104">
        <v>0</v>
      </c>
    </row>
    <row r="105" spans="1:44" x14ac:dyDescent="0.2">
      <c r="A105">
        <f>ROW(Source!A134)</f>
        <v>134</v>
      </c>
      <c r="B105">
        <v>78131261</v>
      </c>
      <c r="C105">
        <v>78131081</v>
      </c>
      <c r="D105">
        <v>77807925</v>
      </c>
      <c r="E105">
        <v>1</v>
      </c>
      <c r="F105">
        <v>1</v>
      </c>
      <c r="G105">
        <v>37</v>
      </c>
      <c r="H105">
        <v>2</v>
      </c>
      <c r="I105" t="s">
        <v>313</v>
      </c>
      <c r="J105" t="s">
        <v>314</v>
      </c>
      <c r="K105" t="s">
        <v>315</v>
      </c>
      <c r="L105">
        <v>1368</v>
      </c>
      <c r="N105">
        <v>1011</v>
      </c>
      <c r="O105" t="s">
        <v>260</v>
      </c>
      <c r="P105" t="s">
        <v>260</v>
      </c>
      <c r="Q105">
        <v>1</v>
      </c>
      <c r="X105">
        <v>0.56000000000000005</v>
      </c>
      <c r="Y105">
        <v>0</v>
      </c>
      <c r="Z105">
        <v>34.270000000000003</v>
      </c>
      <c r="AA105">
        <v>0.23</v>
      </c>
      <c r="AB105">
        <v>0</v>
      </c>
      <c r="AC105">
        <v>0</v>
      </c>
      <c r="AD105">
        <v>1</v>
      </c>
      <c r="AE105">
        <v>0</v>
      </c>
      <c r="AF105" t="s">
        <v>3</v>
      </c>
      <c r="AG105">
        <v>0.56000000000000005</v>
      </c>
      <c r="AH105">
        <v>3</v>
      </c>
      <c r="AI105">
        <v>-1</v>
      </c>
      <c r="AJ105" t="s">
        <v>3</v>
      </c>
      <c r="AK105">
        <v>0</v>
      </c>
      <c r="AL105">
        <v>0</v>
      </c>
      <c r="AM105">
        <v>0</v>
      </c>
      <c r="AN105">
        <v>0</v>
      </c>
      <c r="AO105">
        <v>0</v>
      </c>
      <c r="AP105">
        <v>0</v>
      </c>
      <c r="AQ105">
        <v>0</v>
      </c>
      <c r="AR105">
        <v>0</v>
      </c>
    </row>
    <row r="106" spans="1:44" x14ac:dyDescent="0.2">
      <c r="A106">
        <f>ROW(Source!A134)</f>
        <v>134</v>
      </c>
      <c r="B106">
        <v>78131262</v>
      </c>
      <c r="C106">
        <v>78131081</v>
      </c>
      <c r="D106">
        <v>77807927</v>
      </c>
      <c r="E106">
        <v>1</v>
      </c>
      <c r="F106">
        <v>1</v>
      </c>
      <c r="G106">
        <v>37</v>
      </c>
      <c r="H106">
        <v>2</v>
      </c>
      <c r="I106" t="s">
        <v>324</v>
      </c>
      <c r="J106" t="s">
        <v>325</v>
      </c>
      <c r="K106" t="s">
        <v>326</v>
      </c>
      <c r="L106">
        <v>1368</v>
      </c>
      <c r="N106">
        <v>1011</v>
      </c>
      <c r="O106" t="s">
        <v>260</v>
      </c>
      <c r="P106" t="s">
        <v>260</v>
      </c>
      <c r="Q106">
        <v>1</v>
      </c>
      <c r="X106">
        <v>0.61</v>
      </c>
      <c r="Y106">
        <v>0</v>
      </c>
      <c r="Z106">
        <v>7.29</v>
      </c>
      <c r="AA106">
        <v>0.24</v>
      </c>
      <c r="AB106">
        <v>0</v>
      </c>
      <c r="AC106">
        <v>0</v>
      </c>
      <c r="AD106">
        <v>1</v>
      </c>
      <c r="AE106">
        <v>0</v>
      </c>
      <c r="AF106" t="s">
        <v>3</v>
      </c>
      <c r="AG106">
        <v>0.61</v>
      </c>
      <c r="AH106">
        <v>3</v>
      </c>
      <c r="AI106">
        <v>-1</v>
      </c>
      <c r="AJ106" t="s">
        <v>3</v>
      </c>
      <c r="AK106">
        <v>0</v>
      </c>
      <c r="AL106">
        <v>0</v>
      </c>
      <c r="AM106">
        <v>0</v>
      </c>
      <c r="AN106">
        <v>0</v>
      </c>
      <c r="AO106">
        <v>0</v>
      </c>
      <c r="AP106">
        <v>0</v>
      </c>
      <c r="AQ106">
        <v>0</v>
      </c>
      <c r="AR106">
        <v>0</v>
      </c>
    </row>
    <row r="107" spans="1:44" x14ac:dyDescent="0.2">
      <c r="A107">
        <f>ROW(Source!A134)</f>
        <v>134</v>
      </c>
      <c r="B107">
        <v>78131263</v>
      </c>
      <c r="C107">
        <v>78131081</v>
      </c>
      <c r="D107">
        <v>77809525</v>
      </c>
      <c r="E107">
        <v>1</v>
      </c>
      <c r="F107">
        <v>1</v>
      </c>
      <c r="G107">
        <v>37</v>
      </c>
      <c r="H107">
        <v>3</v>
      </c>
      <c r="I107" t="s">
        <v>198</v>
      </c>
      <c r="J107" t="s">
        <v>201</v>
      </c>
      <c r="K107" t="s">
        <v>199</v>
      </c>
      <c r="L107">
        <v>1348</v>
      </c>
      <c r="N107">
        <v>1009</v>
      </c>
      <c r="O107" t="s">
        <v>200</v>
      </c>
      <c r="P107" t="s">
        <v>200</v>
      </c>
      <c r="Q107">
        <v>1000</v>
      </c>
      <c r="X107">
        <v>5.9999999999999995E-4</v>
      </c>
      <c r="Y107">
        <v>173260.69</v>
      </c>
      <c r="Z107">
        <v>0</v>
      </c>
      <c r="AA107">
        <v>0</v>
      </c>
      <c r="AB107">
        <v>0</v>
      </c>
      <c r="AC107">
        <v>0</v>
      </c>
      <c r="AD107">
        <v>1</v>
      </c>
      <c r="AE107">
        <v>0</v>
      </c>
      <c r="AF107" t="s">
        <v>3</v>
      </c>
      <c r="AG107">
        <v>5.9999999999999995E-4</v>
      </c>
      <c r="AH107">
        <v>2</v>
      </c>
      <c r="AI107">
        <v>78131091</v>
      </c>
      <c r="AJ107">
        <v>112</v>
      </c>
      <c r="AK107">
        <v>0</v>
      </c>
      <c r="AL107">
        <v>0</v>
      </c>
      <c r="AM107">
        <v>0</v>
      </c>
      <c r="AN107">
        <v>0</v>
      </c>
      <c r="AO107">
        <v>0</v>
      </c>
      <c r="AP107">
        <v>0</v>
      </c>
      <c r="AQ107">
        <v>0</v>
      </c>
      <c r="AR107">
        <v>0</v>
      </c>
    </row>
    <row r="108" spans="1:44" x14ac:dyDescent="0.2">
      <c r="A108">
        <f>ROW(Source!A134)</f>
        <v>134</v>
      </c>
      <c r="B108">
        <v>78131264</v>
      </c>
      <c r="C108">
        <v>78131081</v>
      </c>
      <c r="D108">
        <v>77810400</v>
      </c>
      <c r="E108">
        <v>1</v>
      </c>
      <c r="F108">
        <v>1</v>
      </c>
      <c r="G108">
        <v>37</v>
      </c>
      <c r="H108">
        <v>3</v>
      </c>
      <c r="I108" t="s">
        <v>360</v>
      </c>
      <c r="J108" t="s">
        <v>361</v>
      </c>
      <c r="K108" t="s">
        <v>362</v>
      </c>
      <c r="L108">
        <v>1348</v>
      </c>
      <c r="N108">
        <v>1009</v>
      </c>
      <c r="O108" t="s">
        <v>200</v>
      </c>
      <c r="P108" t="s">
        <v>200</v>
      </c>
      <c r="Q108">
        <v>1000</v>
      </c>
      <c r="X108">
        <v>2.0000000000000001E-4</v>
      </c>
      <c r="Y108">
        <v>117537.07</v>
      </c>
      <c r="Z108">
        <v>0</v>
      </c>
      <c r="AA108">
        <v>0</v>
      </c>
      <c r="AB108">
        <v>0</v>
      </c>
      <c r="AC108">
        <v>0</v>
      </c>
      <c r="AD108">
        <v>1</v>
      </c>
      <c r="AE108">
        <v>0</v>
      </c>
      <c r="AF108" t="s">
        <v>3</v>
      </c>
      <c r="AG108">
        <v>2.0000000000000001E-4</v>
      </c>
      <c r="AH108">
        <v>3</v>
      </c>
      <c r="AI108">
        <v>-1</v>
      </c>
      <c r="AJ108" t="s">
        <v>3</v>
      </c>
      <c r="AK108">
        <v>0</v>
      </c>
      <c r="AL108">
        <v>0</v>
      </c>
      <c r="AM108">
        <v>0</v>
      </c>
      <c r="AN108">
        <v>0</v>
      </c>
      <c r="AO108">
        <v>0</v>
      </c>
      <c r="AP108">
        <v>0</v>
      </c>
      <c r="AQ108">
        <v>0</v>
      </c>
      <c r="AR108">
        <v>0</v>
      </c>
    </row>
    <row r="109" spans="1:44" x14ac:dyDescent="0.2">
      <c r="A109">
        <f>ROW(Source!A134)</f>
        <v>134</v>
      </c>
      <c r="B109">
        <v>78131267</v>
      </c>
      <c r="C109">
        <v>78131081</v>
      </c>
      <c r="D109">
        <v>77815176</v>
      </c>
      <c r="E109">
        <v>1</v>
      </c>
      <c r="F109">
        <v>1</v>
      </c>
      <c r="G109">
        <v>37</v>
      </c>
      <c r="H109">
        <v>3</v>
      </c>
      <c r="I109" t="s">
        <v>203</v>
      </c>
      <c r="J109" t="s">
        <v>205</v>
      </c>
      <c r="K109" t="s">
        <v>204</v>
      </c>
      <c r="L109">
        <v>1301</v>
      </c>
      <c r="N109">
        <v>1003</v>
      </c>
      <c r="O109" t="s">
        <v>33</v>
      </c>
      <c r="P109" t="s">
        <v>33</v>
      </c>
      <c r="Q109">
        <v>1</v>
      </c>
      <c r="X109">
        <v>0.4</v>
      </c>
      <c r="Y109">
        <v>668.51</v>
      </c>
      <c r="Z109">
        <v>0</v>
      </c>
      <c r="AA109">
        <v>0</v>
      </c>
      <c r="AB109">
        <v>0</v>
      </c>
      <c r="AC109">
        <v>0</v>
      </c>
      <c r="AD109">
        <v>1</v>
      </c>
      <c r="AE109">
        <v>0</v>
      </c>
      <c r="AF109" t="s">
        <v>3</v>
      </c>
      <c r="AG109">
        <v>0.4</v>
      </c>
      <c r="AH109">
        <v>2</v>
      </c>
      <c r="AI109">
        <v>78131093</v>
      </c>
      <c r="AJ109">
        <v>113</v>
      </c>
      <c r="AK109">
        <v>0</v>
      </c>
      <c r="AL109">
        <v>0</v>
      </c>
      <c r="AM109">
        <v>0</v>
      </c>
      <c r="AN109">
        <v>0</v>
      </c>
      <c r="AO109">
        <v>0</v>
      </c>
      <c r="AP109">
        <v>0</v>
      </c>
      <c r="AQ109">
        <v>0</v>
      </c>
      <c r="AR109">
        <v>0</v>
      </c>
    </row>
    <row r="110" spans="1:44" x14ac:dyDescent="0.2">
      <c r="A110">
        <f>ROW(Source!A134)</f>
        <v>134</v>
      </c>
      <c r="B110">
        <v>78131268</v>
      </c>
      <c r="C110">
        <v>78131081</v>
      </c>
      <c r="D110">
        <v>77815383</v>
      </c>
      <c r="E110">
        <v>1</v>
      </c>
      <c r="F110">
        <v>1</v>
      </c>
      <c r="G110">
        <v>37</v>
      </c>
      <c r="H110">
        <v>3</v>
      </c>
      <c r="I110" t="s">
        <v>207</v>
      </c>
      <c r="J110" t="s">
        <v>209</v>
      </c>
      <c r="K110" t="s">
        <v>208</v>
      </c>
      <c r="L110">
        <v>1354</v>
      </c>
      <c r="N110">
        <v>1010</v>
      </c>
      <c r="O110" t="s">
        <v>29</v>
      </c>
      <c r="P110" t="s">
        <v>29</v>
      </c>
      <c r="Q110">
        <v>1</v>
      </c>
      <c r="X110">
        <v>1</v>
      </c>
      <c r="Y110">
        <v>485.89</v>
      </c>
      <c r="Z110">
        <v>0</v>
      </c>
      <c r="AA110">
        <v>0</v>
      </c>
      <c r="AB110">
        <v>0</v>
      </c>
      <c r="AC110">
        <v>0</v>
      </c>
      <c r="AD110">
        <v>1</v>
      </c>
      <c r="AE110">
        <v>0</v>
      </c>
      <c r="AF110" t="s">
        <v>3</v>
      </c>
      <c r="AG110">
        <v>1</v>
      </c>
      <c r="AH110">
        <v>2</v>
      </c>
      <c r="AI110">
        <v>78131095</v>
      </c>
      <c r="AJ110">
        <v>114</v>
      </c>
      <c r="AK110">
        <v>0</v>
      </c>
      <c r="AL110">
        <v>0</v>
      </c>
      <c r="AM110">
        <v>0</v>
      </c>
      <c r="AN110">
        <v>0</v>
      </c>
      <c r="AO110">
        <v>0</v>
      </c>
      <c r="AP110">
        <v>0</v>
      </c>
      <c r="AQ110">
        <v>0</v>
      </c>
      <c r="AR110">
        <v>0</v>
      </c>
    </row>
    <row r="111" spans="1:44" x14ac:dyDescent="0.2">
      <c r="A111">
        <f>ROW(Source!A134)</f>
        <v>134</v>
      </c>
      <c r="B111">
        <v>78131269</v>
      </c>
      <c r="C111">
        <v>78131081</v>
      </c>
      <c r="D111">
        <v>77815704</v>
      </c>
      <c r="E111">
        <v>1</v>
      </c>
      <c r="F111">
        <v>1</v>
      </c>
      <c r="G111">
        <v>37</v>
      </c>
      <c r="H111">
        <v>3</v>
      </c>
      <c r="I111" t="s">
        <v>211</v>
      </c>
      <c r="J111" t="s">
        <v>213</v>
      </c>
      <c r="K111" t="s">
        <v>212</v>
      </c>
      <c r="L111">
        <v>1354</v>
      </c>
      <c r="N111">
        <v>1010</v>
      </c>
      <c r="O111" t="s">
        <v>29</v>
      </c>
      <c r="P111" t="s">
        <v>29</v>
      </c>
      <c r="Q111">
        <v>1</v>
      </c>
      <c r="X111">
        <v>1</v>
      </c>
      <c r="Y111">
        <v>2529.9499999999998</v>
      </c>
      <c r="Z111">
        <v>0</v>
      </c>
      <c r="AA111">
        <v>0</v>
      </c>
      <c r="AB111">
        <v>0</v>
      </c>
      <c r="AC111">
        <v>0</v>
      </c>
      <c r="AD111">
        <v>1</v>
      </c>
      <c r="AE111">
        <v>0</v>
      </c>
      <c r="AF111" t="s">
        <v>3</v>
      </c>
      <c r="AG111">
        <v>1</v>
      </c>
      <c r="AH111">
        <v>2</v>
      </c>
      <c r="AI111">
        <v>78131097</v>
      </c>
      <c r="AJ111">
        <v>115</v>
      </c>
      <c r="AK111">
        <v>0</v>
      </c>
      <c r="AL111">
        <v>0</v>
      </c>
      <c r="AM111">
        <v>0</v>
      </c>
      <c r="AN111">
        <v>0</v>
      </c>
      <c r="AO111">
        <v>0</v>
      </c>
      <c r="AP111">
        <v>0</v>
      </c>
      <c r="AQ111">
        <v>0</v>
      </c>
      <c r="AR111">
        <v>0</v>
      </c>
    </row>
    <row r="112" spans="1:44" x14ac:dyDescent="0.2">
      <c r="A112">
        <f>ROW(Source!A134)</f>
        <v>134</v>
      </c>
      <c r="B112">
        <v>78131265</v>
      </c>
      <c r="C112">
        <v>78131081</v>
      </c>
      <c r="D112">
        <v>77808724</v>
      </c>
      <c r="E112">
        <v>1</v>
      </c>
      <c r="F112">
        <v>1</v>
      </c>
      <c r="G112">
        <v>37</v>
      </c>
      <c r="H112">
        <v>3</v>
      </c>
      <c r="I112" t="s">
        <v>301</v>
      </c>
      <c r="J112" t="s">
        <v>302</v>
      </c>
      <c r="K112" t="s">
        <v>303</v>
      </c>
      <c r="L112">
        <v>1339</v>
      </c>
      <c r="N112">
        <v>1007</v>
      </c>
      <c r="O112" t="s">
        <v>281</v>
      </c>
      <c r="P112" t="s">
        <v>281</v>
      </c>
      <c r="Q112">
        <v>1</v>
      </c>
      <c r="X112">
        <v>4.2000000000000003E-2</v>
      </c>
      <c r="Y112">
        <v>89.3</v>
      </c>
      <c r="Z112">
        <v>0</v>
      </c>
      <c r="AA112">
        <v>0</v>
      </c>
      <c r="AB112">
        <v>0</v>
      </c>
      <c r="AC112">
        <v>0</v>
      </c>
      <c r="AD112">
        <v>1</v>
      </c>
      <c r="AE112">
        <v>0</v>
      </c>
      <c r="AF112" t="s">
        <v>3</v>
      </c>
      <c r="AG112">
        <v>4.2000000000000003E-2</v>
      </c>
      <c r="AH112">
        <v>3</v>
      </c>
      <c r="AI112">
        <v>-1</v>
      </c>
      <c r="AJ112" t="s">
        <v>3</v>
      </c>
      <c r="AK112">
        <v>0</v>
      </c>
      <c r="AL112">
        <v>0</v>
      </c>
      <c r="AM112">
        <v>0</v>
      </c>
      <c r="AN112">
        <v>0</v>
      </c>
      <c r="AO112">
        <v>0</v>
      </c>
      <c r="AP112">
        <v>0</v>
      </c>
      <c r="AQ112">
        <v>0</v>
      </c>
      <c r="AR112">
        <v>0</v>
      </c>
    </row>
    <row r="113" spans="1:44" x14ac:dyDescent="0.2">
      <c r="A113">
        <f>ROW(Source!A134)</f>
        <v>134</v>
      </c>
      <c r="B113">
        <v>78131266</v>
      </c>
      <c r="C113">
        <v>78131081</v>
      </c>
      <c r="D113">
        <v>77808716</v>
      </c>
      <c r="E113">
        <v>1</v>
      </c>
      <c r="F113">
        <v>1</v>
      </c>
      <c r="G113">
        <v>37</v>
      </c>
      <c r="H113">
        <v>3</v>
      </c>
      <c r="I113" t="s">
        <v>304</v>
      </c>
      <c r="J113" t="s">
        <v>305</v>
      </c>
      <c r="K113" t="s">
        <v>306</v>
      </c>
      <c r="L113">
        <v>1339</v>
      </c>
      <c r="N113">
        <v>1007</v>
      </c>
      <c r="O113" t="s">
        <v>281</v>
      </c>
      <c r="P113" t="s">
        <v>281</v>
      </c>
      <c r="Q113">
        <v>1</v>
      </c>
      <c r="X113">
        <v>1.0500000000000001E-2</v>
      </c>
      <c r="Y113">
        <v>698.15</v>
      </c>
      <c r="Z113">
        <v>0</v>
      </c>
      <c r="AA113">
        <v>0</v>
      </c>
      <c r="AB113">
        <v>0</v>
      </c>
      <c r="AC113">
        <v>0</v>
      </c>
      <c r="AD113">
        <v>1</v>
      </c>
      <c r="AE113">
        <v>0</v>
      </c>
      <c r="AF113" t="s">
        <v>3</v>
      </c>
      <c r="AG113">
        <v>1.0500000000000001E-2</v>
      </c>
      <c r="AH113">
        <v>3</v>
      </c>
      <c r="AI113">
        <v>-1</v>
      </c>
      <c r="AJ113" t="s">
        <v>3</v>
      </c>
      <c r="AK113">
        <v>0</v>
      </c>
      <c r="AL113">
        <v>0</v>
      </c>
      <c r="AM113">
        <v>0</v>
      </c>
      <c r="AN113">
        <v>0</v>
      </c>
      <c r="AO113">
        <v>0</v>
      </c>
      <c r="AP113">
        <v>0</v>
      </c>
      <c r="AQ113">
        <v>0</v>
      </c>
      <c r="AR113">
        <v>0</v>
      </c>
    </row>
    <row r="114" spans="1:44" x14ac:dyDescent="0.2">
      <c r="A114">
        <f>ROW(Source!A139)</f>
        <v>139</v>
      </c>
      <c r="B114">
        <v>78131270</v>
      </c>
      <c r="C114">
        <v>78131098</v>
      </c>
      <c r="D114">
        <v>77806460</v>
      </c>
      <c r="E114">
        <v>37</v>
      </c>
      <c r="F114">
        <v>1</v>
      </c>
      <c r="G114">
        <v>37</v>
      </c>
      <c r="H114">
        <v>1</v>
      </c>
      <c r="I114" t="s">
        <v>254</v>
      </c>
      <c r="J114" t="s">
        <v>3</v>
      </c>
      <c r="K114" t="s">
        <v>255</v>
      </c>
      <c r="L114">
        <v>1191</v>
      </c>
      <c r="N114">
        <v>1013</v>
      </c>
      <c r="O114" t="s">
        <v>256</v>
      </c>
      <c r="P114" t="s">
        <v>256</v>
      </c>
      <c r="Q114">
        <v>1</v>
      </c>
      <c r="X114">
        <v>10.64</v>
      </c>
      <c r="Y114">
        <v>0</v>
      </c>
      <c r="Z114">
        <v>0</v>
      </c>
      <c r="AA114">
        <v>0</v>
      </c>
      <c r="AB114">
        <v>0</v>
      </c>
      <c r="AC114">
        <v>0</v>
      </c>
      <c r="AD114">
        <v>1</v>
      </c>
      <c r="AE114">
        <v>1</v>
      </c>
      <c r="AF114" t="s">
        <v>3</v>
      </c>
      <c r="AG114">
        <v>10.64</v>
      </c>
      <c r="AH114">
        <v>2</v>
      </c>
      <c r="AI114">
        <v>78131099</v>
      </c>
      <c r="AJ114">
        <v>116</v>
      </c>
      <c r="AK114">
        <v>0</v>
      </c>
      <c r="AL114">
        <v>0</v>
      </c>
      <c r="AM114">
        <v>0</v>
      </c>
      <c r="AN114">
        <v>0</v>
      </c>
      <c r="AO114">
        <v>0</v>
      </c>
      <c r="AP114">
        <v>0</v>
      </c>
      <c r="AQ114">
        <v>0</v>
      </c>
      <c r="AR114">
        <v>0</v>
      </c>
    </row>
    <row r="115" spans="1:44" x14ac:dyDescent="0.2">
      <c r="A115">
        <f>ROW(Source!A139)</f>
        <v>139</v>
      </c>
      <c r="B115">
        <v>78131271</v>
      </c>
      <c r="C115">
        <v>78131098</v>
      </c>
      <c r="D115">
        <v>77810520</v>
      </c>
      <c r="E115">
        <v>1</v>
      </c>
      <c r="F115">
        <v>1</v>
      </c>
      <c r="G115">
        <v>37</v>
      </c>
      <c r="H115">
        <v>3</v>
      </c>
      <c r="I115" t="s">
        <v>278</v>
      </c>
      <c r="J115" t="s">
        <v>279</v>
      </c>
      <c r="K115" t="s">
        <v>280</v>
      </c>
      <c r="L115">
        <v>1339</v>
      </c>
      <c r="N115">
        <v>1007</v>
      </c>
      <c r="O115" t="s">
        <v>281</v>
      </c>
      <c r="P115" t="s">
        <v>281</v>
      </c>
      <c r="Q115">
        <v>1</v>
      </c>
      <c r="X115">
        <v>1</v>
      </c>
      <c r="Y115">
        <v>49.83</v>
      </c>
      <c r="Z115">
        <v>0</v>
      </c>
      <c r="AA115">
        <v>0</v>
      </c>
      <c r="AB115">
        <v>0</v>
      </c>
      <c r="AC115">
        <v>0</v>
      </c>
      <c r="AD115">
        <v>1</v>
      </c>
      <c r="AE115">
        <v>0</v>
      </c>
      <c r="AF115" t="s">
        <v>3</v>
      </c>
      <c r="AG115">
        <v>1</v>
      </c>
      <c r="AH115">
        <v>2</v>
      </c>
      <c r="AI115">
        <v>78131100</v>
      </c>
      <c r="AJ115">
        <v>117</v>
      </c>
      <c r="AK115">
        <v>0</v>
      </c>
      <c r="AL115">
        <v>0</v>
      </c>
      <c r="AM115">
        <v>0</v>
      </c>
      <c r="AN115">
        <v>0</v>
      </c>
      <c r="AO115">
        <v>0</v>
      </c>
      <c r="AP115">
        <v>0</v>
      </c>
      <c r="AQ115">
        <v>0</v>
      </c>
      <c r="AR115">
        <v>0</v>
      </c>
    </row>
    <row r="116" spans="1:44" x14ac:dyDescent="0.2">
      <c r="A116">
        <f>ROW(Source!A140)</f>
        <v>140</v>
      </c>
      <c r="B116">
        <v>78131272</v>
      </c>
      <c r="C116">
        <v>78131103</v>
      </c>
      <c r="D116">
        <v>77806460</v>
      </c>
      <c r="E116">
        <v>37</v>
      </c>
      <c r="F116">
        <v>1</v>
      </c>
      <c r="G116">
        <v>37</v>
      </c>
      <c r="H116">
        <v>1</v>
      </c>
      <c r="I116" t="s">
        <v>254</v>
      </c>
      <c r="J116" t="s">
        <v>3</v>
      </c>
      <c r="K116" t="s">
        <v>255</v>
      </c>
      <c r="L116">
        <v>1191</v>
      </c>
      <c r="N116">
        <v>1013</v>
      </c>
      <c r="O116" t="s">
        <v>256</v>
      </c>
      <c r="P116" t="s">
        <v>256</v>
      </c>
      <c r="Q116">
        <v>1</v>
      </c>
      <c r="X116">
        <v>10.64</v>
      </c>
      <c r="Y116">
        <v>0</v>
      </c>
      <c r="Z116">
        <v>0</v>
      </c>
      <c r="AA116">
        <v>0</v>
      </c>
      <c r="AB116">
        <v>0</v>
      </c>
      <c r="AC116">
        <v>0</v>
      </c>
      <c r="AD116">
        <v>1</v>
      </c>
      <c r="AE116">
        <v>1</v>
      </c>
      <c r="AF116" t="s">
        <v>3</v>
      </c>
      <c r="AG116">
        <v>10.64</v>
      </c>
      <c r="AH116">
        <v>2</v>
      </c>
      <c r="AI116">
        <v>78131104</v>
      </c>
      <c r="AJ116">
        <v>118</v>
      </c>
      <c r="AK116">
        <v>0</v>
      </c>
      <c r="AL116">
        <v>0</v>
      </c>
      <c r="AM116">
        <v>0</v>
      </c>
      <c r="AN116">
        <v>0</v>
      </c>
      <c r="AO116">
        <v>0</v>
      </c>
      <c r="AP116">
        <v>0</v>
      </c>
      <c r="AQ116">
        <v>0</v>
      </c>
      <c r="AR116">
        <v>0</v>
      </c>
    </row>
    <row r="117" spans="1:44" x14ac:dyDescent="0.2">
      <c r="A117">
        <f>ROW(Source!A140)</f>
        <v>140</v>
      </c>
      <c r="B117">
        <v>78131273</v>
      </c>
      <c r="C117">
        <v>78131103</v>
      </c>
      <c r="D117">
        <v>77810520</v>
      </c>
      <c r="E117">
        <v>1</v>
      </c>
      <c r="F117">
        <v>1</v>
      </c>
      <c r="G117">
        <v>37</v>
      </c>
      <c r="H117">
        <v>3</v>
      </c>
      <c r="I117" t="s">
        <v>278</v>
      </c>
      <c r="J117" t="s">
        <v>279</v>
      </c>
      <c r="K117" t="s">
        <v>280</v>
      </c>
      <c r="L117">
        <v>1339</v>
      </c>
      <c r="N117">
        <v>1007</v>
      </c>
      <c r="O117" t="s">
        <v>281</v>
      </c>
      <c r="P117" t="s">
        <v>281</v>
      </c>
      <c r="Q117">
        <v>1</v>
      </c>
      <c r="X117">
        <v>3.8</v>
      </c>
      <c r="Y117">
        <v>49.83</v>
      </c>
      <c r="Z117">
        <v>0</v>
      </c>
      <c r="AA117">
        <v>0</v>
      </c>
      <c r="AB117">
        <v>0</v>
      </c>
      <c r="AC117">
        <v>0</v>
      </c>
      <c r="AD117">
        <v>1</v>
      </c>
      <c r="AE117">
        <v>0</v>
      </c>
      <c r="AF117" t="s">
        <v>3</v>
      </c>
      <c r="AG117">
        <v>3.8</v>
      </c>
      <c r="AH117">
        <v>2</v>
      </c>
      <c r="AI117">
        <v>78131105</v>
      </c>
      <c r="AJ117">
        <v>119</v>
      </c>
      <c r="AK117">
        <v>0</v>
      </c>
      <c r="AL117">
        <v>0</v>
      </c>
      <c r="AM117">
        <v>0</v>
      </c>
      <c r="AN117">
        <v>0</v>
      </c>
      <c r="AO117">
        <v>0</v>
      </c>
      <c r="AP117">
        <v>0</v>
      </c>
      <c r="AQ117">
        <v>0</v>
      </c>
      <c r="AR117">
        <v>0</v>
      </c>
    </row>
    <row r="118" spans="1:44" x14ac:dyDescent="0.2">
      <c r="A118">
        <f>ROW(Source!A141)</f>
        <v>141</v>
      </c>
      <c r="B118">
        <v>78131274</v>
      </c>
      <c r="C118">
        <v>78131108</v>
      </c>
      <c r="D118">
        <v>77806460</v>
      </c>
      <c r="E118">
        <v>37</v>
      </c>
      <c r="F118">
        <v>1</v>
      </c>
      <c r="G118">
        <v>37</v>
      </c>
      <c r="H118">
        <v>1</v>
      </c>
      <c r="I118" t="s">
        <v>254</v>
      </c>
      <c r="J118" t="s">
        <v>3</v>
      </c>
      <c r="K118" t="s">
        <v>255</v>
      </c>
      <c r="L118">
        <v>1191</v>
      </c>
      <c r="N118">
        <v>1013</v>
      </c>
      <c r="O118" t="s">
        <v>256</v>
      </c>
      <c r="P118" t="s">
        <v>256</v>
      </c>
      <c r="Q118">
        <v>1</v>
      </c>
      <c r="X118">
        <v>2.15</v>
      </c>
      <c r="Y118">
        <v>0</v>
      </c>
      <c r="Z118">
        <v>0</v>
      </c>
      <c r="AA118">
        <v>0</v>
      </c>
      <c r="AB118">
        <v>0</v>
      </c>
      <c r="AC118">
        <v>0</v>
      </c>
      <c r="AD118">
        <v>1</v>
      </c>
      <c r="AE118">
        <v>1</v>
      </c>
      <c r="AF118" t="s">
        <v>3</v>
      </c>
      <c r="AG118">
        <v>2.15</v>
      </c>
      <c r="AH118">
        <v>2</v>
      </c>
      <c r="AI118">
        <v>78131109</v>
      </c>
      <c r="AJ118">
        <v>120</v>
      </c>
      <c r="AK118">
        <v>0</v>
      </c>
      <c r="AL118">
        <v>0</v>
      </c>
      <c r="AM118">
        <v>0</v>
      </c>
      <c r="AN118">
        <v>0</v>
      </c>
      <c r="AO118">
        <v>0</v>
      </c>
      <c r="AP118">
        <v>0</v>
      </c>
      <c r="AQ118">
        <v>0</v>
      </c>
      <c r="AR118">
        <v>0</v>
      </c>
    </row>
    <row r="119" spans="1:44" x14ac:dyDescent="0.2">
      <c r="A119">
        <f>ROW(Source!A141)</f>
        <v>141</v>
      </c>
      <c r="B119">
        <v>78131275</v>
      </c>
      <c r="C119">
        <v>78131108</v>
      </c>
      <c r="D119">
        <v>77809638</v>
      </c>
      <c r="E119">
        <v>1</v>
      </c>
      <c r="F119">
        <v>1</v>
      </c>
      <c r="G119">
        <v>37</v>
      </c>
      <c r="H119">
        <v>3</v>
      </c>
      <c r="I119" t="s">
        <v>336</v>
      </c>
      <c r="J119" t="s">
        <v>337</v>
      </c>
      <c r="K119" t="s">
        <v>338</v>
      </c>
      <c r="L119">
        <v>1354</v>
      </c>
      <c r="N119">
        <v>1010</v>
      </c>
      <c r="O119" t="s">
        <v>29</v>
      </c>
      <c r="P119" t="s">
        <v>29</v>
      </c>
      <c r="Q119">
        <v>1</v>
      </c>
      <c r="X119">
        <v>3</v>
      </c>
      <c r="Y119">
        <v>2.67</v>
      </c>
      <c r="Z119">
        <v>0</v>
      </c>
      <c r="AA119">
        <v>0</v>
      </c>
      <c r="AB119">
        <v>0</v>
      </c>
      <c r="AC119">
        <v>0</v>
      </c>
      <c r="AD119">
        <v>1</v>
      </c>
      <c r="AE119">
        <v>0</v>
      </c>
      <c r="AF119" t="s">
        <v>3</v>
      </c>
      <c r="AG119">
        <v>3</v>
      </c>
      <c r="AH119">
        <v>2</v>
      </c>
      <c r="AI119">
        <v>78131110</v>
      </c>
      <c r="AJ119">
        <v>121</v>
      </c>
      <c r="AK119">
        <v>0</v>
      </c>
      <c r="AL119">
        <v>0</v>
      </c>
      <c r="AM119">
        <v>0</v>
      </c>
      <c r="AN119">
        <v>0</v>
      </c>
      <c r="AO119">
        <v>0</v>
      </c>
      <c r="AP119">
        <v>0</v>
      </c>
      <c r="AQ119">
        <v>0</v>
      </c>
      <c r="AR119">
        <v>0</v>
      </c>
    </row>
    <row r="120" spans="1:44" x14ac:dyDescent="0.2">
      <c r="A120">
        <f>ROW(Source!A141)</f>
        <v>141</v>
      </c>
      <c r="B120">
        <v>78131276</v>
      </c>
      <c r="C120">
        <v>78131108</v>
      </c>
      <c r="D120">
        <v>77806712</v>
      </c>
      <c r="E120">
        <v>37</v>
      </c>
      <c r="F120">
        <v>1</v>
      </c>
      <c r="G120">
        <v>37</v>
      </c>
      <c r="H120">
        <v>3</v>
      </c>
      <c r="I120" t="s">
        <v>363</v>
      </c>
      <c r="J120" t="s">
        <v>3</v>
      </c>
      <c r="K120" t="s">
        <v>364</v>
      </c>
      <c r="L120">
        <v>1301</v>
      </c>
      <c r="N120">
        <v>1003</v>
      </c>
      <c r="O120" t="s">
        <v>33</v>
      </c>
      <c r="P120" t="s">
        <v>33</v>
      </c>
      <c r="Q120">
        <v>1</v>
      </c>
      <c r="X120">
        <v>10.5</v>
      </c>
      <c r="Y120">
        <v>0</v>
      </c>
      <c r="Z120">
        <v>0</v>
      </c>
      <c r="AA120">
        <v>0</v>
      </c>
      <c r="AB120">
        <v>0</v>
      </c>
      <c r="AC120">
        <v>0</v>
      </c>
      <c r="AD120">
        <v>0</v>
      </c>
      <c r="AE120">
        <v>0</v>
      </c>
      <c r="AF120" t="s">
        <v>3</v>
      </c>
      <c r="AG120">
        <v>10.5</v>
      </c>
      <c r="AH120">
        <v>3</v>
      </c>
      <c r="AI120">
        <v>-1</v>
      </c>
      <c r="AJ120" t="s">
        <v>3</v>
      </c>
      <c r="AK120">
        <v>0</v>
      </c>
      <c r="AL120">
        <v>0</v>
      </c>
      <c r="AM120">
        <v>0</v>
      </c>
      <c r="AN120">
        <v>0</v>
      </c>
      <c r="AO120">
        <v>0</v>
      </c>
      <c r="AP120">
        <v>0</v>
      </c>
      <c r="AQ120">
        <v>0</v>
      </c>
      <c r="AR120">
        <v>0</v>
      </c>
    </row>
    <row r="121" spans="1:44" x14ac:dyDescent="0.2">
      <c r="A121">
        <f>ROW(Source!A141)</f>
        <v>141</v>
      </c>
      <c r="B121">
        <v>78131277</v>
      </c>
      <c r="C121">
        <v>78131108</v>
      </c>
      <c r="D121">
        <v>77806783</v>
      </c>
      <c r="E121">
        <v>37</v>
      </c>
      <c r="F121">
        <v>1</v>
      </c>
      <c r="G121">
        <v>37</v>
      </c>
      <c r="H121">
        <v>3</v>
      </c>
      <c r="I121" t="s">
        <v>232</v>
      </c>
      <c r="J121" t="s">
        <v>3</v>
      </c>
      <c r="K121" t="s">
        <v>233</v>
      </c>
      <c r="L121">
        <v>1327</v>
      </c>
      <c r="N121">
        <v>1005</v>
      </c>
      <c r="O121" t="s">
        <v>234</v>
      </c>
      <c r="P121" t="s">
        <v>234</v>
      </c>
      <c r="Q121">
        <v>1</v>
      </c>
      <c r="X121">
        <v>0.25</v>
      </c>
      <c r="Y121">
        <v>0</v>
      </c>
      <c r="Z121">
        <v>0</v>
      </c>
      <c r="AA121">
        <v>0</v>
      </c>
      <c r="AB121">
        <v>0</v>
      </c>
      <c r="AC121">
        <v>0</v>
      </c>
      <c r="AD121">
        <v>0</v>
      </c>
      <c r="AE121">
        <v>0</v>
      </c>
      <c r="AF121" t="s">
        <v>3</v>
      </c>
      <c r="AG121">
        <v>0.25</v>
      </c>
      <c r="AH121">
        <v>2</v>
      </c>
      <c r="AI121">
        <v>78131120</v>
      </c>
      <c r="AJ121">
        <v>125</v>
      </c>
      <c r="AK121">
        <v>0</v>
      </c>
      <c r="AL121">
        <v>0</v>
      </c>
      <c r="AM121">
        <v>0</v>
      </c>
      <c r="AN121">
        <v>0</v>
      </c>
      <c r="AO121">
        <v>0</v>
      </c>
      <c r="AP121">
        <v>0</v>
      </c>
      <c r="AQ121">
        <v>0</v>
      </c>
      <c r="AR121">
        <v>0</v>
      </c>
    </row>
    <row r="122" spans="1:44" x14ac:dyDescent="0.2">
      <c r="A122">
        <f>ROW(Source!A141)</f>
        <v>141</v>
      </c>
      <c r="B122">
        <v>78131278</v>
      </c>
      <c r="C122">
        <v>78131108</v>
      </c>
      <c r="D122">
        <v>77806782</v>
      </c>
      <c r="E122">
        <v>37</v>
      </c>
      <c r="F122">
        <v>1</v>
      </c>
      <c r="G122">
        <v>37</v>
      </c>
      <c r="H122">
        <v>3</v>
      </c>
      <c r="I122" t="s">
        <v>365</v>
      </c>
      <c r="J122" t="s">
        <v>3</v>
      </c>
      <c r="K122" t="s">
        <v>366</v>
      </c>
      <c r="L122">
        <v>1301</v>
      </c>
      <c r="N122">
        <v>1003</v>
      </c>
      <c r="O122" t="s">
        <v>33</v>
      </c>
      <c r="P122" t="s">
        <v>33</v>
      </c>
      <c r="Q122">
        <v>1</v>
      </c>
      <c r="X122">
        <v>10.5</v>
      </c>
      <c r="Y122">
        <v>0</v>
      </c>
      <c r="Z122">
        <v>0</v>
      </c>
      <c r="AA122">
        <v>0</v>
      </c>
      <c r="AB122">
        <v>0</v>
      </c>
      <c r="AC122">
        <v>0</v>
      </c>
      <c r="AD122">
        <v>0</v>
      </c>
      <c r="AE122">
        <v>0</v>
      </c>
      <c r="AF122" t="s">
        <v>3</v>
      </c>
      <c r="AG122">
        <v>10.5</v>
      </c>
      <c r="AH122">
        <v>3</v>
      </c>
      <c r="AI122">
        <v>-1</v>
      </c>
      <c r="AJ122" t="s">
        <v>3</v>
      </c>
      <c r="AK122">
        <v>0</v>
      </c>
      <c r="AL122">
        <v>0</v>
      </c>
      <c r="AM122">
        <v>0</v>
      </c>
      <c r="AN122">
        <v>0</v>
      </c>
      <c r="AO122">
        <v>0</v>
      </c>
      <c r="AP122">
        <v>0</v>
      </c>
      <c r="AQ122">
        <v>0</v>
      </c>
      <c r="AR122">
        <v>0</v>
      </c>
    </row>
    <row r="123" spans="1:44" x14ac:dyDescent="0.2">
      <c r="A123">
        <f>ROW(Source!A141)</f>
        <v>141</v>
      </c>
      <c r="B123">
        <v>78131279</v>
      </c>
      <c r="C123">
        <v>78131108</v>
      </c>
      <c r="D123">
        <v>77806784</v>
      </c>
      <c r="E123">
        <v>37</v>
      </c>
      <c r="F123">
        <v>1</v>
      </c>
      <c r="G123">
        <v>37</v>
      </c>
      <c r="H123">
        <v>3</v>
      </c>
      <c r="I123" t="s">
        <v>244</v>
      </c>
      <c r="J123" t="s">
        <v>3</v>
      </c>
      <c r="K123" t="s">
        <v>245</v>
      </c>
      <c r="L123">
        <v>1296</v>
      </c>
      <c r="N123">
        <v>1002</v>
      </c>
      <c r="O123" t="s">
        <v>246</v>
      </c>
      <c r="P123" t="s">
        <v>246</v>
      </c>
      <c r="Q123">
        <v>1</v>
      </c>
      <c r="X123">
        <v>0</v>
      </c>
      <c r="Y123">
        <v>0</v>
      </c>
      <c r="Z123">
        <v>0</v>
      </c>
      <c r="AA123">
        <v>0</v>
      </c>
      <c r="AB123">
        <v>0</v>
      </c>
      <c r="AC123">
        <v>0</v>
      </c>
      <c r="AD123">
        <v>0</v>
      </c>
      <c r="AE123">
        <v>0</v>
      </c>
      <c r="AF123" t="s">
        <v>3</v>
      </c>
      <c r="AG123">
        <v>0</v>
      </c>
      <c r="AH123">
        <v>2</v>
      </c>
      <c r="AI123">
        <v>78131126</v>
      </c>
      <c r="AJ123">
        <v>126</v>
      </c>
      <c r="AK123">
        <v>0</v>
      </c>
      <c r="AL123">
        <v>0</v>
      </c>
      <c r="AM123">
        <v>0</v>
      </c>
      <c r="AN123">
        <v>0</v>
      </c>
      <c r="AO123">
        <v>0</v>
      </c>
      <c r="AP123">
        <v>0</v>
      </c>
      <c r="AQ123">
        <v>0</v>
      </c>
      <c r="AR123">
        <v>0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.140625" defaultRowHeight="12.75" x14ac:dyDescent="0.2"/>
  <cols>
    <col min="1" max="256" width="9.140625" customWidth="1"/>
  </cols>
  <sheetData/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10</vt:i4>
      </vt:variant>
      <vt:variant>
        <vt:lpstr>Именованные диапазоны</vt:lpstr>
      </vt:variant>
      <vt:variant>
        <vt:i4>6</vt:i4>
      </vt:variant>
    </vt:vector>
  </HeadingPairs>
  <TitlesOfParts>
    <vt:vector size="16" baseType="lpstr">
      <vt:lpstr>Смета СН-2012 по гл. 1-5</vt:lpstr>
      <vt:lpstr>Дефектная ведомость</vt:lpstr>
      <vt:lpstr>RV_DATA</vt:lpstr>
      <vt:lpstr>Расчет стоимости ресурсов</vt:lpstr>
      <vt:lpstr>Source</vt:lpstr>
      <vt:lpstr>SourceObSm</vt:lpstr>
      <vt:lpstr>SmtRes</vt:lpstr>
      <vt:lpstr>EtalonRes</vt:lpstr>
      <vt:lpstr>SrcPoprs</vt:lpstr>
      <vt:lpstr>SrcKA</vt:lpstr>
      <vt:lpstr>'Дефектная ведомость'!Заголовки_для_печати</vt:lpstr>
      <vt:lpstr>'Расчет стоимости ресурсов'!Заголовки_для_печати</vt:lpstr>
      <vt:lpstr>'Смета СН-2012 по гл. 1-5'!Заголовки_для_печати</vt:lpstr>
      <vt:lpstr>'Дефектная ведомость'!Область_печати</vt:lpstr>
      <vt:lpstr>'Расчет стоимости ресурсов'!Область_печати</vt:lpstr>
      <vt:lpstr>'Смета СН-2012 по гл. 1-5'!Область_печати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2025-01-16T07:10:39Z</cp:lastPrinted>
  <dcterms:created xsi:type="dcterms:W3CDTF">2025-01-15T08:08:54Z</dcterms:created>
  <dcterms:modified xsi:type="dcterms:W3CDTF">2025-01-16T07:12:53Z</dcterms:modified>
</cp:coreProperties>
</file>