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255" windowHeight="2130"/>
  </bookViews>
  <sheets>
    <sheet name="Смета СН-2012 по гл. 1-5" sheetId="7" r:id="rId1"/>
    <sheet name="Дефектная ведомость" sheetId="8" r:id="rId2"/>
    <sheet name="RV_DATA" sheetId="10" state="hidden" r:id="rId3"/>
    <sheet name="Расчет стоимости ресурсов" sheetId="9" r:id="rId4"/>
    <sheet name="Source" sheetId="1" r:id="rId5"/>
    <sheet name="SourceObSm" sheetId="2" r:id="rId6"/>
    <sheet name="SmtRes" sheetId="3" r:id="rId7"/>
    <sheet name="EtalonRes" sheetId="4" r:id="rId8"/>
    <sheet name="SrcPoprs" sheetId="5" r:id="rId9"/>
    <sheet name="SrcKA" sheetId="6" r:id="rId10"/>
  </sheets>
  <externalReferences>
    <externalReference r:id="rId11"/>
  </externalReferences>
  <definedNames>
    <definedName name="_xlnm.Print_Titles" localSheetId="1">'Дефектная ведомость'!$19:$19</definedName>
    <definedName name="_xlnm.Print_Titles" localSheetId="3">'Расчет стоимости ресурсов'!$4:$7</definedName>
    <definedName name="_xlnm.Print_Titles" localSheetId="0">'Смета СН-2012 по гл. 1-5'!$30:$30</definedName>
    <definedName name="_xlnm.Print_Area" localSheetId="1">'Дефектная ведомость'!$A$1:$E$37</definedName>
    <definedName name="_xlnm.Print_Area" localSheetId="3">'Расчет стоимости ресурсов'!$A$1:$G$59</definedName>
    <definedName name="_xlnm.Print_Area" localSheetId="0">'Смета СН-2012 по гл. 1-5'!$A$1:$K$131</definedName>
  </definedNames>
  <calcPr calcId="145621"/>
</workbook>
</file>

<file path=xl/calcChain.xml><?xml version="1.0" encoding="utf-8"?>
<calcChain xmlns="http://schemas.openxmlformats.org/spreadsheetml/2006/main">
  <c r="A1" i="8" l="1"/>
  <c r="A53" i="9" l="1"/>
  <c r="D43" i="9"/>
  <c r="D32" i="9"/>
  <c r="D34" i="9"/>
  <c r="D39" i="9"/>
  <c r="D41" i="9"/>
  <c r="D50" i="9"/>
  <c r="D28" i="9"/>
  <c r="D36" i="9"/>
  <c r="D48" i="9"/>
  <c r="D35" i="9"/>
  <c r="D47" i="9"/>
  <c r="E25" i="9"/>
  <c r="E21" i="9"/>
  <c r="E22" i="9"/>
  <c r="E11" i="9"/>
  <c r="E15" i="9"/>
  <c r="E17" i="9"/>
  <c r="E18" i="9"/>
  <c r="A9" i="9"/>
  <c r="A8" i="9"/>
  <c r="A3" i="9"/>
  <c r="Z55" i="10"/>
  <c r="T55" i="10"/>
  <c r="Q55" i="10"/>
  <c r="R55" i="10" s="1"/>
  <c r="S55" i="10"/>
  <c r="P55" i="10"/>
  <c r="O55" i="10"/>
  <c r="M55" i="10"/>
  <c r="L55" i="10"/>
  <c r="N55" i="10"/>
  <c r="K55" i="10"/>
  <c r="J55" i="10"/>
  <c r="I55" i="10"/>
  <c r="H55" i="10"/>
  <c r="G55" i="10"/>
  <c r="F55" i="10"/>
  <c r="E55" i="10"/>
  <c r="Z54" i="10"/>
  <c r="T54" i="10"/>
  <c r="R54" i="10"/>
  <c r="Q54" i="10"/>
  <c r="S54" i="10"/>
  <c r="P54" i="10"/>
  <c r="O54" i="10"/>
  <c r="L54" i="10"/>
  <c r="M54" i="10" s="1"/>
  <c r="N54" i="10"/>
  <c r="K54" i="10"/>
  <c r="J54" i="10"/>
  <c r="I54" i="10"/>
  <c r="H54" i="10"/>
  <c r="G54" i="10"/>
  <c r="F54" i="10"/>
  <c r="E54" i="10"/>
  <c r="Z53" i="10"/>
  <c r="T53" i="10"/>
  <c r="Q53" i="10"/>
  <c r="R53" i="10" s="1"/>
  <c r="S53" i="10"/>
  <c r="P53" i="10"/>
  <c r="M53" i="10"/>
  <c r="F56" i="9" s="1"/>
  <c r="L53" i="10"/>
  <c r="O53" i="10" s="1"/>
  <c r="G56" i="9" s="1"/>
  <c r="N53" i="10"/>
  <c r="K53" i="10"/>
  <c r="E56" i="9" s="1"/>
  <c r="J53" i="10"/>
  <c r="I53" i="10"/>
  <c r="D56" i="9" s="1"/>
  <c r="H53" i="10"/>
  <c r="G53" i="10"/>
  <c r="F53" i="10"/>
  <c r="E53" i="10"/>
  <c r="Z52" i="10"/>
  <c r="Q52" i="10"/>
  <c r="T52" i="10" s="1"/>
  <c r="S52" i="10"/>
  <c r="P52" i="10"/>
  <c r="O52" i="10"/>
  <c r="G57" i="9" s="1"/>
  <c r="L52" i="10"/>
  <c r="M52" i="10" s="1"/>
  <c r="N52" i="10"/>
  <c r="K52" i="10"/>
  <c r="E57" i="9" s="1"/>
  <c r="J52" i="10"/>
  <c r="I52" i="10"/>
  <c r="D57" i="9" s="1"/>
  <c r="H52" i="10"/>
  <c r="G52" i="10"/>
  <c r="F52" i="10"/>
  <c r="E52" i="10"/>
  <c r="Z51" i="10"/>
  <c r="Q51" i="10"/>
  <c r="T51" i="10" s="1"/>
  <c r="S51" i="10"/>
  <c r="P51" i="10"/>
  <c r="O51" i="10"/>
  <c r="G55" i="9" s="1"/>
  <c r="M51" i="10"/>
  <c r="F55" i="9" s="1"/>
  <c r="L51" i="10"/>
  <c r="N51" i="10"/>
  <c r="K51" i="10"/>
  <c r="E55" i="9" s="1"/>
  <c r="J51" i="10"/>
  <c r="I51" i="10"/>
  <c r="D55" i="9" s="1"/>
  <c r="H51" i="10"/>
  <c r="G51" i="10"/>
  <c r="F51" i="10"/>
  <c r="E51" i="10"/>
  <c r="G50" i="10"/>
  <c r="A50" i="10"/>
  <c r="Z49" i="10"/>
  <c r="R49" i="10"/>
  <c r="Q49" i="10"/>
  <c r="T49" i="10" s="1"/>
  <c r="S49" i="10"/>
  <c r="P49" i="10"/>
  <c r="L49" i="10"/>
  <c r="O49" i="10" s="1"/>
  <c r="G42" i="9" s="1"/>
  <c r="N49" i="10"/>
  <c r="K49" i="10"/>
  <c r="E42" i="9" s="1"/>
  <c r="J49" i="10"/>
  <c r="I49" i="10"/>
  <c r="D42" i="9" s="1"/>
  <c r="H49" i="10"/>
  <c r="G49" i="10"/>
  <c r="F49" i="10"/>
  <c r="E49" i="10"/>
  <c r="Z48" i="10"/>
  <c r="T48" i="10"/>
  <c r="Q48" i="10"/>
  <c r="R48" i="10" s="1"/>
  <c r="S48" i="10"/>
  <c r="P48" i="10"/>
  <c r="O48" i="10"/>
  <c r="G43" i="9" s="1"/>
  <c r="M48" i="10"/>
  <c r="F43" i="9" s="1"/>
  <c r="L48" i="10"/>
  <c r="N48" i="10"/>
  <c r="K48" i="10"/>
  <c r="E43" i="9" s="1"/>
  <c r="J48" i="10"/>
  <c r="I48" i="10"/>
  <c r="H48" i="10"/>
  <c r="G48" i="10"/>
  <c r="F48" i="10"/>
  <c r="E48" i="10"/>
  <c r="Z47" i="10"/>
  <c r="T47" i="10"/>
  <c r="R47" i="10"/>
  <c r="Q47" i="10"/>
  <c r="S47" i="10"/>
  <c r="P47" i="10"/>
  <c r="O47" i="10"/>
  <c r="G23" i="9" s="1"/>
  <c r="L47" i="10"/>
  <c r="M47" i="10" s="1"/>
  <c r="F23" i="9" s="1"/>
  <c r="N47" i="10"/>
  <c r="K47" i="10"/>
  <c r="E23" i="9" s="1"/>
  <c r="J47" i="10"/>
  <c r="I47" i="10"/>
  <c r="D23" i="9" s="1"/>
  <c r="H47" i="10"/>
  <c r="G47" i="10"/>
  <c r="F47" i="10"/>
  <c r="E47" i="10"/>
  <c r="Z46" i="10"/>
  <c r="T46" i="10"/>
  <c r="Q46" i="10"/>
  <c r="R46" i="10" s="1"/>
  <c r="S46" i="10"/>
  <c r="P46" i="10"/>
  <c r="M46" i="10"/>
  <c r="F25" i="9" s="1"/>
  <c r="L46" i="10"/>
  <c r="O46" i="10" s="1"/>
  <c r="G25" i="9" s="1"/>
  <c r="N46" i="10"/>
  <c r="K46" i="10"/>
  <c r="J46" i="10"/>
  <c r="I46" i="10"/>
  <c r="D25" i="9" s="1"/>
  <c r="H46" i="10"/>
  <c r="G46" i="10"/>
  <c r="F46" i="10"/>
  <c r="E46" i="10"/>
  <c r="Z45" i="10"/>
  <c r="Q45" i="10"/>
  <c r="T45" i="10" s="1"/>
  <c r="S45" i="10"/>
  <c r="P45" i="10"/>
  <c r="O45" i="10"/>
  <c r="G44" i="9" s="1"/>
  <c r="L45" i="10"/>
  <c r="M45" i="10" s="1"/>
  <c r="F44" i="9" s="1"/>
  <c r="N45" i="10"/>
  <c r="K45" i="10"/>
  <c r="E44" i="9" s="1"/>
  <c r="J45" i="10"/>
  <c r="I45" i="10"/>
  <c r="D44" i="9" s="1"/>
  <c r="H45" i="10"/>
  <c r="G45" i="10"/>
  <c r="F45" i="10"/>
  <c r="E45" i="10"/>
  <c r="Z44" i="10"/>
  <c r="Q44" i="10"/>
  <c r="T44" i="10" s="1"/>
  <c r="S44" i="10"/>
  <c r="P44" i="10"/>
  <c r="O44" i="10"/>
  <c r="G14" i="9" s="1"/>
  <c r="M44" i="10"/>
  <c r="F14" i="9" s="1"/>
  <c r="L44" i="10"/>
  <c r="N44" i="10"/>
  <c r="K44" i="10"/>
  <c r="E14" i="9" s="1"/>
  <c r="J44" i="10"/>
  <c r="I44" i="10"/>
  <c r="D14" i="9" s="1"/>
  <c r="H44" i="10"/>
  <c r="G44" i="10"/>
  <c r="F44" i="10"/>
  <c r="E44" i="10"/>
  <c r="Z43" i="10"/>
  <c r="T43" i="10"/>
  <c r="R43" i="10"/>
  <c r="Q43" i="10"/>
  <c r="S43" i="10"/>
  <c r="P43" i="10"/>
  <c r="O43" i="10"/>
  <c r="G20" i="9" s="1"/>
  <c r="L43" i="10"/>
  <c r="M43" i="10" s="1"/>
  <c r="F20" i="9" s="1"/>
  <c r="N43" i="10"/>
  <c r="K43" i="10"/>
  <c r="E20" i="9" s="1"/>
  <c r="J43" i="10"/>
  <c r="I43" i="10"/>
  <c r="D20" i="9" s="1"/>
  <c r="H43" i="10"/>
  <c r="G43" i="10"/>
  <c r="F43" i="10"/>
  <c r="E43" i="10"/>
  <c r="Z42" i="10"/>
  <c r="T42" i="10"/>
  <c r="Q42" i="10"/>
  <c r="R42" i="10" s="1"/>
  <c r="S42" i="10"/>
  <c r="P42" i="10"/>
  <c r="L42" i="10"/>
  <c r="O42" i="10" s="1"/>
  <c r="G21" i="9" s="1"/>
  <c r="N42" i="10"/>
  <c r="K42" i="10"/>
  <c r="J42" i="10"/>
  <c r="I42" i="10"/>
  <c r="D21" i="9" s="1"/>
  <c r="H42" i="10"/>
  <c r="G42" i="10"/>
  <c r="F42" i="10"/>
  <c r="E42" i="10"/>
  <c r="Z41" i="10"/>
  <c r="R41" i="10"/>
  <c r="Q41" i="10"/>
  <c r="T41" i="10" s="1"/>
  <c r="S41" i="10"/>
  <c r="P41" i="10"/>
  <c r="L41" i="10"/>
  <c r="O41" i="10" s="1"/>
  <c r="G22" i="9" s="1"/>
  <c r="N41" i="10"/>
  <c r="K41" i="10"/>
  <c r="J41" i="10"/>
  <c r="I41" i="10"/>
  <c r="D22" i="9" s="1"/>
  <c r="H41" i="10"/>
  <c r="G41" i="10"/>
  <c r="F41" i="10"/>
  <c r="E41" i="10"/>
  <c r="Z40" i="10"/>
  <c r="T40" i="10"/>
  <c r="Q40" i="10"/>
  <c r="R40" i="10" s="1"/>
  <c r="S40" i="10"/>
  <c r="P40" i="10"/>
  <c r="O40" i="10"/>
  <c r="G24" i="9" s="1"/>
  <c r="M40" i="10"/>
  <c r="F24" i="9" s="1"/>
  <c r="L40" i="10"/>
  <c r="N40" i="10"/>
  <c r="K40" i="10"/>
  <c r="E24" i="9" s="1"/>
  <c r="J40" i="10"/>
  <c r="I40" i="10"/>
  <c r="D24" i="9" s="1"/>
  <c r="H40" i="10"/>
  <c r="G40" i="10"/>
  <c r="F40" i="10"/>
  <c r="E40" i="10"/>
  <c r="Z39" i="10"/>
  <c r="T39" i="10"/>
  <c r="R39" i="10"/>
  <c r="Q39" i="10"/>
  <c r="S39" i="10"/>
  <c r="P39" i="10"/>
  <c r="O39" i="10"/>
  <c r="G32" i="9" s="1"/>
  <c r="L39" i="10"/>
  <c r="M39" i="10" s="1"/>
  <c r="F32" i="9" s="1"/>
  <c r="N39" i="10"/>
  <c r="K39" i="10"/>
  <c r="E32" i="9" s="1"/>
  <c r="J39" i="10"/>
  <c r="I39" i="10"/>
  <c r="H39" i="10"/>
  <c r="G39" i="10"/>
  <c r="F39" i="10"/>
  <c r="E39" i="10"/>
  <c r="Z38" i="10"/>
  <c r="T38" i="10"/>
  <c r="Q38" i="10"/>
  <c r="R38" i="10" s="1"/>
  <c r="S38" i="10"/>
  <c r="P38" i="10"/>
  <c r="M38" i="10"/>
  <c r="F33" i="9" s="1"/>
  <c r="L38" i="10"/>
  <c r="O38" i="10" s="1"/>
  <c r="G33" i="9" s="1"/>
  <c r="N38" i="10"/>
  <c r="K38" i="10"/>
  <c r="E33" i="9" s="1"/>
  <c r="J38" i="10"/>
  <c r="I38" i="10"/>
  <c r="D33" i="9" s="1"/>
  <c r="H38" i="10"/>
  <c r="G38" i="10"/>
  <c r="F38" i="10"/>
  <c r="E38" i="10"/>
  <c r="Z37" i="10"/>
  <c r="Q37" i="10"/>
  <c r="T37" i="10" s="1"/>
  <c r="S37" i="10"/>
  <c r="P37" i="10"/>
  <c r="O37" i="10"/>
  <c r="G38" i="9" s="1"/>
  <c r="L37" i="10"/>
  <c r="M37" i="10" s="1"/>
  <c r="F38" i="9" s="1"/>
  <c r="N37" i="10"/>
  <c r="K37" i="10"/>
  <c r="E38" i="9" s="1"/>
  <c r="J37" i="10"/>
  <c r="I37" i="10"/>
  <c r="D38" i="9" s="1"/>
  <c r="H37" i="10"/>
  <c r="G37" i="10"/>
  <c r="F37" i="10"/>
  <c r="E37" i="10"/>
  <c r="Z36" i="10"/>
  <c r="Q36" i="10"/>
  <c r="R36" i="10" s="1"/>
  <c r="S36" i="10"/>
  <c r="P36" i="10"/>
  <c r="O36" i="10"/>
  <c r="G11" i="9" s="1"/>
  <c r="M36" i="10"/>
  <c r="F11" i="9" s="1"/>
  <c r="L36" i="10"/>
  <c r="N36" i="10"/>
  <c r="K36" i="10"/>
  <c r="J36" i="10"/>
  <c r="I36" i="10"/>
  <c r="D11" i="9" s="1"/>
  <c r="H36" i="10"/>
  <c r="G36" i="10"/>
  <c r="F36" i="10"/>
  <c r="E36" i="10"/>
  <c r="Z35" i="10"/>
  <c r="T35" i="10"/>
  <c r="R35" i="10"/>
  <c r="Q35" i="10"/>
  <c r="S35" i="10"/>
  <c r="P35" i="10"/>
  <c r="O35" i="10"/>
  <c r="G13" i="9" s="1"/>
  <c r="L35" i="10"/>
  <c r="M35" i="10" s="1"/>
  <c r="F13" i="9" s="1"/>
  <c r="N35" i="10"/>
  <c r="K35" i="10"/>
  <c r="E13" i="9" s="1"/>
  <c r="J35" i="10"/>
  <c r="I35" i="10"/>
  <c r="D13" i="9" s="1"/>
  <c r="H35" i="10"/>
  <c r="G35" i="10"/>
  <c r="F35" i="10"/>
  <c r="E35" i="10"/>
  <c r="Z34" i="10"/>
  <c r="T34" i="10"/>
  <c r="Q34" i="10"/>
  <c r="R34" i="10" s="1"/>
  <c r="S34" i="10"/>
  <c r="P34" i="10"/>
  <c r="L34" i="10"/>
  <c r="O34" i="10" s="1"/>
  <c r="G15" i="9" s="1"/>
  <c r="N34" i="10"/>
  <c r="K34" i="10"/>
  <c r="J34" i="10"/>
  <c r="I34" i="10"/>
  <c r="D15" i="9" s="1"/>
  <c r="H34" i="10"/>
  <c r="G34" i="10"/>
  <c r="F34" i="10"/>
  <c r="E34" i="10"/>
  <c r="Z33" i="10"/>
  <c r="R33" i="10"/>
  <c r="Q33" i="10"/>
  <c r="T33" i="10" s="1"/>
  <c r="S33" i="10"/>
  <c r="P33" i="10"/>
  <c r="L33" i="10"/>
  <c r="M33" i="10" s="1"/>
  <c r="F16" i="9" s="1"/>
  <c r="N33" i="10"/>
  <c r="K33" i="10"/>
  <c r="E16" i="9" s="1"/>
  <c r="J33" i="10"/>
  <c r="I33" i="10"/>
  <c r="D16" i="9" s="1"/>
  <c r="H33" i="10"/>
  <c r="G33" i="10"/>
  <c r="F33" i="10"/>
  <c r="E33" i="10"/>
  <c r="Z32" i="10"/>
  <c r="T32" i="10"/>
  <c r="Q32" i="10"/>
  <c r="R32" i="10" s="1"/>
  <c r="S32" i="10"/>
  <c r="P32" i="10"/>
  <c r="O32" i="10"/>
  <c r="G17" i="9" s="1"/>
  <c r="M32" i="10"/>
  <c r="F17" i="9" s="1"/>
  <c r="L32" i="10"/>
  <c r="N32" i="10"/>
  <c r="K32" i="10"/>
  <c r="J32" i="10"/>
  <c r="I32" i="10"/>
  <c r="D17" i="9" s="1"/>
  <c r="H32" i="10"/>
  <c r="G32" i="10"/>
  <c r="F32" i="10"/>
  <c r="E32" i="10"/>
  <c r="Z31" i="10"/>
  <c r="T31" i="10"/>
  <c r="R31" i="10"/>
  <c r="Q31" i="10"/>
  <c r="S31" i="10"/>
  <c r="P31" i="10"/>
  <c r="O31" i="10"/>
  <c r="G29" i="9" s="1"/>
  <c r="L31" i="10"/>
  <c r="M31" i="10" s="1"/>
  <c r="F29" i="9" s="1"/>
  <c r="N31" i="10"/>
  <c r="K31" i="10"/>
  <c r="E29" i="9" s="1"/>
  <c r="J31" i="10"/>
  <c r="I31" i="10"/>
  <c r="D29" i="9" s="1"/>
  <c r="H31" i="10"/>
  <c r="G31" i="10"/>
  <c r="F31" i="10"/>
  <c r="E31" i="10"/>
  <c r="Z30" i="10"/>
  <c r="T30" i="10"/>
  <c r="Q30" i="10"/>
  <c r="R30" i="10" s="1"/>
  <c r="S30" i="10"/>
  <c r="P30" i="10"/>
  <c r="M30" i="10"/>
  <c r="F34" i="9" s="1"/>
  <c r="L30" i="10"/>
  <c r="O30" i="10" s="1"/>
  <c r="G34" i="9" s="1"/>
  <c r="N30" i="10"/>
  <c r="K30" i="10"/>
  <c r="E34" i="9" s="1"/>
  <c r="J30" i="10"/>
  <c r="I30" i="10"/>
  <c r="H30" i="10"/>
  <c r="G30" i="10"/>
  <c r="F30" i="10"/>
  <c r="E30" i="10"/>
  <c r="Z29" i="10"/>
  <c r="Q29" i="10"/>
  <c r="T29" i="10" s="1"/>
  <c r="S29" i="10"/>
  <c r="P29" i="10"/>
  <c r="O29" i="10"/>
  <c r="G37" i="9" s="1"/>
  <c r="L29" i="10"/>
  <c r="M29" i="10" s="1"/>
  <c r="F37" i="9" s="1"/>
  <c r="N29" i="10"/>
  <c r="K29" i="10"/>
  <c r="E37" i="9" s="1"/>
  <c r="J29" i="10"/>
  <c r="I29" i="10"/>
  <c r="D37" i="9" s="1"/>
  <c r="H29" i="10"/>
  <c r="G29" i="10"/>
  <c r="F29" i="10"/>
  <c r="E29" i="10"/>
  <c r="Z28" i="10"/>
  <c r="Q28" i="10"/>
  <c r="T28" i="10" s="1"/>
  <c r="S28" i="10"/>
  <c r="P28" i="10"/>
  <c r="O28" i="10"/>
  <c r="G39" i="9" s="1"/>
  <c r="M28" i="10"/>
  <c r="F39" i="9" s="1"/>
  <c r="L28" i="10"/>
  <c r="N28" i="10"/>
  <c r="K28" i="10"/>
  <c r="E39" i="9" s="1"/>
  <c r="J28" i="10"/>
  <c r="I28" i="10"/>
  <c r="H28" i="10"/>
  <c r="G28" i="10"/>
  <c r="F28" i="10"/>
  <c r="E28" i="10"/>
  <c r="Z27" i="10"/>
  <c r="T27" i="10"/>
  <c r="R27" i="10"/>
  <c r="Q27" i="10"/>
  <c r="S27" i="10"/>
  <c r="P27" i="10"/>
  <c r="O27" i="10"/>
  <c r="G40" i="9" s="1"/>
  <c r="L27" i="10"/>
  <c r="M27" i="10" s="1"/>
  <c r="F40" i="9" s="1"/>
  <c r="N27" i="10"/>
  <c r="K27" i="10"/>
  <c r="E40" i="9" s="1"/>
  <c r="J27" i="10"/>
  <c r="I27" i="10"/>
  <c r="D40" i="9" s="1"/>
  <c r="H27" i="10"/>
  <c r="G27" i="10"/>
  <c r="F27" i="10"/>
  <c r="E27" i="10"/>
  <c r="Z26" i="10"/>
  <c r="T26" i="10"/>
  <c r="Q26" i="10"/>
  <c r="R26" i="10" s="1"/>
  <c r="S26" i="10"/>
  <c r="P26" i="10"/>
  <c r="L26" i="10"/>
  <c r="O26" i="10" s="1"/>
  <c r="G41" i="9" s="1"/>
  <c r="N26" i="10"/>
  <c r="K26" i="10"/>
  <c r="E41" i="9" s="1"/>
  <c r="J26" i="10"/>
  <c r="I26" i="10"/>
  <c r="H26" i="10"/>
  <c r="G26" i="10"/>
  <c r="F26" i="10"/>
  <c r="E26" i="10"/>
  <c r="Z25" i="10"/>
  <c r="R25" i="10"/>
  <c r="Q25" i="10"/>
  <c r="T25" i="10" s="1"/>
  <c r="S25" i="10"/>
  <c r="P25" i="10"/>
  <c r="L25" i="10"/>
  <c r="O25" i="10" s="1"/>
  <c r="G49" i="9" s="1"/>
  <c r="N25" i="10"/>
  <c r="K25" i="10"/>
  <c r="E49" i="9" s="1"/>
  <c r="J25" i="10"/>
  <c r="I25" i="10"/>
  <c r="D49" i="9" s="1"/>
  <c r="H25" i="10"/>
  <c r="G25" i="10"/>
  <c r="F25" i="10"/>
  <c r="E25" i="10"/>
  <c r="Z24" i="10"/>
  <c r="T24" i="10"/>
  <c r="Q24" i="10"/>
  <c r="R24" i="10" s="1"/>
  <c r="S24" i="10"/>
  <c r="P24" i="10"/>
  <c r="O24" i="10"/>
  <c r="G50" i="9" s="1"/>
  <c r="M24" i="10"/>
  <c r="F50" i="9" s="1"/>
  <c r="L24" i="10"/>
  <c r="N24" i="10"/>
  <c r="K24" i="10"/>
  <c r="E50" i="9" s="1"/>
  <c r="J24" i="10"/>
  <c r="I24" i="10"/>
  <c r="H24" i="10"/>
  <c r="G24" i="10"/>
  <c r="F24" i="10"/>
  <c r="E24" i="10"/>
  <c r="Z23" i="10"/>
  <c r="T23" i="10"/>
  <c r="R23" i="10"/>
  <c r="Q23" i="10"/>
  <c r="S23" i="10"/>
  <c r="P23" i="10"/>
  <c r="O23" i="10"/>
  <c r="G51" i="9" s="1"/>
  <c r="L23" i="10"/>
  <c r="M23" i="10" s="1"/>
  <c r="F51" i="9" s="1"/>
  <c r="N23" i="10"/>
  <c r="K23" i="10"/>
  <c r="E51" i="9" s="1"/>
  <c r="J23" i="10"/>
  <c r="I23" i="10"/>
  <c r="D51" i="9" s="1"/>
  <c r="H23" i="10"/>
  <c r="G23" i="10"/>
  <c r="F23" i="10"/>
  <c r="E23" i="10"/>
  <c r="Z22" i="10"/>
  <c r="S22" i="10"/>
  <c r="P22" i="10"/>
  <c r="R22" i="10" s="1"/>
  <c r="O22" i="10"/>
  <c r="G28" i="9" s="1"/>
  <c r="N22" i="10"/>
  <c r="M22" i="10"/>
  <c r="F28" i="9" s="1"/>
  <c r="K22" i="10"/>
  <c r="E28" i="9" s="1"/>
  <c r="I22" i="10"/>
  <c r="T22" i="10" s="1"/>
  <c r="H22" i="10"/>
  <c r="G22" i="10"/>
  <c r="F22" i="10"/>
  <c r="E22" i="10"/>
  <c r="D22" i="10"/>
  <c r="A22" i="10"/>
  <c r="Z21" i="10"/>
  <c r="T21" i="10"/>
  <c r="Q21" i="10"/>
  <c r="R21" i="10" s="1"/>
  <c r="S21" i="10"/>
  <c r="P21" i="10"/>
  <c r="M21" i="10"/>
  <c r="L21" i="10"/>
  <c r="O21" i="10" s="1"/>
  <c r="N21" i="10"/>
  <c r="K21" i="10"/>
  <c r="J21" i="10"/>
  <c r="I21" i="10"/>
  <c r="H21" i="10"/>
  <c r="G21" i="10"/>
  <c r="F21" i="10"/>
  <c r="E21" i="10"/>
  <c r="Z20" i="10"/>
  <c r="Q20" i="10"/>
  <c r="T20" i="10" s="1"/>
  <c r="S20" i="10"/>
  <c r="P20" i="10"/>
  <c r="O20" i="10"/>
  <c r="L20" i="10"/>
  <c r="M20" i="10" s="1"/>
  <c r="N20" i="10"/>
  <c r="K20" i="10"/>
  <c r="J20" i="10"/>
  <c r="I20" i="10"/>
  <c r="H20" i="10"/>
  <c r="G20" i="10"/>
  <c r="F20" i="10"/>
  <c r="E20" i="10"/>
  <c r="Z19" i="10"/>
  <c r="Q19" i="10"/>
  <c r="T19" i="10" s="1"/>
  <c r="S19" i="10"/>
  <c r="P19" i="10"/>
  <c r="O19" i="10"/>
  <c r="M19" i="10"/>
  <c r="L19" i="10"/>
  <c r="N19" i="10"/>
  <c r="K19" i="10"/>
  <c r="J19" i="10"/>
  <c r="I19" i="10"/>
  <c r="H19" i="10"/>
  <c r="G19" i="10"/>
  <c r="F19" i="10"/>
  <c r="E19" i="10"/>
  <c r="Z18" i="10"/>
  <c r="T18" i="10"/>
  <c r="R18" i="10"/>
  <c r="Q18" i="10"/>
  <c r="S18" i="10"/>
  <c r="P18" i="10"/>
  <c r="O18" i="10"/>
  <c r="G31" i="9" s="1"/>
  <c r="L18" i="10"/>
  <c r="M18" i="10" s="1"/>
  <c r="F31" i="9" s="1"/>
  <c r="N18" i="10"/>
  <c r="K18" i="10"/>
  <c r="E31" i="9" s="1"/>
  <c r="J18" i="10"/>
  <c r="I18" i="10"/>
  <c r="D31" i="9" s="1"/>
  <c r="H18" i="10"/>
  <c r="G18" i="10"/>
  <c r="F18" i="10"/>
  <c r="E18" i="10"/>
  <c r="Z17" i="10"/>
  <c r="T17" i="10"/>
  <c r="Q17" i="10"/>
  <c r="R17" i="10" s="1"/>
  <c r="S17" i="10"/>
  <c r="P17" i="10"/>
  <c r="L17" i="10"/>
  <c r="O17" i="10" s="1"/>
  <c r="G36" i="9" s="1"/>
  <c r="N17" i="10"/>
  <c r="K17" i="10"/>
  <c r="E36" i="9" s="1"/>
  <c r="J17" i="10"/>
  <c r="I17" i="10"/>
  <c r="H17" i="10"/>
  <c r="G17" i="10"/>
  <c r="F17" i="10"/>
  <c r="E17" i="10"/>
  <c r="Z16" i="10"/>
  <c r="R16" i="10"/>
  <c r="Q16" i="10"/>
  <c r="T16" i="10" s="1"/>
  <c r="S16" i="10"/>
  <c r="P16" i="10"/>
  <c r="L16" i="10"/>
  <c r="O16" i="10" s="1"/>
  <c r="G46" i="9" s="1"/>
  <c r="N16" i="10"/>
  <c r="K16" i="10"/>
  <c r="E46" i="9" s="1"/>
  <c r="J16" i="10"/>
  <c r="I16" i="10"/>
  <c r="D46" i="9" s="1"/>
  <c r="H16" i="10"/>
  <c r="G16" i="10"/>
  <c r="F16" i="10"/>
  <c r="E16" i="10"/>
  <c r="Z15" i="10"/>
  <c r="T15" i="10"/>
  <c r="Q15" i="10"/>
  <c r="R15" i="10" s="1"/>
  <c r="S15" i="10"/>
  <c r="P15" i="10"/>
  <c r="O15" i="10"/>
  <c r="G48" i="9" s="1"/>
  <c r="M15" i="10"/>
  <c r="F48" i="9" s="1"/>
  <c r="L15" i="10"/>
  <c r="N15" i="10"/>
  <c r="K15" i="10"/>
  <c r="E48" i="9" s="1"/>
  <c r="J15" i="10"/>
  <c r="I15" i="10"/>
  <c r="H15" i="10"/>
  <c r="G15" i="10"/>
  <c r="F15" i="10"/>
  <c r="E15" i="10"/>
  <c r="Z14" i="10"/>
  <c r="T14" i="10"/>
  <c r="R14" i="10"/>
  <c r="Q14" i="10"/>
  <c r="S14" i="10"/>
  <c r="P14" i="10"/>
  <c r="O14" i="10"/>
  <c r="G12" i="9" s="1"/>
  <c r="L14" i="10"/>
  <c r="M14" i="10" s="1"/>
  <c r="F12" i="9" s="1"/>
  <c r="N14" i="10"/>
  <c r="K14" i="10"/>
  <c r="E12" i="9" s="1"/>
  <c r="J14" i="10"/>
  <c r="I14" i="10"/>
  <c r="D12" i="9" s="1"/>
  <c r="H14" i="10"/>
  <c r="G14" i="10"/>
  <c r="F14" i="10"/>
  <c r="E14" i="10"/>
  <c r="Z13" i="10"/>
  <c r="T13" i="10"/>
  <c r="Q13" i="10"/>
  <c r="R13" i="10" s="1"/>
  <c r="S13" i="10"/>
  <c r="P13" i="10"/>
  <c r="M13" i="10"/>
  <c r="F18" i="9" s="1"/>
  <c r="L13" i="10"/>
  <c r="O13" i="10" s="1"/>
  <c r="G18" i="9" s="1"/>
  <c r="N13" i="10"/>
  <c r="K13" i="10"/>
  <c r="J13" i="10"/>
  <c r="I13" i="10"/>
  <c r="D18" i="9" s="1"/>
  <c r="H13" i="10"/>
  <c r="G13" i="10"/>
  <c r="F13" i="10"/>
  <c r="E13" i="10"/>
  <c r="Z12" i="10"/>
  <c r="Q12" i="10"/>
  <c r="T12" i="10" s="1"/>
  <c r="S12" i="10"/>
  <c r="P12" i="10"/>
  <c r="O12" i="10"/>
  <c r="G19" i="9" s="1"/>
  <c r="L12" i="10"/>
  <c r="M12" i="10" s="1"/>
  <c r="F19" i="9" s="1"/>
  <c r="N12" i="10"/>
  <c r="K12" i="10"/>
  <c r="E19" i="9" s="1"/>
  <c r="J12" i="10"/>
  <c r="I12" i="10"/>
  <c r="D19" i="9" s="1"/>
  <c r="H12" i="10"/>
  <c r="G12" i="10"/>
  <c r="F12" i="10"/>
  <c r="E12" i="10"/>
  <c r="Z11" i="10"/>
  <c r="Q11" i="10"/>
  <c r="R11" i="10" s="1"/>
  <c r="S11" i="10"/>
  <c r="P11" i="10"/>
  <c r="O11" i="10"/>
  <c r="G30" i="9" s="1"/>
  <c r="M11" i="10"/>
  <c r="F30" i="9" s="1"/>
  <c r="L11" i="10"/>
  <c r="N11" i="10"/>
  <c r="K11" i="10"/>
  <c r="E30" i="9" s="1"/>
  <c r="J11" i="10"/>
  <c r="I11" i="10"/>
  <c r="D30" i="9" s="1"/>
  <c r="H11" i="10"/>
  <c r="G11" i="10"/>
  <c r="F11" i="10"/>
  <c r="E11" i="10"/>
  <c r="Z10" i="10"/>
  <c r="T10" i="10"/>
  <c r="R10" i="10"/>
  <c r="Q10" i="10"/>
  <c r="S10" i="10"/>
  <c r="P10" i="10"/>
  <c r="O10" i="10"/>
  <c r="G35" i="9" s="1"/>
  <c r="L10" i="10"/>
  <c r="M10" i="10" s="1"/>
  <c r="F35" i="9" s="1"/>
  <c r="N10" i="10"/>
  <c r="K10" i="10"/>
  <c r="E35" i="9" s="1"/>
  <c r="J10" i="10"/>
  <c r="I10" i="10"/>
  <c r="H10" i="10"/>
  <c r="G10" i="10"/>
  <c r="F10" i="10"/>
  <c r="E10" i="10"/>
  <c r="Z9" i="10"/>
  <c r="T9" i="10"/>
  <c r="Q9" i="10"/>
  <c r="R9" i="10" s="1"/>
  <c r="S9" i="10"/>
  <c r="P9" i="10"/>
  <c r="L9" i="10"/>
  <c r="O9" i="10" s="1"/>
  <c r="G45" i="9" s="1"/>
  <c r="N9" i="10"/>
  <c r="K9" i="10"/>
  <c r="E45" i="9" s="1"/>
  <c r="J9" i="10"/>
  <c r="I9" i="10"/>
  <c r="D45" i="9" s="1"/>
  <c r="H9" i="10"/>
  <c r="G9" i="10"/>
  <c r="F9" i="10"/>
  <c r="E9" i="10"/>
  <c r="Z8" i="10"/>
  <c r="R8" i="10"/>
  <c r="Q8" i="10"/>
  <c r="T8" i="10" s="1"/>
  <c r="S8" i="10"/>
  <c r="P8" i="10"/>
  <c r="L8" i="10"/>
  <c r="O8" i="10" s="1"/>
  <c r="G47" i="9" s="1"/>
  <c r="N8" i="10"/>
  <c r="K8" i="10"/>
  <c r="E47" i="9" s="1"/>
  <c r="J8" i="10"/>
  <c r="I8" i="10"/>
  <c r="H8" i="10"/>
  <c r="G8" i="10"/>
  <c r="F8" i="10"/>
  <c r="E8" i="10"/>
  <c r="G7" i="10"/>
  <c r="A7" i="10"/>
  <c r="G6" i="10"/>
  <c r="A6" i="10"/>
  <c r="D32" i="8"/>
  <c r="C32" i="8"/>
  <c r="B32" i="8"/>
  <c r="D31" i="8"/>
  <c r="C31" i="8"/>
  <c r="B31" i="8"/>
  <c r="D30" i="8"/>
  <c r="C30" i="8"/>
  <c r="B30" i="8"/>
  <c r="A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A21" i="8"/>
  <c r="A20" i="8"/>
  <c r="AD13" i="8"/>
  <c r="A13" i="8"/>
  <c r="A12" i="8"/>
  <c r="H129" i="7"/>
  <c r="H126" i="7"/>
  <c r="C129" i="7"/>
  <c r="C126" i="7"/>
  <c r="I123" i="7"/>
  <c r="C123" i="7"/>
  <c r="I122" i="7"/>
  <c r="C122" i="7"/>
  <c r="I121" i="7"/>
  <c r="C121" i="7"/>
  <c r="AF120" i="7"/>
  <c r="A120" i="7"/>
  <c r="I118" i="7"/>
  <c r="C118" i="7"/>
  <c r="I117" i="7"/>
  <c r="C117" i="7"/>
  <c r="I116" i="7"/>
  <c r="C116" i="7"/>
  <c r="I25" i="7"/>
  <c r="I24" i="7"/>
  <c r="I23" i="7"/>
  <c r="I22" i="7"/>
  <c r="I21" i="7"/>
  <c r="I20" i="7"/>
  <c r="A114" i="7"/>
  <c r="A111" i="7"/>
  <c r="I109" i="7"/>
  <c r="K109" i="7" s="1"/>
  <c r="J108" i="7"/>
  <c r="I108" i="7"/>
  <c r="H108" i="7"/>
  <c r="G108" i="7"/>
  <c r="F108" i="7"/>
  <c r="J107" i="7"/>
  <c r="I107" i="7"/>
  <c r="H107" i="7"/>
  <c r="G107" i="7"/>
  <c r="F107" i="7"/>
  <c r="V106" i="7"/>
  <c r="T106" i="7"/>
  <c r="R106" i="7"/>
  <c r="U106" i="7"/>
  <c r="S106" i="7"/>
  <c r="Q106" i="7"/>
  <c r="E106" i="7"/>
  <c r="D106" i="7"/>
  <c r="C106" i="7"/>
  <c r="B106" i="7"/>
  <c r="J104" i="7"/>
  <c r="I104" i="7"/>
  <c r="H104" i="7"/>
  <c r="G104" i="7"/>
  <c r="F104" i="7"/>
  <c r="J103" i="7"/>
  <c r="I105" i="7" s="1"/>
  <c r="I103" i="7"/>
  <c r="H103" i="7"/>
  <c r="G103" i="7"/>
  <c r="F103" i="7"/>
  <c r="V102" i="7"/>
  <c r="T102" i="7"/>
  <c r="R102" i="7"/>
  <c r="U102" i="7"/>
  <c r="S102" i="7"/>
  <c r="Q102" i="7"/>
  <c r="E102" i="7"/>
  <c r="D102" i="7"/>
  <c r="C102" i="7"/>
  <c r="B102" i="7"/>
  <c r="E100" i="7"/>
  <c r="J99" i="7"/>
  <c r="I99" i="7"/>
  <c r="H99" i="7"/>
  <c r="G99" i="7"/>
  <c r="F99" i="7"/>
  <c r="J98" i="7"/>
  <c r="I98" i="7"/>
  <c r="H98" i="7"/>
  <c r="G98" i="7"/>
  <c r="F98" i="7"/>
  <c r="V97" i="7"/>
  <c r="J100" i="7" s="1"/>
  <c r="T97" i="7"/>
  <c r="R97" i="7"/>
  <c r="U97" i="7"/>
  <c r="S97" i="7"/>
  <c r="Q97" i="7"/>
  <c r="E97" i="7"/>
  <c r="D97" i="7"/>
  <c r="C97" i="7"/>
  <c r="B97" i="7"/>
  <c r="A96" i="7"/>
  <c r="A93" i="7"/>
  <c r="K90" i="7"/>
  <c r="H90" i="7"/>
  <c r="G90" i="7"/>
  <c r="E90" i="7"/>
  <c r="E89" i="7"/>
  <c r="J88" i="7"/>
  <c r="E88" i="7"/>
  <c r="J87" i="7"/>
  <c r="I87" i="7"/>
  <c r="H87" i="7"/>
  <c r="G87" i="7"/>
  <c r="F87" i="7"/>
  <c r="J86" i="7"/>
  <c r="I86" i="7"/>
  <c r="H86" i="7"/>
  <c r="G86" i="7"/>
  <c r="F86" i="7"/>
  <c r="V85" i="7"/>
  <c r="T85" i="7"/>
  <c r="J89" i="7" s="1"/>
  <c r="R85" i="7"/>
  <c r="U85" i="7"/>
  <c r="S85" i="7"/>
  <c r="Q85" i="7"/>
  <c r="E85" i="7"/>
  <c r="D85" i="7"/>
  <c r="C85" i="7"/>
  <c r="B85" i="7"/>
  <c r="K83" i="7"/>
  <c r="H83" i="7"/>
  <c r="G83" i="7"/>
  <c r="E83" i="7"/>
  <c r="E82" i="7"/>
  <c r="E81" i="7"/>
  <c r="E80" i="7"/>
  <c r="J79" i="7"/>
  <c r="I79" i="7"/>
  <c r="H79" i="7"/>
  <c r="G79" i="7"/>
  <c r="F79" i="7"/>
  <c r="J78" i="7"/>
  <c r="I78" i="7"/>
  <c r="H78" i="7"/>
  <c r="G78" i="7"/>
  <c r="F78" i="7"/>
  <c r="J77" i="7"/>
  <c r="I77" i="7"/>
  <c r="H77" i="7"/>
  <c r="G77" i="7"/>
  <c r="F77" i="7"/>
  <c r="J76" i="7"/>
  <c r="I76" i="7"/>
  <c r="H76" i="7"/>
  <c r="G76" i="7"/>
  <c r="F76" i="7"/>
  <c r="V75" i="7"/>
  <c r="J82" i="7" s="1"/>
  <c r="T75" i="7"/>
  <c r="J81" i="7" s="1"/>
  <c r="R75" i="7"/>
  <c r="J80" i="7" s="1"/>
  <c r="U75" i="7"/>
  <c r="S75" i="7"/>
  <c r="Q75" i="7"/>
  <c r="E75" i="7"/>
  <c r="D75" i="7"/>
  <c r="C75" i="7"/>
  <c r="B75" i="7"/>
  <c r="K73" i="7"/>
  <c r="H73" i="7"/>
  <c r="G73" i="7"/>
  <c r="E73" i="7"/>
  <c r="E72" i="7"/>
  <c r="E71" i="7"/>
  <c r="E70" i="7"/>
  <c r="J69" i="7"/>
  <c r="I69" i="7"/>
  <c r="H69" i="7"/>
  <c r="G69" i="7"/>
  <c r="F69" i="7"/>
  <c r="J68" i="7"/>
  <c r="I68" i="7"/>
  <c r="H68" i="7"/>
  <c r="G68" i="7"/>
  <c r="F68" i="7"/>
  <c r="J67" i="7"/>
  <c r="I67" i="7"/>
  <c r="H67" i="7"/>
  <c r="G67" i="7"/>
  <c r="F67" i="7"/>
  <c r="J66" i="7"/>
  <c r="I66" i="7"/>
  <c r="H66" i="7"/>
  <c r="G66" i="7"/>
  <c r="F66" i="7"/>
  <c r="V65" i="7"/>
  <c r="J72" i="7" s="1"/>
  <c r="T65" i="7"/>
  <c r="J71" i="7" s="1"/>
  <c r="R65" i="7"/>
  <c r="J70" i="7" s="1"/>
  <c r="I74" i="7" s="1"/>
  <c r="U65" i="7"/>
  <c r="S65" i="7"/>
  <c r="Q65" i="7"/>
  <c r="E65" i="7"/>
  <c r="D65" i="7"/>
  <c r="C65" i="7"/>
  <c r="B65" i="7"/>
  <c r="K63" i="7"/>
  <c r="H63" i="7"/>
  <c r="G63" i="7"/>
  <c r="E63" i="7"/>
  <c r="J62" i="7"/>
  <c r="E62" i="7"/>
  <c r="E61" i="7"/>
  <c r="E60" i="7"/>
  <c r="J59" i="7"/>
  <c r="I59" i="7"/>
  <c r="H59" i="7"/>
  <c r="G59" i="7"/>
  <c r="F59" i="7"/>
  <c r="J58" i="7"/>
  <c r="I58" i="7"/>
  <c r="H58" i="7"/>
  <c r="G58" i="7"/>
  <c r="F58" i="7"/>
  <c r="J57" i="7"/>
  <c r="I57" i="7"/>
  <c r="H57" i="7"/>
  <c r="G57" i="7"/>
  <c r="F57" i="7"/>
  <c r="J56" i="7"/>
  <c r="I64" i="7" s="1"/>
  <c r="I56" i="7"/>
  <c r="H56" i="7"/>
  <c r="G56" i="7"/>
  <c r="F56" i="7"/>
  <c r="C55" i="7"/>
  <c r="V54" i="7"/>
  <c r="T54" i="7"/>
  <c r="J61" i="7" s="1"/>
  <c r="R54" i="7"/>
  <c r="J60" i="7" s="1"/>
  <c r="U54" i="7"/>
  <c r="S54" i="7"/>
  <c r="Q54" i="7"/>
  <c r="E54" i="7"/>
  <c r="D54" i="7"/>
  <c r="C54" i="7"/>
  <c r="B54" i="7"/>
  <c r="K52" i="7"/>
  <c r="H52" i="7"/>
  <c r="G52" i="7"/>
  <c r="E52" i="7"/>
  <c r="E51" i="7"/>
  <c r="E50" i="7"/>
  <c r="E49" i="7"/>
  <c r="J48" i="7"/>
  <c r="I48" i="7"/>
  <c r="H48" i="7"/>
  <c r="F48" i="7"/>
  <c r="V48" i="7"/>
  <c r="T48" i="7"/>
  <c r="J50" i="7" s="1"/>
  <c r="R48" i="7"/>
  <c r="J49" i="7" s="1"/>
  <c r="U48" i="7"/>
  <c r="S48" i="7"/>
  <c r="Q48" i="7"/>
  <c r="E48" i="7"/>
  <c r="D48" i="7"/>
  <c r="C48" i="7"/>
  <c r="B48" i="7"/>
  <c r="J47" i="7"/>
  <c r="I47" i="7"/>
  <c r="H47" i="7"/>
  <c r="G47" i="7"/>
  <c r="F47" i="7"/>
  <c r="J46" i="7"/>
  <c r="I46" i="7"/>
  <c r="H46" i="7"/>
  <c r="G46" i="7"/>
  <c r="F46" i="7"/>
  <c r="J45" i="7"/>
  <c r="I45" i="7"/>
  <c r="H45" i="7"/>
  <c r="G45" i="7"/>
  <c r="F45" i="7"/>
  <c r="J44" i="7"/>
  <c r="I44" i="7"/>
  <c r="H44" i="7"/>
  <c r="G44" i="7"/>
  <c r="F44" i="7"/>
  <c r="V43" i="7"/>
  <c r="J51" i="7" s="1"/>
  <c r="T43" i="7"/>
  <c r="R43" i="7"/>
  <c r="U43" i="7"/>
  <c r="S43" i="7"/>
  <c r="Q43" i="7"/>
  <c r="E43" i="7"/>
  <c r="D43" i="7"/>
  <c r="C43" i="7"/>
  <c r="B43" i="7"/>
  <c r="K41" i="7"/>
  <c r="H41" i="7"/>
  <c r="G41" i="7"/>
  <c r="E41" i="7"/>
  <c r="J40" i="7"/>
  <c r="E40" i="7"/>
  <c r="J39" i="7"/>
  <c r="E39" i="7"/>
  <c r="J38" i="7"/>
  <c r="E38" i="7"/>
  <c r="J37" i="7"/>
  <c r="I37" i="7"/>
  <c r="H37" i="7"/>
  <c r="G37" i="7"/>
  <c r="F37" i="7"/>
  <c r="J36" i="7"/>
  <c r="I42" i="7" s="1"/>
  <c r="I36" i="7"/>
  <c r="H36" i="7"/>
  <c r="G36" i="7"/>
  <c r="F36" i="7"/>
  <c r="J35" i="7"/>
  <c r="I35" i="7"/>
  <c r="H35" i="7"/>
  <c r="G35" i="7"/>
  <c r="F35" i="7"/>
  <c r="C34" i="7"/>
  <c r="V33" i="7"/>
  <c r="T33" i="7"/>
  <c r="R33" i="7"/>
  <c r="U33" i="7"/>
  <c r="S33" i="7"/>
  <c r="Q33" i="7"/>
  <c r="E33" i="7"/>
  <c r="D33" i="7"/>
  <c r="A32" i="7"/>
  <c r="A18" i="7"/>
  <c r="A15" i="7"/>
  <c r="A13" i="7"/>
  <c r="A10" i="7"/>
  <c r="G6" i="7"/>
  <c r="B6" i="7"/>
  <c r="A1" i="7"/>
  <c r="F57" i="9" l="1"/>
  <c r="E58" i="9"/>
  <c r="R19" i="10"/>
  <c r="M41" i="10"/>
  <c r="F22" i="9" s="1"/>
  <c r="R44" i="10"/>
  <c r="M49" i="10"/>
  <c r="F42" i="9" s="1"/>
  <c r="R51" i="10"/>
  <c r="M8" i="10"/>
  <c r="F47" i="9" s="1"/>
  <c r="M16" i="10"/>
  <c r="F46" i="9" s="1"/>
  <c r="M25" i="10"/>
  <c r="F49" i="9" s="1"/>
  <c r="R28" i="10"/>
  <c r="M9" i="10"/>
  <c r="F45" i="9" s="1"/>
  <c r="T11" i="10"/>
  <c r="R12" i="10"/>
  <c r="M17" i="10"/>
  <c r="F36" i="9" s="1"/>
  <c r="E52" i="9" s="1"/>
  <c r="R20" i="10"/>
  <c r="M26" i="10"/>
  <c r="F41" i="9" s="1"/>
  <c r="R29" i="10"/>
  <c r="O33" i="10"/>
  <c r="G16" i="9" s="1"/>
  <c r="M34" i="10"/>
  <c r="F15" i="9" s="1"/>
  <c r="E26" i="9" s="1"/>
  <c r="T36" i="10"/>
  <c r="R37" i="10"/>
  <c r="M42" i="10"/>
  <c r="F21" i="9" s="1"/>
  <c r="R45" i="10"/>
  <c r="R52" i="10"/>
  <c r="K64" i="7"/>
  <c r="P64" i="7"/>
  <c r="K105" i="7"/>
  <c r="P105" i="7"/>
  <c r="I84" i="7"/>
  <c r="I91" i="7"/>
  <c r="I101" i="7"/>
  <c r="K74" i="7"/>
  <c r="P74" i="7"/>
  <c r="I53" i="7"/>
  <c r="P42" i="7"/>
  <c r="K42" i="7"/>
  <c r="P109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1" i="3"/>
  <c r="Y1" i="3"/>
  <c r="CX1" i="3" s="1"/>
  <c r="CY1" i="3"/>
  <c r="CZ1" i="3"/>
  <c r="DA1" i="3"/>
  <c r="DB1" i="3"/>
  <c r="DC1" i="3"/>
  <c r="A2" i="3"/>
  <c r="Y2" i="3"/>
  <c r="CW2" i="3" s="1"/>
  <c r="CY2" i="3"/>
  <c r="CZ2" i="3"/>
  <c r="DB2" i="3" s="1"/>
  <c r="DA2" i="3"/>
  <c r="DC2" i="3"/>
  <c r="A3" i="3"/>
  <c r="Y3" i="3"/>
  <c r="CY3" i="3"/>
  <c r="CZ3" i="3"/>
  <c r="DA3" i="3"/>
  <c r="DB3" i="3"/>
  <c r="DC3" i="3"/>
  <c r="A4" i="3"/>
  <c r="Y4" i="3"/>
  <c r="CW4" i="3" s="1"/>
  <c r="CY4" i="3"/>
  <c r="CZ4" i="3"/>
  <c r="DB4" i="3" s="1"/>
  <c r="DA4" i="3"/>
  <c r="DC4" i="3"/>
  <c r="A5" i="3"/>
  <c r="Y5" i="3"/>
  <c r="CY5" i="3"/>
  <c r="CZ5" i="3"/>
  <c r="DB5" i="3" s="1"/>
  <c r="DA5" i="3"/>
  <c r="DC5" i="3"/>
  <c r="A6" i="3"/>
  <c r="Y6" i="3"/>
  <c r="CX6" i="3"/>
  <c r="DF6" i="3" s="1"/>
  <c r="DJ6" i="3" s="1"/>
  <c r="CY6" i="3"/>
  <c r="CZ6" i="3"/>
  <c r="DA6" i="3"/>
  <c r="DB6" i="3"/>
  <c r="DC6" i="3"/>
  <c r="DH6" i="3"/>
  <c r="A7" i="3"/>
  <c r="Y7" i="3"/>
  <c r="CX7" i="3" s="1"/>
  <c r="CY7" i="3"/>
  <c r="CZ7" i="3"/>
  <c r="DA7" i="3"/>
  <c r="DB7" i="3"/>
  <c r="DC7" i="3"/>
  <c r="A8" i="3"/>
  <c r="Y8" i="3"/>
  <c r="CX8" i="3" s="1"/>
  <c r="CY8" i="3"/>
  <c r="CZ8" i="3"/>
  <c r="DB8" i="3" s="1"/>
  <c r="DA8" i="3"/>
  <c r="DC8" i="3"/>
  <c r="A9" i="3"/>
  <c r="Y9" i="3"/>
  <c r="CY9" i="3"/>
  <c r="CZ9" i="3"/>
  <c r="DA9" i="3"/>
  <c r="DB9" i="3"/>
  <c r="DC9" i="3"/>
  <c r="A10" i="3"/>
  <c r="Y10" i="3"/>
  <c r="CW10" i="3" s="1"/>
  <c r="CY10" i="3"/>
  <c r="CZ10" i="3"/>
  <c r="DB10" i="3" s="1"/>
  <c r="DA10" i="3"/>
  <c r="DC10" i="3"/>
  <c r="A11" i="3"/>
  <c r="Y11" i="3"/>
  <c r="CY11" i="3"/>
  <c r="CZ11" i="3"/>
  <c r="DA11" i="3"/>
  <c r="DB11" i="3"/>
  <c r="DC11" i="3"/>
  <c r="A12" i="3"/>
  <c r="Y12" i="3"/>
  <c r="CW12" i="3" s="1"/>
  <c r="CY12" i="3"/>
  <c r="CZ12" i="3"/>
  <c r="DB12" i="3" s="1"/>
  <c r="DA12" i="3"/>
  <c r="DC12" i="3"/>
  <c r="A13" i="3"/>
  <c r="Y13" i="3"/>
  <c r="CY13" i="3"/>
  <c r="CZ13" i="3"/>
  <c r="DA13" i="3"/>
  <c r="DB13" i="3"/>
  <c r="DC13" i="3"/>
  <c r="A14" i="3"/>
  <c r="Y14" i="3"/>
  <c r="CX14" i="3" s="1"/>
  <c r="CY14" i="3"/>
  <c r="CZ14" i="3"/>
  <c r="DA14" i="3"/>
  <c r="DB14" i="3"/>
  <c r="DC14" i="3"/>
  <c r="A15" i="3"/>
  <c r="Y15" i="3"/>
  <c r="CX15" i="3" s="1"/>
  <c r="CY15" i="3"/>
  <c r="CZ15" i="3"/>
  <c r="DB15" i="3" s="1"/>
  <c r="DA15" i="3"/>
  <c r="DC15" i="3"/>
  <c r="A16" i="3"/>
  <c r="Y16" i="3"/>
  <c r="CY16" i="3"/>
  <c r="CZ16" i="3"/>
  <c r="DB16" i="3" s="1"/>
  <c r="DA16" i="3"/>
  <c r="DC16" i="3"/>
  <c r="A17" i="3"/>
  <c r="Y17" i="3"/>
  <c r="CY17" i="3"/>
  <c r="CZ17" i="3"/>
  <c r="DA17" i="3"/>
  <c r="DB17" i="3"/>
  <c r="DC17" i="3"/>
  <c r="A18" i="3"/>
  <c r="Y18" i="3"/>
  <c r="CV18" i="3" s="1"/>
  <c r="CY18" i="3"/>
  <c r="CZ18" i="3"/>
  <c r="DB18" i="3" s="1"/>
  <c r="DA18" i="3"/>
  <c r="DC18" i="3"/>
  <c r="A19" i="3"/>
  <c r="Y19" i="3"/>
  <c r="CY19" i="3"/>
  <c r="CZ19" i="3"/>
  <c r="DA19" i="3"/>
  <c r="DB19" i="3"/>
  <c r="DC19" i="3"/>
  <c r="A20" i="3"/>
  <c r="Y20" i="3"/>
  <c r="CW20" i="3" s="1"/>
  <c r="CY20" i="3"/>
  <c r="CZ20" i="3"/>
  <c r="DB20" i="3" s="1"/>
  <c r="DA20" i="3"/>
  <c r="DC20" i="3"/>
  <c r="A21" i="3"/>
  <c r="Y21" i="3"/>
  <c r="CY21" i="3"/>
  <c r="CZ21" i="3"/>
  <c r="DA21" i="3"/>
  <c r="DB21" i="3"/>
  <c r="DC21" i="3"/>
  <c r="A22" i="3"/>
  <c r="Y22" i="3"/>
  <c r="CW22" i="3" s="1"/>
  <c r="CY22" i="3"/>
  <c r="CZ22" i="3"/>
  <c r="DB22" i="3" s="1"/>
  <c r="DA22" i="3"/>
  <c r="DC22" i="3"/>
  <c r="A23" i="3"/>
  <c r="Y23" i="3"/>
  <c r="CY23" i="3"/>
  <c r="CZ23" i="3"/>
  <c r="DA23" i="3"/>
  <c r="DB23" i="3"/>
  <c r="DC23" i="3"/>
  <c r="A24" i="3"/>
  <c r="Y24" i="3"/>
  <c r="CX24" i="3" s="1"/>
  <c r="CY24" i="3"/>
  <c r="CZ24" i="3"/>
  <c r="DB24" i="3" s="1"/>
  <c r="DA24" i="3"/>
  <c r="DC24" i="3"/>
  <c r="A25" i="3"/>
  <c r="Y25" i="3"/>
  <c r="CX25" i="3" s="1"/>
  <c r="CY25" i="3"/>
  <c r="CZ25" i="3"/>
  <c r="DB25" i="3" s="1"/>
  <c r="DA25" i="3"/>
  <c r="DC25" i="3"/>
  <c r="A26" i="3"/>
  <c r="Y26" i="3"/>
  <c r="CY26" i="3"/>
  <c r="CZ26" i="3"/>
  <c r="DA26" i="3"/>
  <c r="DB26" i="3"/>
  <c r="DC26" i="3"/>
  <c r="A27" i="3"/>
  <c r="Y27" i="3"/>
  <c r="CX27" i="3" s="1"/>
  <c r="CY27" i="3"/>
  <c r="CZ27" i="3"/>
  <c r="DA27" i="3"/>
  <c r="DB27" i="3"/>
  <c r="DC27" i="3"/>
  <c r="A28" i="3"/>
  <c r="Y28" i="3"/>
  <c r="CX28" i="3" s="1"/>
  <c r="CY28" i="3"/>
  <c r="CZ28" i="3"/>
  <c r="DB28" i="3" s="1"/>
  <c r="DA28" i="3"/>
  <c r="DC28" i="3"/>
  <c r="A29" i="3"/>
  <c r="Y29" i="3"/>
  <c r="CX29" i="3" s="1"/>
  <c r="CY29" i="3"/>
  <c r="CZ29" i="3"/>
  <c r="DB29" i="3" s="1"/>
  <c r="DA29" i="3"/>
  <c r="DC29" i="3"/>
  <c r="A30" i="3"/>
  <c r="Y30" i="3"/>
  <c r="CY30" i="3"/>
  <c r="CZ30" i="3"/>
  <c r="DA30" i="3"/>
  <c r="DB30" i="3"/>
  <c r="DC30" i="3"/>
  <c r="A31" i="3"/>
  <c r="Y31" i="3"/>
  <c r="CX31" i="3" s="1"/>
  <c r="CY31" i="3"/>
  <c r="CZ31" i="3"/>
  <c r="DA31" i="3"/>
  <c r="DB31" i="3"/>
  <c r="DC31" i="3"/>
  <c r="A32" i="3"/>
  <c r="Y32" i="3"/>
  <c r="CX32" i="3" s="1"/>
  <c r="CY32" i="3"/>
  <c r="CZ32" i="3"/>
  <c r="DB32" i="3" s="1"/>
  <c r="DA32" i="3"/>
  <c r="DC32" i="3"/>
  <c r="A33" i="3"/>
  <c r="Y33" i="3"/>
  <c r="CU33" i="3"/>
  <c r="CV33" i="3"/>
  <c r="CX33" i="3"/>
  <c r="DG33" i="3" s="1"/>
  <c r="CY33" i="3"/>
  <c r="CZ33" i="3"/>
  <c r="DA33" i="3"/>
  <c r="DB33" i="3"/>
  <c r="DC33" i="3"/>
  <c r="DH33" i="3"/>
  <c r="A34" i="3"/>
  <c r="Y34" i="3"/>
  <c r="CW34" i="3" s="1"/>
  <c r="CY34" i="3"/>
  <c r="CZ34" i="3"/>
  <c r="DB34" i="3" s="1"/>
  <c r="DA34" i="3"/>
  <c r="DC34" i="3"/>
  <c r="A35" i="3"/>
  <c r="Y35" i="3"/>
  <c r="CW35" i="3"/>
  <c r="CX35" i="3"/>
  <c r="DF35" i="3" s="1"/>
  <c r="CY35" i="3"/>
  <c r="CZ35" i="3"/>
  <c r="DA35" i="3"/>
  <c r="DB35" i="3"/>
  <c r="DC35" i="3"/>
  <c r="DG35" i="3"/>
  <c r="DJ35" i="3" s="1"/>
  <c r="DH35" i="3"/>
  <c r="A36" i="3"/>
  <c r="Y36" i="3"/>
  <c r="CW36" i="3" s="1"/>
  <c r="CY36" i="3"/>
  <c r="CZ36" i="3"/>
  <c r="DB36" i="3" s="1"/>
  <c r="DA36" i="3"/>
  <c r="DC36" i="3"/>
  <c r="A37" i="3"/>
  <c r="Y37" i="3"/>
  <c r="CW37" i="3"/>
  <c r="CX37" i="3"/>
  <c r="DG37" i="3" s="1"/>
  <c r="DJ37" i="3" s="1"/>
  <c r="CY37" i="3"/>
  <c r="CZ37" i="3"/>
  <c r="DA37" i="3"/>
  <c r="DB37" i="3"/>
  <c r="DC37" i="3"/>
  <c r="DH37" i="3"/>
  <c r="A38" i="3"/>
  <c r="Y38" i="3"/>
  <c r="CW38" i="3" s="1"/>
  <c r="CY38" i="3"/>
  <c r="CZ38" i="3"/>
  <c r="DB38" i="3" s="1"/>
  <c r="DA38" i="3"/>
  <c r="DC38" i="3"/>
  <c r="A39" i="3"/>
  <c r="Y39" i="3"/>
  <c r="CX39" i="3"/>
  <c r="DF39" i="3" s="1"/>
  <c r="DJ39" i="3" s="1"/>
  <c r="CY39" i="3"/>
  <c r="CZ39" i="3"/>
  <c r="DA39" i="3"/>
  <c r="DB39" i="3"/>
  <c r="DC39" i="3"/>
  <c r="DH39" i="3"/>
  <c r="A40" i="3"/>
  <c r="Y40" i="3"/>
  <c r="CX40" i="3"/>
  <c r="DG40" i="3" s="1"/>
  <c r="CY40" i="3"/>
  <c r="CZ40" i="3"/>
  <c r="DA40" i="3"/>
  <c r="DB40" i="3"/>
  <c r="DC40" i="3"/>
  <c r="DH40" i="3"/>
  <c r="A41" i="3"/>
  <c r="Y41" i="3"/>
  <c r="CX41" i="3" s="1"/>
  <c r="CY41" i="3"/>
  <c r="CZ41" i="3"/>
  <c r="DB41" i="3" s="1"/>
  <c r="DA41" i="3"/>
  <c r="DC41" i="3"/>
  <c r="A42" i="3"/>
  <c r="Y42" i="3"/>
  <c r="CU42" i="3"/>
  <c r="CV42" i="3"/>
  <c r="CX42" i="3"/>
  <c r="DF42" i="3" s="1"/>
  <c r="CY42" i="3"/>
  <c r="CZ42" i="3"/>
  <c r="DA42" i="3"/>
  <c r="DB42" i="3"/>
  <c r="DC42" i="3"/>
  <c r="DG42" i="3"/>
  <c r="DH42" i="3"/>
  <c r="A43" i="3"/>
  <c r="Y43" i="3"/>
  <c r="CW43" i="3" s="1"/>
  <c r="CY43" i="3"/>
  <c r="CZ43" i="3"/>
  <c r="DB43" i="3" s="1"/>
  <c r="DA43" i="3"/>
  <c r="DC43" i="3"/>
  <c r="A44" i="3"/>
  <c r="Y44" i="3"/>
  <c r="CW44" i="3"/>
  <c r="CX44" i="3"/>
  <c r="DG44" i="3" s="1"/>
  <c r="DJ44" i="3" s="1"/>
  <c r="CY44" i="3"/>
  <c r="CZ44" i="3"/>
  <c r="DA44" i="3"/>
  <c r="DB44" i="3"/>
  <c r="DC44" i="3"/>
  <c r="DH44" i="3"/>
  <c r="A45" i="3"/>
  <c r="Y45" i="3"/>
  <c r="CX45" i="3" s="1"/>
  <c r="CY45" i="3"/>
  <c r="CZ45" i="3"/>
  <c r="DB45" i="3" s="1"/>
  <c r="DA45" i="3"/>
  <c r="DC45" i="3"/>
  <c r="A46" i="3"/>
  <c r="Y46" i="3"/>
  <c r="CU46" i="3"/>
  <c r="CV46" i="3"/>
  <c r="CX46" i="3"/>
  <c r="DF46" i="3" s="1"/>
  <c r="CY46" i="3"/>
  <c r="CZ46" i="3"/>
  <c r="DA46" i="3"/>
  <c r="DB46" i="3"/>
  <c r="DC46" i="3"/>
  <c r="DH46" i="3"/>
  <c r="A47" i="3"/>
  <c r="Y47" i="3"/>
  <c r="CX47" i="3" s="1"/>
  <c r="CY47" i="3"/>
  <c r="CZ47" i="3"/>
  <c r="DB47" i="3" s="1"/>
  <c r="DA47" i="3"/>
  <c r="DC47" i="3"/>
  <c r="A48" i="3"/>
  <c r="Y48" i="3"/>
  <c r="CX48" i="3" s="1"/>
  <c r="CY48" i="3"/>
  <c r="CZ48" i="3"/>
  <c r="DB48" i="3" s="1"/>
  <c r="DA48" i="3"/>
  <c r="DC48" i="3"/>
  <c r="A49" i="3"/>
  <c r="Y49" i="3"/>
  <c r="CW49" i="3"/>
  <c r="CX49" i="3"/>
  <c r="DF49" i="3" s="1"/>
  <c r="CY49" i="3"/>
  <c r="CZ49" i="3"/>
  <c r="DA49" i="3"/>
  <c r="DB49" i="3"/>
  <c r="DC49" i="3"/>
  <c r="DH49" i="3"/>
  <c r="A50" i="3"/>
  <c r="Y50" i="3"/>
  <c r="CY50" i="3"/>
  <c r="CZ50" i="3"/>
  <c r="DB50" i="3" s="1"/>
  <c r="DA50" i="3"/>
  <c r="DC50" i="3"/>
  <c r="A51" i="3"/>
  <c r="Y51" i="3"/>
  <c r="CY51" i="3"/>
  <c r="CZ51" i="3"/>
  <c r="DA51" i="3"/>
  <c r="DB51" i="3"/>
  <c r="DC51" i="3"/>
  <c r="A52" i="3"/>
  <c r="Y52" i="3"/>
  <c r="CY52" i="3"/>
  <c r="CZ52" i="3"/>
  <c r="DB52" i="3" s="1"/>
  <c r="DA52" i="3"/>
  <c r="DC52" i="3"/>
  <c r="A53" i="3"/>
  <c r="Y53" i="3"/>
  <c r="CY53" i="3"/>
  <c r="CZ53" i="3"/>
  <c r="DA53" i="3"/>
  <c r="DB53" i="3"/>
  <c r="DC53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W3" i="3" s="1"/>
  <c r="K28" i="1"/>
  <c r="R28" i="1"/>
  <c r="GK28" i="1" s="1"/>
  <c r="AC28" i="1"/>
  <c r="CQ28" i="1" s="1"/>
  <c r="P28" i="1" s="1"/>
  <c r="CP28" i="1" s="1"/>
  <c r="O28" i="1" s="1"/>
  <c r="AE28" i="1"/>
  <c r="AD28" i="1" s="1"/>
  <c r="AB28" i="1" s="1"/>
  <c r="AF28" i="1"/>
  <c r="CT28" i="1" s="1"/>
  <c r="S28" i="1" s="1"/>
  <c r="AG28" i="1"/>
  <c r="CU28" i="1" s="1"/>
  <c r="T28" i="1" s="1"/>
  <c r="AH28" i="1"/>
  <c r="CV28" i="1" s="1"/>
  <c r="U28" i="1" s="1"/>
  <c r="AI28" i="1"/>
  <c r="AJ28" i="1"/>
  <c r="CX28" i="1" s="1"/>
  <c r="W28" i="1" s="1"/>
  <c r="CR28" i="1"/>
  <c r="Q28" i="1" s="1"/>
  <c r="CS28" i="1"/>
  <c r="CW28" i="1"/>
  <c r="V28" i="1" s="1"/>
  <c r="FR28" i="1"/>
  <c r="GL28" i="1"/>
  <c r="GN28" i="1"/>
  <c r="GO28" i="1"/>
  <c r="GV28" i="1"/>
  <c r="GX28" i="1"/>
  <c r="HC28" i="1"/>
  <c r="C29" i="1"/>
  <c r="D29" i="1"/>
  <c r="I29" i="1"/>
  <c r="CW11" i="3" s="1"/>
  <c r="K29" i="1"/>
  <c r="U29" i="1"/>
  <c r="AC29" i="1"/>
  <c r="AE29" i="1"/>
  <c r="AD29" i="1" s="1"/>
  <c r="AF29" i="1"/>
  <c r="CT29" i="1" s="1"/>
  <c r="S29" i="1" s="1"/>
  <c r="AG29" i="1"/>
  <c r="AH29" i="1"/>
  <c r="AI29" i="1"/>
  <c r="CW29" i="1" s="1"/>
  <c r="V29" i="1" s="1"/>
  <c r="AJ29" i="1"/>
  <c r="CR29" i="1"/>
  <c r="Q29" i="1" s="1"/>
  <c r="CU29" i="1"/>
  <c r="T29" i="1" s="1"/>
  <c r="CV29" i="1"/>
  <c r="CX29" i="1"/>
  <c r="W29" i="1" s="1"/>
  <c r="FR29" i="1"/>
  <c r="GL29" i="1"/>
  <c r="GN29" i="1"/>
  <c r="GO29" i="1"/>
  <c r="GV29" i="1"/>
  <c r="HC29" i="1" s="1"/>
  <c r="GX29" i="1" s="1"/>
  <c r="I30" i="1"/>
  <c r="Q30" i="1"/>
  <c r="AC30" i="1"/>
  <c r="AB30" i="1" s="1"/>
  <c r="AD30" i="1"/>
  <c r="AE30" i="1"/>
  <c r="AF30" i="1"/>
  <c r="CT30" i="1" s="1"/>
  <c r="AG30" i="1"/>
  <c r="AH30" i="1"/>
  <c r="AI30" i="1"/>
  <c r="CW30" i="1" s="1"/>
  <c r="V30" i="1" s="1"/>
  <c r="AJ30" i="1"/>
  <c r="CR30" i="1"/>
  <c r="CS30" i="1"/>
  <c r="CU30" i="1"/>
  <c r="CV30" i="1"/>
  <c r="U30" i="1" s="1"/>
  <c r="CX30" i="1"/>
  <c r="W30" i="1" s="1"/>
  <c r="AJ36" i="1" s="1"/>
  <c r="AJ26" i="1" s="1"/>
  <c r="FR30" i="1"/>
  <c r="GL30" i="1"/>
  <c r="GN30" i="1"/>
  <c r="GO30" i="1"/>
  <c r="GV30" i="1"/>
  <c r="GX30" i="1"/>
  <c r="HC30" i="1"/>
  <c r="C31" i="1"/>
  <c r="D31" i="1"/>
  <c r="I31" i="1"/>
  <c r="CW21" i="3" s="1"/>
  <c r="K31" i="1"/>
  <c r="Q31" i="1"/>
  <c r="T31" i="1"/>
  <c r="Y31" i="1"/>
  <c r="AC31" i="1"/>
  <c r="AD31" i="1"/>
  <c r="AE31" i="1"/>
  <c r="AF31" i="1"/>
  <c r="CT31" i="1" s="1"/>
  <c r="S31" i="1" s="1"/>
  <c r="CZ31" i="1" s="1"/>
  <c r="AG31" i="1"/>
  <c r="CU31" i="1" s="1"/>
  <c r="AH31" i="1"/>
  <c r="AI31" i="1"/>
  <c r="CW31" i="1" s="1"/>
  <c r="V31" i="1" s="1"/>
  <c r="AI36" i="1" s="1"/>
  <c r="AJ31" i="1"/>
  <c r="CQ31" i="1"/>
  <c r="P31" i="1" s="1"/>
  <c r="CR31" i="1"/>
  <c r="CS31" i="1"/>
  <c r="R31" i="1" s="1"/>
  <c r="GK31" i="1" s="1"/>
  <c r="CV31" i="1"/>
  <c r="U31" i="1" s="1"/>
  <c r="CX31" i="1"/>
  <c r="W31" i="1" s="1"/>
  <c r="FR31" i="1"/>
  <c r="BY36" i="1" s="1"/>
  <c r="GL31" i="1"/>
  <c r="GN31" i="1"/>
  <c r="GO31" i="1"/>
  <c r="GV31" i="1"/>
  <c r="HC31" i="1" s="1"/>
  <c r="GX31" i="1"/>
  <c r="C32" i="1"/>
  <c r="D32" i="1"/>
  <c r="Q32" i="1"/>
  <c r="S32" i="1"/>
  <c r="AC32" i="1"/>
  <c r="AE32" i="1"/>
  <c r="AD32" i="1" s="1"/>
  <c r="AF32" i="1"/>
  <c r="AG32" i="1"/>
  <c r="CU32" i="1" s="1"/>
  <c r="T32" i="1" s="1"/>
  <c r="AH32" i="1"/>
  <c r="AI32" i="1"/>
  <c r="CW32" i="1" s="1"/>
  <c r="V32" i="1" s="1"/>
  <c r="AJ32" i="1"/>
  <c r="CR32" i="1"/>
  <c r="CS32" i="1"/>
  <c r="R32" i="1" s="1"/>
  <c r="GK32" i="1" s="1"/>
  <c r="CT32" i="1"/>
  <c r="CV32" i="1"/>
  <c r="U32" i="1" s="1"/>
  <c r="CX32" i="1"/>
  <c r="W32" i="1" s="1"/>
  <c r="FR32" i="1"/>
  <c r="GL32" i="1"/>
  <c r="GN32" i="1"/>
  <c r="CB36" i="1" s="1"/>
  <c r="GO32" i="1"/>
  <c r="GV32" i="1"/>
  <c r="HC32" i="1"/>
  <c r="GX32" i="1" s="1"/>
  <c r="C33" i="1"/>
  <c r="D33" i="1"/>
  <c r="V33" i="1"/>
  <c r="AC33" i="1"/>
  <c r="AD33" i="1"/>
  <c r="AE33" i="1"/>
  <c r="AF33" i="1"/>
  <c r="AG33" i="1"/>
  <c r="AH33" i="1"/>
  <c r="CV33" i="1" s="1"/>
  <c r="U33" i="1" s="1"/>
  <c r="AI33" i="1"/>
  <c r="AJ33" i="1"/>
  <c r="CQ33" i="1"/>
  <c r="P33" i="1" s="1"/>
  <c r="CP33" i="1" s="1"/>
  <c r="O33" i="1" s="1"/>
  <c r="CR33" i="1"/>
  <c r="Q33" i="1" s="1"/>
  <c r="CS33" i="1"/>
  <c r="R33" i="1" s="1"/>
  <c r="CT33" i="1"/>
  <c r="S33" i="1" s="1"/>
  <c r="CY33" i="1" s="1"/>
  <c r="X33" i="1" s="1"/>
  <c r="CU33" i="1"/>
  <c r="T33" i="1" s="1"/>
  <c r="CW33" i="1"/>
  <c r="CX33" i="1"/>
  <c r="W33" i="1" s="1"/>
  <c r="CZ33" i="1"/>
  <c r="Y33" i="1" s="1"/>
  <c r="FR33" i="1"/>
  <c r="GK33" i="1"/>
  <c r="GL33" i="1"/>
  <c r="BZ36" i="1" s="1"/>
  <c r="GN33" i="1"/>
  <c r="GO33" i="1"/>
  <c r="GV33" i="1"/>
  <c r="HC33" i="1" s="1"/>
  <c r="GX33" i="1" s="1"/>
  <c r="CJ36" i="1" s="1"/>
  <c r="C34" i="1"/>
  <c r="D34" i="1"/>
  <c r="P34" i="1"/>
  <c r="CP34" i="1" s="1"/>
  <c r="O34" i="1" s="1"/>
  <c r="T34" i="1"/>
  <c r="AC34" i="1"/>
  <c r="AE34" i="1"/>
  <c r="CS34" i="1" s="1"/>
  <c r="R34" i="1" s="1"/>
  <c r="GK34" i="1" s="1"/>
  <c r="AF34" i="1"/>
  <c r="AG34" i="1"/>
  <c r="AH34" i="1"/>
  <c r="AI34" i="1"/>
  <c r="AJ34" i="1"/>
  <c r="CQ34" i="1"/>
  <c r="CR34" i="1"/>
  <c r="Q34" i="1" s="1"/>
  <c r="CT34" i="1"/>
  <c r="S34" i="1" s="1"/>
  <c r="CU34" i="1"/>
  <c r="CV34" i="1"/>
  <c r="U34" i="1" s="1"/>
  <c r="CW34" i="1"/>
  <c r="V34" i="1" s="1"/>
  <c r="CX34" i="1"/>
  <c r="W34" i="1" s="1"/>
  <c r="FR34" i="1"/>
  <c r="GL34" i="1"/>
  <c r="GN34" i="1"/>
  <c r="GO34" i="1"/>
  <c r="CC36" i="1" s="1"/>
  <c r="GV34" i="1"/>
  <c r="HC34" i="1"/>
  <c r="GX34" i="1" s="1"/>
  <c r="B36" i="1"/>
  <c r="B26" i="1" s="1"/>
  <c r="C36" i="1"/>
  <c r="C26" i="1" s="1"/>
  <c r="D36" i="1"/>
  <c r="D26" i="1" s="1"/>
  <c r="F36" i="1"/>
  <c r="F26" i="1" s="1"/>
  <c r="G36" i="1"/>
  <c r="G26" i="1" s="1"/>
  <c r="AD36" i="1"/>
  <c r="BX36" i="1"/>
  <c r="AO36" i="1" s="1"/>
  <c r="CK36" i="1"/>
  <c r="CK26" i="1" s="1"/>
  <c r="CL36" i="1"/>
  <c r="CL26" i="1" s="1"/>
  <c r="CM36" i="1"/>
  <c r="CM26" i="1" s="1"/>
  <c r="D66" i="1"/>
  <c r="B68" i="1"/>
  <c r="E68" i="1"/>
  <c r="Z68" i="1"/>
  <c r="AA68" i="1"/>
  <c r="AM68" i="1"/>
  <c r="AN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BS68" i="1"/>
  <c r="BT68" i="1"/>
  <c r="BU68" i="1"/>
  <c r="BV68" i="1"/>
  <c r="BW68" i="1"/>
  <c r="CK68" i="1"/>
  <c r="CN68" i="1"/>
  <c r="CO68" i="1"/>
  <c r="CP68" i="1"/>
  <c r="CQ68" i="1"/>
  <c r="CR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EC68" i="1"/>
  <c r="ED68" i="1"/>
  <c r="EE68" i="1"/>
  <c r="EF68" i="1"/>
  <c r="EG68" i="1"/>
  <c r="EH68" i="1"/>
  <c r="EI68" i="1"/>
  <c r="EJ68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Y68" i="1"/>
  <c r="EZ68" i="1"/>
  <c r="FA68" i="1"/>
  <c r="FB68" i="1"/>
  <c r="FC68" i="1"/>
  <c r="FD68" i="1"/>
  <c r="FE68" i="1"/>
  <c r="FF68" i="1"/>
  <c r="FG68" i="1"/>
  <c r="FH68" i="1"/>
  <c r="FI68" i="1"/>
  <c r="FJ68" i="1"/>
  <c r="FK68" i="1"/>
  <c r="FL68" i="1"/>
  <c r="FM68" i="1"/>
  <c r="FN68" i="1"/>
  <c r="FO68" i="1"/>
  <c r="FP68" i="1"/>
  <c r="FQ68" i="1"/>
  <c r="FR68" i="1"/>
  <c r="FS68" i="1"/>
  <c r="FT68" i="1"/>
  <c r="FU68" i="1"/>
  <c r="FV68" i="1"/>
  <c r="FW68" i="1"/>
  <c r="FX68" i="1"/>
  <c r="FY68" i="1"/>
  <c r="FZ68" i="1"/>
  <c r="GA68" i="1"/>
  <c r="GB68" i="1"/>
  <c r="GC68" i="1"/>
  <c r="GD68" i="1"/>
  <c r="GE68" i="1"/>
  <c r="GF68" i="1"/>
  <c r="GG68" i="1"/>
  <c r="GH68" i="1"/>
  <c r="GI68" i="1"/>
  <c r="GJ68" i="1"/>
  <c r="GK68" i="1"/>
  <c r="GL68" i="1"/>
  <c r="GM68" i="1"/>
  <c r="GN68" i="1"/>
  <c r="GO68" i="1"/>
  <c r="GP68" i="1"/>
  <c r="GQ68" i="1"/>
  <c r="GR68" i="1"/>
  <c r="GS68" i="1"/>
  <c r="GT68" i="1"/>
  <c r="GU68" i="1"/>
  <c r="GV68" i="1"/>
  <c r="GW68" i="1"/>
  <c r="GX68" i="1"/>
  <c r="C70" i="1"/>
  <c r="D70" i="1"/>
  <c r="V70" i="1"/>
  <c r="W70" i="1"/>
  <c r="AJ74" i="1" s="1"/>
  <c r="AC70" i="1"/>
  <c r="AE70" i="1"/>
  <c r="AD70" i="1" s="1"/>
  <c r="AF70" i="1"/>
  <c r="AG70" i="1"/>
  <c r="CU70" i="1" s="1"/>
  <c r="T70" i="1" s="1"/>
  <c r="AH70" i="1"/>
  <c r="AI70" i="1"/>
  <c r="AJ70" i="1"/>
  <c r="CR70" i="1"/>
  <c r="Q70" i="1" s="1"/>
  <c r="CS70" i="1"/>
  <c r="R70" i="1" s="1"/>
  <c r="CT70" i="1"/>
  <c r="S70" i="1" s="1"/>
  <c r="CV70" i="1"/>
  <c r="U70" i="1" s="1"/>
  <c r="CW70" i="1"/>
  <c r="CX70" i="1"/>
  <c r="FR70" i="1"/>
  <c r="GK70" i="1"/>
  <c r="GL70" i="1"/>
  <c r="GN70" i="1"/>
  <c r="GO70" i="1"/>
  <c r="GV70" i="1"/>
  <c r="HC70" i="1"/>
  <c r="GX70" i="1" s="1"/>
  <c r="CJ74" i="1" s="1"/>
  <c r="C71" i="1"/>
  <c r="D71" i="1"/>
  <c r="I71" i="1"/>
  <c r="K71" i="1"/>
  <c r="AB71" i="1"/>
  <c r="AC71" i="1"/>
  <c r="AE71" i="1"/>
  <c r="AD71" i="1" s="1"/>
  <c r="AF71" i="1"/>
  <c r="CT71" i="1" s="1"/>
  <c r="S71" i="1" s="1"/>
  <c r="AG71" i="1"/>
  <c r="AH71" i="1"/>
  <c r="AI71" i="1"/>
  <c r="AJ71" i="1"/>
  <c r="CX71" i="1" s="1"/>
  <c r="W71" i="1" s="1"/>
  <c r="CQ71" i="1"/>
  <c r="P71" i="1" s="1"/>
  <c r="CS71" i="1"/>
  <c r="R71" i="1" s="1"/>
  <c r="AE74" i="1" s="1"/>
  <c r="CU71" i="1"/>
  <c r="T71" i="1" s="1"/>
  <c r="CV71" i="1"/>
  <c r="U71" i="1" s="1"/>
  <c r="CW71" i="1"/>
  <c r="V71" i="1" s="1"/>
  <c r="AI74" i="1" s="1"/>
  <c r="FR71" i="1"/>
  <c r="GL71" i="1"/>
  <c r="GN71" i="1"/>
  <c r="GO71" i="1"/>
  <c r="GV71" i="1"/>
  <c r="HC71" i="1"/>
  <c r="GX71" i="1" s="1"/>
  <c r="C72" i="1"/>
  <c r="D72" i="1"/>
  <c r="I72" i="1"/>
  <c r="U72" i="1" s="1"/>
  <c r="K72" i="1"/>
  <c r="R72" i="1"/>
  <c r="AC72" i="1"/>
  <c r="AE72" i="1"/>
  <c r="CR72" i="1" s="1"/>
  <c r="Q72" i="1" s="1"/>
  <c r="AF72" i="1"/>
  <c r="CT72" i="1" s="1"/>
  <c r="S72" i="1" s="1"/>
  <c r="AG72" i="1"/>
  <c r="AH72" i="1"/>
  <c r="AI72" i="1"/>
  <c r="AJ72" i="1"/>
  <c r="CX72" i="1" s="1"/>
  <c r="W72" i="1" s="1"/>
  <c r="CQ72" i="1"/>
  <c r="P72" i="1" s="1"/>
  <c r="CP72" i="1" s="1"/>
  <c r="O72" i="1" s="1"/>
  <c r="CS72" i="1"/>
  <c r="CU72" i="1"/>
  <c r="T72" i="1" s="1"/>
  <c r="CV72" i="1"/>
  <c r="CW72" i="1"/>
  <c r="V72" i="1" s="1"/>
  <c r="FR72" i="1"/>
  <c r="GL72" i="1"/>
  <c r="GN72" i="1"/>
  <c r="GO72" i="1"/>
  <c r="GV72" i="1"/>
  <c r="HC72" i="1"/>
  <c r="GX72" i="1" s="1"/>
  <c r="B74" i="1"/>
  <c r="C74" i="1"/>
  <c r="C68" i="1" s="1"/>
  <c r="D74" i="1"/>
  <c r="D68" i="1" s="1"/>
  <c r="F74" i="1"/>
  <c r="F68" i="1" s="1"/>
  <c r="G74" i="1"/>
  <c r="G68" i="1" s="1"/>
  <c r="BX74" i="1"/>
  <c r="BZ74" i="1"/>
  <c r="BZ68" i="1" s="1"/>
  <c r="CB74" i="1"/>
  <c r="CB68" i="1" s="1"/>
  <c r="CK74" i="1"/>
  <c r="BB74" i="1" s="1"/>
  <c r="CL74" i="1"/>
  <c r="CL68" i="1" s="1"/>
  <c r="CM74" i="1"/>
  <c r="BD74" i="1" s="1"/>
  <c r="B104" i="1"/>
  <c r="B22" i="1" s="1"/>
  <c r="C104" i="1"/>
  <c r="C22" i="1" s="1"/>
  <c r="D104" i="1"/>
  <c r="D22" i="1" s="1"/>
  <c r="F104" i="1"/>
  <c r="F22" i="1" s="1"/>
  <c r="G104" i="1"/>
  <c r="G22" i="1" s="1"/>
  <c r="B137" i="1"/>
  <c r="B18" i="1" s="1"/>
  <c r="C137" i="1"/>
  <c r="C18" i="1" s="1"/>
  <c r="D137" i="1"/>
  <c r="D18" i="1" s="1"/>
  <c r="F137" i="1"/>
  <c r="F18" i="1" s="1"/>
  <c r="G137" i="1"/>
  <c r="G18" i="1" s="1"/>
  <c r="F12" i="6"/>
  <c r="G12" i="6"/>
  <c r="CY12" i="6"/>
  <c r="K91" i="7" l="1"/>
  <c r="P91" i="7"/>
  <c r="K84" i="7"/>
  <c r="P84" i="7"/>
  <c r="I93" i="7"/>
  <c r="I114" i="7"/>
  <c r="P101" i="7"/>
  <c r="I111" i="7" s="1"/>
  <c r="K101" i="7"/>
  <c r="P53" i="7"/>
  <c r="K53" i="7"/>
  <c r="AI68" i="1"/>
  <c r="V74" i="1"/>
  <c r="CJ26" i="1"/>
  <c r="BA36" i="1"/>
  <c r="AO26" i="1"/>
  <c r="F40" i="1"/>
  <c r="CJ68" i="1"/>
  <c r="BA74" i="1"/>
  <c r="R74" i="1"/>
  <c r="AE68" i="1"/>
  <c r="CY70" i="1"/>
  <c r="X70" i="1" s="1"/>
  <c r="AF74" i="1"/>
  <c r="CZ70" i="1"/>
  <c r="Y70" i="1" s="1"/>
  <c r="AL74" i="1" s="1"/>
  <c r="AI26" i="1"/>
  <c r="V36" i="1"/>
  <c r="CB26" i="1"/>
  <c r="AS36" i="1"/>
  <c r="GM33" i="1"/>
  <c r="GP33" i="1" s="1"/>
  <c r="AB70" i="1"/>
  <c r="CQ70" i="1"/>
  <c r="P70" i="1" s="1"/>
  <c r="CY71" i="1"/>
  <c r="X71" i="1" s="1"/>
  <c r="CZ71" i="1"/>
  <c r="Y71" i="1" s="1"/>
  <c r="BY74" i="1"/>
  <c r="CY72" i="1"/>
  <c r="X72" i="1" s="1"/>
  <c r="GM72" i="1" s="1"/>
  <c r="GP72" i="1" s="1"/>
  <c r="CZ72" i="1"/>
  <c r="Y72" i="1" s="1"/>
  <c r="AJ68" i="1"/>
  <c r="W74" i="1"/>
  <c r="CY34" i="1"/>
  <c r="X34" i="1" s="1"/>
  <c r="GM34" i="1" s="1"/>
  <c r="GP34" i="1" s="1"/>
  <c r="CZ34" i="1"/>
  <c r="Y34" i="1" s="1"/>
  <c r="BX68" i="1"/>
  <c r="CG74" i="1"/>
  <c r="BZ26" i="1"/>
  <c r="AQ36" i="1"/>
  <c r="CP71" i="1"/>
  <c r="O71" i="1" s="1"/>
  <c r="GM71" i="1" s="1"/>
  <c r="GP71" i="1" s="1"/>
  <c r="AH74" i="1"/>
  <c r="AG74" i="1"/>
  <c r="BY26" i="1"/>
  <c r="CI36" i="1"/>
  <c r="AP36" i="1"/>
  <c r="CY29" i="1"/>
  <c r="X29" i="1" s="1"/>
  <c r="CZ29" i="1"/>
  <c r="Y29" i="1" s="1"/>
  <c r="AF36" i="1"/>
  <c r="F99" i="1"/>
  <c r="BD68" i="1"/>
  <c r="AS74" i="1"/>
  <c r="AD26" i="1"/>
  <c r="Q36" i="1"/>
  <c r="BB68" i="1"/>
  <c r="F87" i="1"/>
  <c r="CC74" i="1"/>
  <c r="AO74" i="1"/>
  <c r="W36" i="1"/>
  <c r="BX26" i="1"/>
  <c r="CG36" i="1"/>
  <c r="CC26" i="1"/>
  <c r="AT36" i="1"/>
  <c r="AQ74" i="1"/>
  <c r="AD72" i="1"/>
  <c r="AB72" i="1" s="1"/>
  <c r="DF28" i="3"/>
  <c r="DJ28" i="3" s="1"/>
  <c r="DG28" i="3"/>
  <c r="DH28" i="3"/>
  <c r="DI28" i="3"/>
  <c r="CP31" i="1"/>
  <c r="O31" i="1" s="1"/>
  <c r="AB31" i="1"/>
  <c r="CY28" i="1"/>
  <c r="X28" i="1" s="1"/>
  <c r="GM28" i="1" s="1"/>
  <c r="CZ28" i="1"/>
  <c r="Y28" i="1" s="1"/>
  <c r="DF47" i="3"/>
  <c r="DJ47" i="3" s="1"/>
  <c r="DG47" i="3"/>
  <c r="DH47" i="3"/>
  <c r="DI47" i="3"/>
  <c r="DG7" i="3"/>
  <c r="DH7" i="3"/>
  <c r="DI7" i="3"/>
  <c r="DF7" i="3"/>
  <c r="DJ7" i="3" s="1"/>
  <c r="DF45" i="3"/>
  <c r="DJ45" i="3" s="1"/>
  <c r="DG45" i="3"/>
  <c r="DH45" i="3"/>
  <c r="DI45" i="3"/>
  <c r="DF29" i="3"/>
  <c r="DJ29" i="3" s="1"/>
  <c r="DG29" i="3"/>
  <c r="DH29" i="3"/>
  <c r="DI29" i="3"/>
  <c r="DF24" i="3"/>
  <c r="DJ24" i="3" s="1"/>
  <c r="DG24" i="3"/>
  <c r="DH24" i="3"/>
  <c r="DI24" i="3"/>
  <c r="DF8" i="3"/>
  <c r="DJ8" i="3" s="1"/>
  <c r="DG8" i="3"/>
  <c r="DH8" i="3"/>
  <c r="DI8" i="3"/>
  <c r="DH1" i="3"/>
  <c r="DI1" i="3"/>
  <c r="DJ1" i="3" s="1"/>
  <c r="DF1" i="3"/>
  <c r="DG1" i="3"/>
  <c r="CR71" i="1"/>
  <c r="Q71" i="1" s="1"/>
  <c r="AD74" i="1" s="1"/>
  <c r="BD36" i="1"/>
  <c r="AB33" i="1"/>
  <c r="AB32" i="1"/>
  <c r="CQ32" i="1"/>
  <c r="P32" i="1" s="1"/>
  <c r="CP32" i="1" s="1"/>
  <c r="O32" i="1" s="1"/>
  <c r="CW50" i="3"/>
  <c r="DI48" i="3"/>
  <c r="DF48" i="3"/>
  <c r="DJ48" i="3" s="1"/>
  <c r="DG48" i="3"/>
  <c r="DH48" i="3"/>
  <c r="DG14" i="3"/>
  <c r="DH14" i="3"/>
  <c r="DI14" i="3"/>
  <c r="DF14" i="3"/>
  <c r="DJ14" i="3" s="1"/>
  <c r="CW51" i="3"/>
  <c r="CX51" i="3"/>
  <c r="BC74" i="1"/>
  <c r="CM68" i="1"/>
  <c r="BC36" i="1"/>
  <c r="AD34" i="1"/>
  <c r="AB34" i="1" s="1"/>
  <c r="CY31" i="1"/>
  <c r="X31" i="1" s="1"/>
  <c r="T30" i="1"/>
  <c r="AG36" i="1" s="1"/>
  <c r="S30" i="1"/>
  <c r="AB29" i="1"/>
  <c r="CQ29" i="1"/>
  <c r="P29" i="1" s="1"/>
  <c r="DF41" i="3"/>
  <c r="DJ41" i="3" s="1"/>
  <c r="DG41" i="3"/>
  <c r="DH41" i="3"/>
  <c r="DI41" i="3"/>
  <c r="DI25" i="3"/>
  <c r="DF25" i="3"/>
  <c r="DJ25" i="3" s="1"/>
  <c r="DG25" i="3"/>
  <c r="DH25" i="3"/>
  <c r="DF15" i="3"/>
  <c r="DJ15" i="3" s="1"/>
  <c r="DG15" i="3"/>
  <c r="DH15" i="3"/>
  <c r="DI15" i="3"/>
  <c r="BB36" i="1"/>
  <c r="R30" i="1"/>
  <c r="GK30" i="1" s="1"/>
  <c r="DF31" i="3"/>
  <c r="DJ31" i="3" s="1"/>
  <c r="DG31" i="3"/>
  <c r="DH31" i="3"/>
  <c r="DI31" i="3"/>
  <c r="CW52" i="3"/>
  <c r="DF32" i="3"/>
  <c r="DJ32" i="3" s="1"/>
  <c r="DG32" i="3"/>
  <c r="DH32" i="3"/>
  <c r="DI32" i="3"/>
  <c r="CW53" i="3"/>
  <c r="CX53" i="3"/>
  <c r="CY32" i="1"/>
  <c r="X32" i="1" s="1"/>
  <c r="CZ32" i="1"/>
  <c r="Y32" i="1" s="1"/>
  <c r="AH36" i="1"/>
  <c r="DG27" i="3"/>
  <c r="DH27" i="3"/>
  <c r="DI27" i="3"/>
  <c r="DF27" i="3"/>
  <c r="DJ27" i="3" s="1"/>
  <c r="CX52" i="3"/>
  <c r="DF44" i="3"/>
  <c r="DF40" i="3"/>
  <c r="DJ40" i="3" s="1"/>
  <c r="CX38" i="3"/>
  <c r="DF37" i="3"/>
  <c r="CX34" i="3"/>
  <c r="DF33" i="3"/>
  <c r="CX22" i="3"/>
  <c r="CX18" i="3"/>
  <c r="CX12" i="3"/>
  <c r="CX5" i="3"/>
  <c r="CV1" i="3"/>
  <c r="DI49" i="3"/>
  <c r="DI46" i="3"/>
  <c r="DJ46" i="3" s="1"/>
  <c r="DI42" i="3"/>
  <c r="DJ42" i="3" s="1"/>
  <c r="DI35" i="3"/>
  <c r="CX2" i="3"/>
  <c r="CU1" i="3"/>
  <c r="CQ30" i="1"/>
  <c r="P30" i="1" s="1"/>
  <c r="CP30" i="1" s="1"/>
  <c r="O30" i="1" s="1"/>
  <c r="CS29" i="1"/>
  <c r="R29" i="1" s="1"/>
  <c r="DI39" i="3"/>
  <c r="CX23" i="3"/>
  <c r="CX19" i="3"/>
  <c r="CU18" i="3"/>
  <c r="CX9" i="3"/>
  <c r="DI6" i="3"/>
  <c r="DG49" i="3"/>
  <c r="DJ49" i="3" s="1"/>
  <c r="DG46" i="3"/>
  <c r="CX26" i="3"/>
  <c r="CW23" i="3"/>
  <c r="CW19" i="3"/>
  <c r="CX13" i="3"/>
  <c r="CV9" i="3"/>
  <c r="CX3" i="3"/>
  <c r="CX50" i="3"/>
  <c r="CX43" i="3"/>
  <c r="DG39" i="3"/>
  <c r="CX36" i="3"/>
  <c r="CX20" i="3"/>
  <c r="CX16" i="3"/>
  <c r="CX10" i="3"/>
  <c r="CU9" i="3"/>
  <c r="DG6" i="3"/>
  <c r="DI44" i="3"/>
  <c r="DI40" i="3"/>
  <c r="DI37" i="3"/>
  <c r="DI33" i="3"/>
  <c r="DJ33" i="3" s="1"/>
  <c r="CX4" i="3"/>
  <c r="CX21" i="3"/>
  <c r="CX11" i="3"/>
  <c r="CX30" i="3"/>
  <c r="CX17" i="3"/>
  <c r="I120" i="7" l="1"/>
  <c r="AD68" i="1"/>
  <c r="Q74" i="1"/>
  <c r="Q104" i="1" s="1"/>
  <c r="GP28" i="1"/>
  <c r="DF26" i="3"/>
  <c r="DJ26" i="3" s="1"/>
  <c r="DG26" i="3"/>
  <c r="DH26" i="3"/>
  <c r="DI26" i="3"/>
  <c r="AG26" i="1"/>
  <c r="T36" i="1"/>
  <c r="CI26" i="1"/>
  <c r="AZ36" i="1"/>
  <c r="F94" i="1"/>
  <c r="BA68" i="1"/>
  <c r="DH17" i="3"/>
  <c r="DI17" i="3"/>
  <c r="DF17" i="3"/>
  <c r="DJ17" i="3" s="1"/>
  <c r="DG17" i="3"/>
  <c r="DF43" i="3"/>
  <c r="DG43" i="3"/>
  <c r="DJ43" i="3" s="1"/>
  <c r="DH43" i="3"/>
  <c r="DI43" i="3"/>
  <c r="GK29" i="1"/>
  <c r="AE36" i="1"/>
  <c r="DI38" i="3"/>
  <c r="DF38" i="3"/>
  <c r="DG38" i="3"/>
  <c r="DJ38" i="3" s="1"/>
  <c r="DH38" i="3"/>
  <c r="AH26" i="1"/>
  <c r="U36" i="1"/>
  <c r="W26" i="1"/>
  <c r="F60" i="1"/>
  <c r="W104" i="1"/>
  <c r="F91" i="1"/>
  <c r="AS68" i="1"/>
  <c r="AX74" i="1"/>
  <c r="CG68" i="1"/>
  <c r="AP74" i="1"/>
  <c r="AP104" i="1" s="1"/>
  <c r="CI74" i="1"/>
  <c r="BY68" i="1"/>
  <c r="V26" i="1"/>
  <c r="F59" i="1"/>
  <c r="V104" i="1"/>
  <c r="BB26" i="1"/>
  <c r="F49" i="1"/>
  <c r="BB104" i="1"/>
  <c r="DH30" i="3"/>
  <c r="DI30" i="3"/>
  <c r="DF30" i="3"/>
  <c r="DJ30" i="3" s="1"/>
  <c r="DG30" i="3"/>
  <c r="DF50" i="3"/>
  <c r="DG50" i="3"/>
  <c r="DJ50" i="3" s="1"/>
  <c r="DH50" i="3"/>
  <c r="DI50" i="3"/>
  <c r="DI5" i="3"/>
  <c r="DF5" i="3"/>
  <c r="DJ5" i="3" s="1"/>
  <c r="DG5" i="3"/>
  <c r="DH5" i="3"/>
  <c r="GM32" i="1"/>
  <c r="GP32" i="1" s="1"/>
  <c r="F78" i="1"/>
  <c r="AO68" i="1"/>
  <c r="T74" i="1"/>
  <c r="AG68" i="1"/>
  <c r="DG11" i="3"/>
  <c r="DJ11" i="3" s="1"/>
  <c r="DH11" i="3"/>
  <c r="DI11" i="3"/>
  <c r="DF11" i="3"/>
  <c r="DF3" i="3"/>
  <c r="DG3" i="3"/>
  <c r="DJ3" i="3" s="1"/>
  <c r="DH3" i="3"/>
  <c r="DI3" i="3"/>
  <c r="DI12" i="3"/>
  <c r="DF12" i="3"/>
  <c r="DG12" i="3"/>
  <c r="DJ12" i="3" s="1"/>
  <c r="DH12" i="3"/>
  <c r="BC26" i="1"/>
  <c r="F52" i="1"/>
  <c r="BC104" i="1"/>
  <c r="AT74" i="1"/>
  <c r="CC68" i="1"/>
  <c r="AH68" i="1"/>
  <c r="U74" i="1"/>
  <c r="AL68" i="1"/>
  <c r="Y74" i="1"/>
  <c r="AO104" i="1"/>
  <c r="DI18" i="3"/>
  <c r="DJ18" i="3" s="1"/>
  <c r="DF18" i="3"/>
  <c r="DG18" i="3"/>
  <c r="DH18" i="3"/>
  <c r="AF26" i="1"/>
  <c r="S36" i="1"/>
  <c r="DF13" i="3"/>
  <c r="DJ13" i="3" s="1"/>
  <c r="DG13" i="3"/>
  <c r="DH13" i="3"/>
  <c r="DI13" i="3"/>
  <c r="DI22" i="3"/>
  <c r="DF22" i="3"/>
  <c r="DG22" i="3"/>
  <c r="DJ22" i="3" s="1"/>
  <c r="DH22" i="3"/>
  <c r="CP29" i="1"/>
  <c r="O29" i="1" s="1"/>
  <c r="AC36" i="1"/>
  <c r="F90" i="1"/>
  <c r="BC68" i="1"/>
  <c r="BD26" i="1"/>
  <c r="F61" i="1"/>
  <c r="BD104" i="1"/>
  <c r="AT26" i="1"/>
  <c r="F54" i="1"/>
  <c r="F98" i="1"/>
  <c r="W68" i="1"/>
  <c r="AK74" i="1"/>
  <c r="BA26" i="1"/>
  <c r="BA104" i="1"/>
  <c r="F56" i="1"/>
  <c r="DF10" i="3"/>
  <c r="DG10" i="3"/>
  <c r="DJ10" i="3" s="1"/>
  <c r="DH10" i="3"/>
  <c r="DI10" i="3"/>
  <c r="DF2" i="3"/>
  <c r="DG2" i="3"/>
  <c r="DJ2" i="3" s="1"/>
  <c r="DH2" i="3"/>
  <c r="DI2" i="3"/>
  <c r="DF53" i="3"/>
  <c r="DG53" i="3"/>
  <c r="DJ53" i="3" s="1"/>
  <c r="DH53" i="3"/>
  <c r="DI53" i="3"/>
  <c r="AC74" i="1"/>
  <c r="CP70" i="1"/>
  <c r="O70" i="1" s="1"/>
  <c r="DF16" i="3"/>
  <c r="DJ16" i="3" s="1"/>
  <c r="DG16" i="3"/>
  <c r="DH16" i="3"/>
  <c r="DI16" i="3"/>
  <c r="DF19" i="3"/>
  <c r="DG19" i="3"/>
  <c r="DJ19" i="3" s="1"/>
  <c r="DH19" i="3"/>
  <c r="DI19" i="3"/>
  <c r="DG51" i="3"/>
  <c r="DJ51" i="3" s="1"/>
  <c r="DH51" i="3"/>
  <c r="DI51" i="3"/>
  <c r="DF51" i="3"/>
  <c r="GM31" i="1"/>
  <c r="GP31" i="1" s="1"/>
  <c r="DG21" i="3"/>
  <c r="DJ21" i="3" s="1"/>
  <c r="DH21" i="3"/>
  <c r="DI21" i="3"/>
  <c r="DF21" i="3"/>
  <c r="DF9" i="3"/>
  <c r="DG9" i="3"/>
  <c r="DH9" i="3"/>
  <c r="DI9" i="3"/>
  <c r="DJ9" i="3" s="1"/>
  <c r="DI52" i="3"/>
  <c r="DF52" i="3"/>
  <c r="DG52" i="3"/>
  <c r="DJ52" i="3" s="1"/>
  <c r="DH52" i="3"/>
  <c r="AQ68" i="1"/>
  <c r="F84" i="1"/>
  <c r="AF68" i="1"/>
  <c r="S74" i="1"/>
  <c r="DF4" i="3"/>
  <c r="DG4" i="3"/>
  <c r="DJ4" i="3" s="1"/>
  <c r="DH4" i="3"/>
  <c r="DI4" i="3"/>
  <c r="DF20" i="3"/>
  <c r="DG20" i="3"/>
  <c r="DJ20" i="3" s="1"/>
  <c r="DH20" i="3"/>
  <c r="DI20" i="3"/>
  <c r="DF36" i="3"/>
  <c r="DG36" i="3"/>
  <c r="DJ36" i="3" s="1"/>
  <c r="DH36" i="3"/>
  <c r="DI36" i="3"/>
  <c r="DF23" i="3"/>
  <c r="DG23" i="3"/>
  <c r="DJ23" i="3" s="1"/>
  <c r="DH23" i="3"/>
  <c r="DI23" i="3"/>
  <c r="DI34" i="3"/>
  <c r="DF34" i="3"/>
  <c r="DG34" i="3"/>
  <c r="DJ34" i="3" s="1"/>
  <c r="DH34" i="3"/>
  <c r="CY30" i="1"/>
  <c r="X30" i="1" s="1"/>
  <c r="AK36" i="1" s="1"/>
  <c r="CZ30" i="1"/>
  <c r="Y30" i="1" s="1"/>
  <c r="AL36" i="1" s="1"/>
  <c r="CG26" i="1"/>
  <c r="AX36" i="1"/>
  <c r="Q26" i="1"/>
  <c r="F48" i="1"/>
  <c r="AP26" i="1"/>
  <c r="F45" i="1"/>
  <c r="AQ26" i="1"/>
  <c r="AQ104" i="1"/>
  <c r="F46" i="1"/>
  <c r="AS26" i="1"/>
  <c r="AS104" i="1"/>
  <c r="F53" i="1"/>
  <c r="R68" i="1"/>
  <c r="F88" i="1"/>
  <c r="F97" i="1"/>
  <c r="V68" i="1"/>
  <c r="AK26" i="1" l="1"/>
  <c r="X36" i="1"/>
  <c r="AL26" i="1"/>
  <c r="Y36" i="1"/>
  <c r="Q22" i="1"/>
  <c r="F116" i="1"/>
  <c r="Q137" i="1"/>
  <c r="AP22" i="1"/>
  <c r="AP137" i="1"/>
  <c r="F113" i="1"/>
  <c r="G16" i="2" s="1"/>
  <c r="G18" i="2" s="1"/>
  <c r="T26" i="1"/>
  <c r="F57" i="1"/>
  <c r="T104" i="1"/>
  <c r="AT68" i="1"/>
  <c r="F92" i="1"/>
  <c r="AE26" i="1"/>
  <c r="R36" i="1"/>
  <c r="X74" i="1"/>
  <c r="AK68" i="1"/>
  <c r="AQ22" i="1"/>
  <c r="AQ137" i="1"/>
  <c r="F114" i="1"/>
  <c r="AT104" i="1"/>
  <c r="AC26" i="1"/>
  <c r="P36" i="1"/>
  <c r="CE36" i="1"/>
  <c r="CH36" i="1"/>
  <c r="CF36" i="1"/>
  <c r="AO22" i="1"/>
  <c r="F108" i="1"/>
  <c r="AO137" i="1"/>
  <c r="BC22" i="1"/>
  <c r="BC137" i="1"/>
  <c r="F120" i="1"/>
  <c r="T68" i="1"/>
  <c r="F95" i="1"/>
  <c r="GM30" i="1"/>
  <c r="GP30" i="1" s="1"/>
  <c r="CI68" i="1"/>
  <c r="AZ74" i="1"/>
  <c r="GM29" i="1"/>
  <c r="AB36" i="1"/>
  <c r="F101" i="1"/>
  <c r="Y68" i="1"/>
  <c r="AP68" i="1"/>
  <c r="F83" i="1"/>
  <c r="AS22" i="1"/>
  <c r="AS137" i="1"/>
  <c r="F121" i="1"/>
  <c r="E16" i="2" s="1"/>
  <c r="BD22" i="1"/>
  <c r="F129" i="1"/>
  <c r="BD137" i="1"/>
  <c r="F96" i="1"/>
  <c r="U68" i="1"/>
  <c r="AX68" i="1"/>
  <c r="F81" i="1"/>
  <c r="AZ26" i="1"/>
  <c r="AZ104" i="1"/>
  <c r="F47" i="1"/>
  <c r="BB22" i="1"/>
  <c r="F117" i="1"/>
  <c r="BB137" i="1"/>
  <c r="U26" i="1"/>
  <c r="U104" i="1"/>
  <c r="F58" i="1"/>
  <c r="S26" i="1"/>
  <c r="F51" i="1"/>
  <c r="S104" i="1"/>
  <c r="BA22" i="1"/>
  <c r="F124" i="1"/>
  <c r="BA137" i="1"/>
  <c r="AB74" i="1"/>
  <c r="GM70" i="1"/>
  <c r="V22" i="1"/>
  <c r="V137" i="1"/>
  <c r="F127" i="1"/>
  <c r="CE74" i="1"/>
  <c r="P74" i="1"/>
  <c r="CH74" i="1"/>
  <c r="AC68" i="1"/>
  <c r="CF74" i="1"/>
  <c r="F86" i="1"/>
  <c r="Q68" i="1"/>
  <c r="AX26" i="1"/>
  <c r="F43" i="1"/>
  <c r="AX104" i="1"/>
  <c r="F89" i="1"/>
  <c r="S68" i="1"/>
  <c r="W22" i="1"/>
  <c r="W137" i="1"/>
  <c r="F128" i="1"/>
  <c r="AB26" i="1" l="1"/>
  <c r="O36" i="1"/>
  <c r="BC18" i="1"/>
  <c r="F153" i="1"/>
  <c r="R26" i="1"/>
  <c r="R104" i="1"/>
  <c r="F50" i="1"/>
  <c r="E18" i="2"/>
  <c r="GP29" i="1"/>
  <c r="CD36" i="1" s="1"/>
  <c r="CA36" i="1"/>
  <c r="W18" i="1"/>
  <c r="F161" i="1"/>
  <c r="CE26" i="1"/>
  <c r="AV36" i="1"/>
  <c r="X26" i="1"/>
  <c r="X104" i="1"/>
  <c r="F62" i="1"/>
  <c r="CF68" i="1"/>
  <c r="AW74" i="1"/>
  <c r="P26" i="1"/>
  <c r="F39" i="1"/>
  <c r="P104" i="1"/>
  <c r="AP18" i="1"/>
  <c r="F146" i="1"/>
  <c r="GP70" i="1"/>
  <c r="CD74" i="1" s="1"/>
  <c r="CA74" i="1"/>
  <c r="CH68" i="1"/>
  <c r="AY74" i="1"/>
  <c r="AB68" i="1"/>
  <c r="O74" i="1"/>
  <c r="U22" i="1"/>
  <c r="F126" i="1"/>
  <c r="U137" i="1"/>
  <c r="AS18" i="1"/>
  <c r="F154" i="1"/>
  <c r="AZ68" i="1"/>
  <c r="F85" i="1"/>
  <c r="AO18" i="1"/>
  <c r="F141" i="1"/>
  <c r="AT22" i="1"/>
  <c r="F122" i="1"/>
  <c r="F16" i="2" s="1"/>
  <c r="F18" i="2" s="1"/>
  <c r="AT137" i="1"/>
  <c r="Q18" i="1"/>
  <c r="F149" i="1"/>
  <c r="V18" i="1"/>
  <c r="F160" i="1"/>
  <c r="X68" i="1"/>
  <c r="F100" i="1"/>
  <c r="AZ22" i="1"/>
  <c r="F115" i="1"/>
  <c r="AZ137" i="1"/>
  <c r="F77" i="1"/>
  <c r="P68" i="1"/>
  <c r="AV74" i="1"/>
  <c r="CE68" i="1"/>
  <c r="AQ18" i="1"/>
  <c r="F147" i="1"/>
  <c r="Y26" i="1"/>
  <c r="F63" i="1"/>
  <c r="Y104" i="1"/>
  <c r="AX22" i="1"/>
  <c r="AX137" i="1"/>
  <c r="F111" i="1"/>
  <c r="BA18" i="1"/>
  <c r="F157" i="1"/>
  <c r="BB18" i="1"/>
  <c r="F150" i="1"/>
  <c r="T22" i="1"/>
  <c r="F125" i="1"/>
  <c r="T137" i="1"/>
  <c r="CF26" i="1"/>
  <c r="AW36" i="1"/>
  <c r="S22" i="1"/>
  <c r="S137" i="1"/>
  <c r="F119" i="1"/>
  <c r="BD18" i="1"/>
  <c r="F162" i="1"/>
  <c r="CH26" i="1"/>
  <c r="AY36" i="1"/>
  <c r="CD26" i="1" l="1"/>
  <c r="AU36" i="1"/>
  <c r="AW26" i="1"/>
  <c r="AW104" i="1"/>
  <c r="F42" i="1"/>
  <c r="X22" i="1"/>
  <c r="X137" i="1"/>
  <c r="F130" i="1"/>
  <c r="AY26" i="1"/>
  <c r="AY104" i="1"/>
  <c r="F44" i="1"/>
  <c r="CD68" i="1"/>
  <c r="AU74" i="1"/>
  <c r="O26" i="1"/>
  <c r="O104" i="1"/>
  <c r="F38" i="1"/>
  <c r="T18" i="1"/>
  <c r="F158" i="1"/>
  <c r="AX18" i="1"/>
  <c r="F144" i="1"/>
  <c r="AV68" i="1"/>
  <c r="F79" i="1"/>
  <c r="O68" i="1"/>
  <c r="F76" i="1"/>
  <c r="P22" i="1"/>
  <c r="P137" i="1"/>
  <c r="F107" i="1"/>
  <c r="AV26" i="1"/>
  <c r="F41" i="1"/>
  <c r="AV104" i="1"/>
  <c r="U18" i="1"/>
  <c r="F159" i="1"/>
  <c r="Y22" i="1"/>
  <c r="Y137" i="1"/>
  <c r="F131" i="1"/>
  <c r="AY68" i="1"/>
  <c r="F82" i="1"/>
  <c r="AW68" i="1"/>
  <c r="F80" i="1"/>
  <c r="R22" i="1"/>
  <c r="F118" i="1"/>
  <c r="J16" i="2" s="1"/>
  <c r="J18" i="2" s="1"/>
  <c r="R137" i="1"/>
  <c r="AZ18" i="1"/>
  <c r="F148" i="1"/>
  <c r="S18" i="1"/>
  <c r="F152" i="1"/>
  <c r="AT18" i="1"/>
  <c r="F155" i="1"/>
  <c r="AR74" i="1"/>
  <c r="CA68" i="1"/>
  <c r="CA26" i="1"/>
  <c r="AR36" i="1"/>
  <c r="AY22" i="1" l="1"/>
  <c r="F112" i="1"/>
  <c r="AY137" i="1"/>
  <c r="AV22" i="1"/>
  <c r="F109" i="1"/>
  <c r="AV137" i="1"/>
  <c r="O22" i="1"/>
  <c r="O137" i="1"/>
  <c r="F106" i="1"/>
  <c r="X18" i="1"/>
  <c r="F163" i="1"/>
  <c r="AU26" i="1"/>
  <c r="F55" i="1"/>
  <c r="AU104" i="1"/>
  <c r="AW22" i="1"/>
  <c r="F110" i="1"/>
  <c r="AW137" i="1"/>
  <c r="AR26" i="1"/>
  <c r="AR104" i="1"/>
  <c r="F64" i="1"/>
  <c r="F93" i="1"/>
  <c r="AU68" i="1"/>
  <c r="AR68" i="1"/>
  <c r="F102" i="1"/>
  <c r="R18" i="1"/>
  <c r="F151" i="1"/>
  <c r="Y18" i="1"/>
  <c r="F164" i="1"/>
  <c r="P18" i="1"/>
  <c r="F140" i="1"/>
  <c r="AW18" i="1" l="1"/>
  <c r="F143" i="1"/>
  <c r="O18" i="1"/>
  <c r="F139" i="1"/>
  <c r="AU22" i="1"/>
  <c r="AU137" i="1"/>
  <c r="F123" i="1"/>
  <c r="H16" i="2" s="1"/>
  <c r="AV18" i="1"/>
  <c r="F142" i="1"/>
  <c r="AR22" i="1"/>
  <c r="F132" i="1"/>
  <c r="AR137" i="1"/>
  <c r="AY18" i="1"/>
  <c r="F145" i="1"/>
  <c r="H18" i="2" l="1"/>
  <c r="I16" i="2"/>
  <c r="I18" i="2" s="1"/>
  <c r="AU18" i="1"/>
  <c r="F156" i="1"/>
  <c r="AR18" i="1"/>
  <c r="F165" i="1"/>
  <c r="F133" i="1"/>
  <c r="F134" i="1"/>
  <c r="F135" i="1" l="1"/>
  <c r="F167" i="1"/>
  <c r="F166" i="1"/>
  <c r="F168" i="1" l="1"/>
</calcChain>
</file>

<file path=xl/sharedStrings.xml><?xml version="1.0" encoding="utf-8"?>
<sst xmlns="http://schemas.openxmlformats.org/spreadsheetml/2006/main" count="2300" uniqueCount="362">
  <si>
    <t>Smeta.RU  (495) 974-1589</t>
  </si>
  <si>
    <t>_PS_</t>
  </si>
  <si>
    <t>Smeta.RU</t>
  </si>
  <si>
    <t/>
  </si>
  <si>
    <t>ГБОУ Школа 920. ул. Перовская, д. 24 Пандус (СН-2012 Выпуск №2 (в ценах на 01.01.2025 г))</t>
  </si>
  <si>
    <t>Сметные нормы списания</t>
  </si>
  <si>
    <t>Коды ОКП для СН-2012 Выпуск № 2 (в ценах на 01.01.2025 г)</t>
  </si>
  <si>
    <t>СН-2012 Выпуск № 2. (в ценах на 01.01.2025) глава_1-5, 7</t>
  </si>
  <si>
    <t>Типовой расчет для СН-2012 Выпуск № 2 (в ценах на 01.01.2025 г)</t>
  </si>
  <si>
    <t>СН-2012 Выпуск № 2. База данных "Сборник стоимостных нормативов" в текущих ценах по состоянию на 01.01.2025 года</t>
  </si>
  <si>
    <t>Поправки для СН-2012 Выпуск № 2 в ценах на 01.01.2025 г от 09.01.2025</t>
  </si>
  <si>
    <t>Новая локальная смета</t>
  </si>
  <si>
    <t>ГБОУ Школа 920. ул. Перовская, д. 24 Пандус</t>
  </si>
  <si>
    <t>Новый раздел</t>
  </si>
  <si>
    <t>1</t>
  </si>
  <si>
    <t>1.9-3203-5-1/1</t>
  </si>
  <si>
    <t>Демонтаж  площадок с настилом и ограждением из листовой, рифленой, просечной и круглой стали (металлический пандус)</t>
  </si>
  <si>
    <t>т</t>
  </si>
  <si>
    <t>СН-2012.1 Выпуск № 2 (в текущих ценах по состоянию на 01.01.2025 г.). Сб.-3203-5-1/1</t>
  </si>
  <si>
    <t>)*0</t>
  </si>
  <si>
    <t>)*0,2</t>
  </si>
  <si>
    <t>СН-2012</t>
  </si>
  <si>
    <t>Подрядные работы, гл. 1-5,7</t>
  </si>
  <si>
    <t>работа</t>
  </si>
  <si>
    <t>Поправка: СН-2012 О.П. п.22</t>
  </si>
  <si>
    <t>2</t>
  </si>
  <si>
    <t>Монтаж площадок с настилом и ограждением из листовой, рифленой, просечной и круглой стали (металлический пандус)</t>
  </si>
  <si>
    <t>2,1</t>
  </si>
  <si>
    <t>21.1-10-26</t>
  </si>
  <si>
    <t>Профили замкнутые стальные гнутые сварные (трубы квадратные), размер стороны 40 мм, толщина стенки 4 мм (стойки пандуса)</t>
  </si>
  <si>
    <t>СН-2012.21 Выпуск № 2 (в текущих ценах по состоянию на 01.01.2025 г.). Сб.1-10-26</t>
  </si>
  <si>
    <t>3</t>
  </si>
  <si>
    <t>1.50-3203-53-3/1</t>
  </si>
  <si>
    <t>Устройство ограждения пандуса (металлического) из полированной нержавеющей стали на стойках с двойным поручнем на высоте 700 и 900 мм</t>
  </si>
  <si>
    <t>10 м</t>
  </si>
  <si>
    <t>СН-2012.1 Выпуск № 2 (в текущих ценах по состоянию на 01.01.2025 г.). Сб.0-3203-53-3/1</t>
  </si>
  <si>
    <t>4</t>
  </si>
  <si>
    <t>2.1-3301-2-1/1</t>
  </si>
  <si>
    <t>Исправление профиля щебеночных оснований с добавлением нового материала</t>
  </si>
  <si>
    <t>1000 м2</t>
  </si>
  <si>
    <t>СН-2012.2 Выпуск № 2 (в текущих ценах по состоянию на 01.01.2025 г.). Сб.-3301-2-1/1</t>
  </si>
  <si>
    <t>5</t>
  </si>
  <si>
    <t>2.1-3103-18-1/1</t>
  </si>
  <si>
    <t>Устройство покрытий из асфальтобетонных смесей вручную, толщина 4 см</t>
  </si>
  <si>
    <t>100 м2</t>
  </si>
  <si>
    <t>СН-2012.2 Выпуск № 2 (в текущих ценах по состоянию на 01.01.2025 г.). Сб.-3103-18-1/1</t>
  </si>
  <si>
    <t>6</t>
  </si>
  <si>
    <t>1.14-3203-14-7/1</t>
  </si>
  <si>
    <t>Окраска масляными составами за два раза металлических поверхностей решеток и оград</t>
  </si>
  <si>
    <t>СН-2012.1 Выпуск № 2 (в текущих ценах по состоянию на 01.01.2025 г.). Сб.4-3203-14-7/1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</si>
  <si>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</si>
  <si>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</si>
  <si>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</si>
  <si>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</si>
  <si>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</si>
  <si>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</si>
  <si>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</si>
  <si>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</si>
  <si>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</si>
  <si>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</si>
  <si>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</si>
  <si>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</si>
  <si>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</si>
  <si>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</si>
  <si>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</si>
  <si>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</si>
  <si>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</si>
  <si>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</si>
  <si>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</si>
  <si>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</si>
  <si>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</si>
  <si>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</si>
  <si>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</si>
  <si>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</si>
  <si>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</si>
  <si>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</si>
  <si>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</si>
  <si>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</si>
  <si>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</si>
  <si>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</si>
  <si>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</si>
  <si>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</si>
  <si>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</si>
  <si>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</si>
  <si>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</si>
  <si>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</si>
  <si>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</si>
  <si>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</si>
  <si>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</si>
  <si>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</si>
  <si>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</si>
  <si>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</si>
  <si>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</si>
  <si>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</si>
  <si>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</si>
  <si>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</si>
  <si>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</si>
  <si>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</si>
  <si>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</si>
  <si>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</si>
  <si>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</si>
  <si>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</si>
  <si>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</si>
  <si>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</si>
  <si>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Мусор</t>
  </si>
  <si>
    <t>7</t>
  </si>
  <si>
    <t>1.49-9101-7-1/1</t>
  </si>
  <si>
    <t>Механизированная погрузка строительного мусора в автомобили-самосвалы</t>
  </si>
  <si>
    <t>СН-2012.1 Выпуск № 2 (в текущих ценах по состоянию на 01.01.2025 г.). Сб.9-9101-7-1/1</t>
  </si>
  <si>
    <t>8</t>
  </si>
  <si>
    <t>1.49-9201-1-2/1</t>
  </si>
  <si>
    <t>Перевозка строительного мусора автосамосвалами грузоподъемностью до 10 т на расстояние 1 км - при механизированной погрузке</t>
  </si>
  <si>
    <t>СН-2012.1 Выпуск № 2 (в текущих ценах по состоянию на 01.01.2025 г.). Сб.9-9201-1-2/1</t>
  </si>
  <si>
    <t>Подрядные работы, гл. 1 перевозка мусора</t>
  </si>
  <si>
    <t>9</t>
  </si>
  <si>
    <t>1.49-9201-1-3/1</t>
  </si>
  <si>
    <t>Перевозка строительного мусора автосамосвалами грузоподъемностью до 10 т - добавляется на каждый последующий 1 км до 100 км</t>
  </si>
  <si>
    <t>СН-2012.1 Выпуск № 2 (в текущих ценах по состоянию на 01.01.2025 г.). Сб.9-9201-1-3/1</t>
  </si>
  <si>
    <t>*49</t>
  </si>
  <si>
    <t>всего</t>
  </si>
  <si>
    <t>Всего по смете</t>
  </si>
  <si>
    <t>ндс</t>
  </si>
  <si>
    <t>НДС 20%</t>
  </si>
  <si>
    <t>итого</t>
  </si>
  <si>
    <t>Итого с НДС</t>
  </si>
  <si>
    <t>Переменная</t>
  </si>
  <si>
    <t>Новая переменная</t>
  </si>
  <si>
    <t>Переменная1</t>
  </si>
  <si>
    <t>Уровень цен на 01.01.2025г.</t>
  </si>
  <si>
    <t>_OBSM_</t>
  </si>
  <si>
    <t>9999990008</t>
  </si>
  <si>
    <t>Трудозатраты рабочих</t>
  </si>
  <si>
    <t>чел.-ч.</t>
  </si>
  <si>
    <t>22.1-13-21</t>
  </si>
  <si>
    <t>СН-2012.22 Выпуск № 2 (в текущих ценах по состоянию на 01.01.2025 г.). Сб.1-13-21</t>
  </si>
  <si>
    <t>Печи электрические для сушки сварочных материалов с регулированием температуры в пределах 80-500С</t>
  </si>
  <si>
    <t>маш.-ч</t>
  </si>
  <si>
    <t>22.1-30-46</t>
  </si>
  <si>
    <t>СН-2012.22 Выпуск № 2 (в текущих ценах по состоянию на 01.01.2025 г.). Сб.1-30-46</t>
  </si>
  <si>
    <t>Преобразователи частоты тока до 500 А</t>
  </si>
  <si>
    <t>22.1-4-45</t>
  </si>
  <si>
    <t>СН-2012.22 Выпуск № 2 (в текущих ценах по состоянию на 01.01.2025 г.). Сб.1-4-45</t>
  </si>
  <si>
    <t>Домкраты гидравлические, грузоподъемность до 100 т</t>
  </si>
  <si>
    <t>21.1-11-21</t>
  </si>
  <si>
    <t>СН-2012.21 Выпуск № 2 (в текущих ценах по состоянию на 01.01.2025 г.). Сб.1-11-21</t>
  </si>
  <si>
    <t>Болты строительные черные с гайками и шайбами (10х100мм)</t>
  </si>
  <si>
    <t>21.1-23-9</t>
  </si>
  <si>
    <t>СН-2012.21 Выпуск № 2 (в текущих ценах по состоянию на 01.01.2025 г.). Сб.1-23-9</t>
  </si>
  <si>
    <t>Электроды, тип Э-42, 46, 50, диаметр 4 - 6 мм</t>
  </si>
  <si>
    <t>21.6-1-50</t>
  </si>
  <si>
    <t>СН-2012.21 Выпуск № 2 (в текущих ценах по состоянию на 01.01.2025 г.). Сб.6-1-50</t>
  </si>
  <si>
    <t>Отдельные конструктивные элементы с преобладанием горячекатаных профилей, средняя масса сборочной единицы от 0,11 до 0,5 т</t>
  </si>
  <si>
    <t>21.6-1-64</t>
  </si>
  <si>
    <t>СН-2012.21 Выпуск № 2 (в текущих ценах по состоянию на 01.01.2025 г.). Сб.6-1-64</t>
  </si>
  <si>
    <t>Площадки с настилом из листовой, рифленой, просечной или круглой стали, каркасами и элементами жесткости из прокатных и гнутых профилей, прямоугольные и трапециевидные</t>
  </si>
  <si>
    <t>22.1-13-14</t>
  </si>
  <si>
    <t>СН-2012.22 Выпуск № 2 (в текущих ценах по состоянию на 01.01.2025 г.). Сб.1-13-14</t>
  </si>
  <si>
    <t>Установки для сварки ручной дуговой (постоянного тока)</t>
  </si>
  <si>
    <t>22.1-18-24</t>
  </si>
  <si>
    <t>СН-2012.22 Выпуск № 2 (в текущих ценах по состоянию на 01.01.2025 г.). Сб.1-18-24</t>
  </si>
  <si>
    <t>Автомобили полупассажирские типа ГАЗ, грузоподъемность до 2 т</t>
  </si>
  <si>
    <t>22.1-30-19</t>
  </si>
  <si>
    <t>СН-2012.22 Выпуск № 2 (в текущих ценах по состоянию на 01.01.2025 г.). Сб.1-30-19</t>
  </si>
  <si>
    <t>Машины шлифовальные электрические</t>
  </si>
  <si>
    <t>22.1-30-28</t>
  </si>
  <si>
    <t>СН-2012.22 Выпуск № 2 (в текущих ценах по состоянию на 01.01.2025 г.). Сб.1-30-28</t>
  </si>
  <si>
    <t>Пилы маятниковые, диаметр диска 400 мм</t>
  </si>
  <si>
    <t>22.1-30-41</t>
  </si>
  <si>
    <t>СН-2012.22 Выпуск № 2 (в текущих ценах по состоянию на 01.01.2025 г.). Сб.1-30-41</t>
  </si>
  <si>
    <t>Станки трубогибочные для труб диаметром 200-500 мм</t>
  </si>
  <si>
    <t>21.1-10-283</t>
  </si>
  <si>
    <t>СН-2012.21 Выпуск № 2 (в текущих ценах по состоянию на 01.01.2025 г.). Сб.1-10-283</t>
  </si>
  <si>
    <t>Сталь круглая нержавеющая, полированная, диаметр 16 мм</t>
  </si>
  <si>
    <t>21.1-23-1</t>
  </si>
  <si>
    <t>СН-2012.21 Выпуск № 2 (в текущих ценах по состоянию на 01.01.2025 г.). Сб.1-23-1</t>
  </si>
  <si>
    <t>Проволока сварочная, марка СВ-08 Г2С, диаметр 2 мм</t>
  </si>
  <si>
    <t>кг</t>
  </si>
  <si>
    <t>21.1-25-1011</t>
  </si>
  <si>
    <t>СН-2012.21 Выпуск № 2 (в текущих ценах по состоянию на 01.01.2025 г.). Сб.1-25-1011</t>
  </si>
  <si>
    <t>Диски шлифовальные на бумажной основе Р40-Р2000, диаметр 125 мм</t>
  </si>
  <si>
    <t>шт.</t>
  </si>
  <si>
    <t>21.1-25-875</t>
  </si>
  <si>
    <t>СН-2012.21 Выпуск № 2 (в текущих ценах по состоянию на 01.01.2025 г.). Сб.1-25-875</t>
  </si>
  <si>
    <t>Круги шлифовальные лепестковые торцевые на тканевой основе Р24-Р400, размеры 125х22 мм</t>
  </si>
  <si>
    <t>21.12-7-67</t>
  </si>
  <si>
    <t>СН-2012.21 Выпуск № 2 (в текущих ценах по состоянию на 01.01.2025 г.). Сб.12-7-67</t>
  </si>
  <si>
    <t>Трубы электросварные из коррозионностойкой стали марки AISI 304, полированные, наружный диаметр 38,0 мм, толщина стенки 1,5 мм</t>
  </si>
  <si>
    <t>м</t>
  </si>
  <si>
    <t>21.1-4-1</t>
  </si>
  <si>
    <t>СН-2012.21 Выпуск № 2 (в текущих ценах по состоянию на 01.01.2025 г.). Сб.1-4-1</t>
  </si>
  <si>
    <t>Аргон газообразный</t>
  </si>
  <si>
    <t>м3</t>
  </si>
  <si>
    <t>21.7-8-6</t>
  </si>
  <si>
    <t>СН-2012.21 Выпуск № 2 (в текущих ценах по состоянию на 01.01.2025 г.). Сб.7-8-6</t>
  </si>
  <si>
    <t>Стойки ограждений из нержавеющей полированной стали, диаметр 38,1 мм, толщина стенки 1,5 мм, высота 1000 мм, в комплекте с заглушкой и крышкой</t>
  </si>
  <si>
    <t>21.7-8-7</t>
  </si>
  <si>
    <t>СН-2012.21 Выпуск № 2 (в текущих ценах по состоянию на 01.01.2025 г.). Сб.7-8-7</t>
  </si>
  <si>
    <t>Крепления боковые из нержавеющей полированной стали для стоек ограждений диаметром 38,1 мм, размеры 90х100 мм</t>
  </si>
  <si>
    <t>21.7-8-8</t>
  </si>
  <si>
    <t>СН-2012.21 Выпуск № 2 (в текущих ценах по состоянию на 01.01.2025 г.). Сб.7-8-8</t>
  </si>
  <si>
    <t>Кронштейны (крючки) из нержавеющей полированной стали, диаметр 10 мм, для крепления поручня к стойке, под сварку</t>
  </si>
  <si>
    <t>22.1-2-1</t>
  </si>
  <si>
    <t>СН-2012.22 Выпуск № 2 (в текущих ценах по состоянию на 01.01.2025 г.). Сб.1-2-1</t>
  </si>
  <si>
    <t>Тракторы на гусеничном ходу, мощность до 60 (81) кВт (л.с.)</t>
  </si>
  <si>
    <t>22.1-5-17</t>
  </si>
  <si>
    <t>СН-2012.22 Выпуск № 2 (в текущих ценах по состоянию на 01.01.2025 г.). Сб.1-5-17</t>
  </si>
  <si>
    <t>Поливомоечные машины, емкость цистерны до 5000 л</t>
  </si>
  <si>
    <t>22.1-5-2</t>
  </si>
  <si>
    <t>СН-2012.22 Выпуск № 2 (в текущих ценах по состоянию на 01.01.2025 г.). Сб.1-5-2</t>
  </si>
  <si>
    <t>Катки самоходные вибрационные, масса до 8 т</t>
  </si>
  <si>
    <t>22.1-5-3</t>
  </si>
  <si>
    <t>СН-2012.22 Выпуск № 2 (в текущих ценах по состоянию на 01.01.2025 г.). Сб.1-5-3</t>
  </si>
  <si>
    <t>Катки самоходные вибрационные, масса более 8 т</t>
  </si>
  <si>
    <t>22.1-5-47</t>
  </si>
  <si>
    <t>СН-2012.22 Выпуск № 2 (в текущих ценах по состоянию на 01.01.2025 г.). Сб.1-5-47</t>
  </si>
  <si>
    <t>Автогрейдеры, мощность 66-88 кВт (90-120 л.с.)</t>
  </si>
  <si>
    <t>21.1-12-35</t>
  </si>
  <si>
    <t>СН-2012.21 Выпуск № 2 (в текущих ценах по состоянию на 01.01.2025 г.). Сб.1-12-35</t>
  </si>
  <si>
    <t>Щебень из естественного камня для строительных работ, марка 1200-800, фракция 10-20 мм</t>
  </si>
  <si>
    <t>21.1-12-36</t>
  </si>
  <si>
    <t>СН-2012.21 Выпуск № 2 (в текущих ценах по состоянию на 01.01.2025 г.). Сб.1-12-36</t>
  </si>
  <si>
    <t>Щебень из естественного камня для строительных работ, марка 1200-800, фракция 20-40 мм</t>
  </si>
  <si>
    <t>21.1-25-13</t>
  </si>
  <si>
    <t>СН-2012.21 Выпуск № 2 (в текущих ценах по состоянию на 01.01.2025 г.). Сб.1-25-13</t>
  </si>
  <si>
    <t>Вода</t>
  </si>
  <si>
    <t>22.1-5-4</t>
  </si>
  <si>
    <t>СН-2012.22 Выпуск № 2 (в текущих ценах по состоянию на 01.01.2025 г.). Сб.1-5-4</t>
  </si>
  <si>
    <t>Катки дорожные самоходные статические, масса до 5 т</t>
  </si>
  <si>
    <t>22.1-5-5</t>
  </si>
  <si>
    <t>СН-2012.22 Выпуск № 2 (в текущих ценах по состоянию на 01.01.2025 г.). Сб.1-5-5</t>
  </si>
  <si>
    <t>Катки дорожные самоходные статические, масса до 10 т</t>
  </si>
  <si>
    <t>21.3-3-18</t>
  </si>
  <si>
    <t>СН-2012.21 Выпуск № 2 (в текущих ценах по состоянию на 01.01.2025 г.). Сб.3-3-18</t>
  </si>
  <si>
    <t>Смеси асфальтобетонные дорожные горячие мелкозернистые, марка I, тип Б</t>
  </si>
  <si>
    <t>21.1-6-44</t>
  </si>
  <si>
    <t>СН-2012.21 Выпуск № 2 (в текущих ценах по состоянию на 01.01.2025 г.). Сб.1-6-44</t>
  </si>
  <si>
    <t>Краски масляные жидкотертые цветные (готовые к употреблению) для наружных и внутренних работ, марка МА-15</t>
  </si>
  <si>
    <t>21.1-6-90</t>
  </si>
  <si>
    <t>СН-2012.21 Выпуск № 2 (в текущих ценах по состоянию на 01.01.2025 г.). Сб.1-6-90</t>
  </si>
  <si>
    <t>Олифа для окраски комбинированная оксоль</t>
  </si>
  <si>
    <t>22.1-1-5</t>
  </si>
  <si>
    <t>СН-2012.22 Выпуск № 2 (в текущих ценах по состоянию на 01.01.2025 г.). Сб.1-1-5</t>
  </si>
  <si>
    <t>Экскаваторы на гусеничном ходу гидравлические, объем ковша до 0,65 м3</t>
  </si>
  <si>
    <t>22.1-18-12</t>
  </si>
  <si>
    <t>СН-2012.22 Выпуск № 2 (в текущих ценах по состоянию на 01.01.2025 г.). Сб.1-18-12</t>
  </si>
  <si>
    <t>Автомобили-самосвалы, грузоподъемность до 7 т</t>
  </si>
  <si>
    <t>22.1-18-13</t>
  </si>
  <si>
    <t>СН-2012.22 Выпуск № 2 (в текущих ценах по состоянию на 01.01.2025 г.). Сб.1-18-13</t>
  </si>
  <si>
    <t>Автомобили-самосвалы, грузоподъемность до 10 т</t>
  </si>
  <si>
    <t>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</si>
  <si>
    <t>"СОГЛАСОВАНО"</t>
  </si>
  <si>
    <t>"УТВЕРЖДАЮ"</t>
  </si>
  <si>
    <t>Форма № 1а (глава 1-5)</t>
  </si>
  <si>
    <t>"_____"________________ 2025 г.</t>
  </si>
  <si>
    <t>(локальный сметный расчет)</t>
  </si>
  <si>
    <t>(наименование работ и затрат, наименование объекта)</t>
  </si>
  <si>
    <t>Сметная стоимость</t>
  </si>
  <si>
    <t>тыс.руб</t>
  </si>
  <si>
    <t>Строительные работы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</si>
  <si>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</si>
  <si>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</si>
  <si>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</si>
  <si>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</si>
  <si>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</si>
  <si>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</si>
  <si>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</si>
  <si>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</si>
  <si>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</si>
  <si>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</si>
  <si>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</si>
  <si>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</si>
  <si>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Коэфф. пересчета</t>
  </si>
  <si>
    <t>ВСЕГО затрат, руб.</t>
  </si>
  <si>
    <t>Справочно</t>
  </si>
  <si>
    <t>ЗТР, всего чел.-час</t>
  </si>
  <si>
    <t>Ст-ть ед. с начислен.</t>
  </si>
  <si>
    <t>Составлен(а) в уровне текущих (прогнозных) цен на I квартал 2025 года</t>
  </si>
  <si>
    <r>
      <t>1.9-3203-5-1/1</t>
    </r>
    <r>
      <rPr>
        <i/>
        <sz val="10"/>
        <rFont val="Arial"/>
        <family val="2"/>
        <charset val="204"/>
      </rPr>
      <t xml:space="preserve">
Поправка: СН-2012 О.П. п.22</t>
    </r>
  </si>
  <si>
    <r>
      <t>Демонтаж  площадок с настилом и ограждением из листовой, рифленой, просечной и круглой стали (металлический пандус)</t>
    </r>
    <r>
      <rPr>
        <i/>
        <sz val="10"/>
        <rFont val="Arial"/>
        <family val="2"/>
        <charset val="204"/>
      </rPr>
      <t xml:space="preserve">
Поправка: СН-2012 О.П. п.22  Наименование: Демонтаж, разборка отдельных бетонных, железобетонных, металлических, деревянных, пластмассовых конструктивных элементов зданий и сооружений, внутренних и наружных инженерных систем и коммуникаций при отсутствии необходимых стоимостных нормативов в сборниках СН-2012</t>
    </r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</si>
  <si>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</si>
  <si>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</si>
  <si>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</si>
  <si>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</si>
  <si>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</si>
  <si>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</si>
  <si>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</si>
  <si>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</si>
  <si>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</si>
  <si>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МР</t>
  </si>
  <si>
    <t xml:space="preserve">Составил   </t>
  </si>
  <si>
    <t>[должность,подпись(инициалы,фамилия)]</t>
  </si>
  <si>
    <t xml:space="preserve">Проверил   </t>
  </si>
  <si>
    <t>" ___ " ___________ 20 ___ г.</t>
  </si>
  <si>
    <t xml:space="preserve">Мы, нижеподписавшиеся, произвели осмотр объекта </t>
  </si>
  <si>
    <t xml:space="preserve">и постановили произвести ремонт объекта в </t>
  </si>
  <si>
    <t>следующем объеме:</t>
  </si>
  <si>
    <t>№ п/п</t>
  </si>
  <si>
    <t>Количество</t>
  </si>
  <si>
    <t>Примечание</t>
  </si>
  <si>
    <t>Заказчик _________________</t>
  </si>
  <si>
    <t>Подрядчик _________________</t>
  </si>
  <si>
    <t>TYPE</t>
  </si>
  <si>
    <t>SOURCE_LINK</t>
  </si>
  <si>
    <t>RABMAT_EX</t>
  </si>
  <si>
    <t>TIP_RAB</t>
  </si>
  <si>
    <t>TYPE_TRUD</t>
  </si>
  <si>
    <t>TAB</t>
  </si>
  <si>
    <t>NAME</t>
  </si>
  <si>
    <t>EDIZM</t>
  </si>
  <si>
    <t>KOLL</t>
  </si>
  <si>
    <t>UCH</t>
  </si>
  <si>
    <t>PRICE_B</t>
  </si>
  <si>
    <t>PRICE_ED</t>
  </si>
  <si>
    <t>STOIM_B</t>
  </si>
  <si>
    <t>PRICE_C</t>
  </si>
  <si>
    <t>STOIM_C</t>
  </si>
  <si>
    <t>ZPM_B</t>
  </si>
  <si>
    <t>ZPM_ED</t>
  </si>
  <si>
    <t>STOIM_ZPM_B</t>
  </si>
  <si>
    <t>ZPM_C</t>
  </si>
  <si>
    <t>STOIM_ZPM_C</t>
  </si>
  <si>
    <t>CRC_GR_RES</t>
  </si>
  <si>
    <t>CRC_B</t>
  </si>
  <si>
    <t>CRC_C</t>
  </si>
  <si>
    <t>RABMAT</t>
  </si>
  <si>
    <t>WBS</t>
  </si>
  <si>
    <t>CBSI</t>
  </si>
  <si>
    <t>CBSII</t>
  </si>
  <si>
    <t>TechSpecCVORPP</t>
  </si>
  <si>
    <t>BuildingFinished</t>
  </si>
  <si>
    <t>PEREVOZKA</t>
  </si>
  <si>
    <t>Trud</t>
  </si>
  <si>
    <t>Mash</t>
  </si>
  <si>
    <t>Mat</t>
  </si>
  <si>
    <t>MatZak</t>
  </si>
  <si>
    <t>Oborud</t>
  </si>
  <si>
    <t>OborudZak</t>
  </si>
  <si>
    <t>ZeroStoim</t>
  </si>
  <si>
    <t>NegativeKoll</t>
  </si>
  <si>
    <t>ReUnionKollResurcy</t>
  </si>
  <si>
    <t>UnionOneUchRes</t>
  </si>
  <si>
    <t>IdLevel</t>
  </si>
  <si>
    <t>ViewCodes</t>
  </si>
  <si>
    <t>UnionCodes</t>
  </si>
  <si>
    <t>Ресурсная ведомость на</t>
  </si>
  <si>
    <t>Объект: ГБОУ Школа 920. ул. Перовская, д. 24 Пандус (СН-2012 Выпуск №2 (в ценах на 01.01.2025 г))</t>
  </si>
  <si>
    <t>Обоснование</t>
  </si>
  <si>
    <t>Наименование</t>
  </si>
  <si>
    <t>Объем</t>
  </si>
  <si>
    <t>Базовая</t>
  </si>
  <si>
    <t>цена</t>
  </si>
  <si>
    <t>стоимость</t>
  </si>
  <si>
    <t>Текущая стоимость</t>
  </si>
  <si>
    <t xml:space="preserve">Машины и механизмы </t>
  </si>
  <si>
    <t xml:space="preserve">Итого машины и механизмы </t>
  </si>
  <si>
    <t xml:space="preserve">Материальные ресурсы </t>
  </si>
  <si>
    <t xml:space="preserve">Итого материальные ресурсы </t>
  </si>
  <si>
    <t>Директор ГБОУ Школа № 920</t>
  </si>
  <si>
    <t>К.О. Иноземцева</t>
  </si>
  <si>
    <t>Директор</t>
  </si>
  <si>
    <t>Иноземцева К.О.</t>
  </si>
  <si>
    <t>В случае, если настоящая документация содержит указания на марки, модели или наименования производителя оборудования, то такое указание считается установленным под условием – «или эквивалент»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</si>
</sst>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#,##0.00;[Red]\-\ #,##0.00"/>
  </numFmts>
  <fonts count="20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164" fontId="10" fillId="0" borderId="0" xfId="0" applyNumberFormat="1" applyFont="1"/>
    <xf numFmtId="1" fontId="10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5" fontId="10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5" fontId="15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6" xfId="0" applyBorder="1"/>
    <xf numFmtId="165" fontId="18" fillId="0" borderId="6" xfId="0" applyNumberFormat="1" applyFont="1" applyBorder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8" fillId="0" borderId="0" xfId="0" applyFont="1"/>
    <xf numFmtId="0" fontId="18" fillId="0" borderId="0" xfId="0" applyFont="1" applyAlignment="1">
      <alignment horizontal="left" wrapText="1"/>
    </xf>
    <xf numFmtId="0" fontId="10" fillId="0" borderId="1" xfId="0" applyFont="1" applyBorder="1"/>
    <xf numFmtId="0" fontId="18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11" fillId="0" borderId="3" xfId="0" quotePrefix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top" wrapText="1"/>
    </xf>
    <xf numFmtId="165" fontId="10" fillId="0" borderId="3" xfId="0" applyNumberFormat="1" applyFont="1" applyBorder="1" applyAlignment="1">
      <alignment horizontal="right" wrapText="1"/>
    </xf>
    <xf numFmtId="0" fontId="18" fillId="0" borderId="3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1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165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65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165" fontId="18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0" fillId="0" borderId="0" xfId="0" applyAlignment="1"/>
    <xf numFmtId="0" fontId="19" fillId="0" borderId="0" xfId="0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0" fontId="11" fillId="0" borderId="2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3" xfId="0" applyFont="1" applyBorder="1" applyAlignment="1">
      <alignment horizontal="right"/>
    </xf>
    <xf numFmtId="165" fontId="18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20_&#1055;&#1077;&#1088;&#1086;&#1074;&#1089;&#1082;&#1072;&#1103;%2024.%20&#1058;&#1056;-2024_(&#1043;&#1042;&#1057;_&#1061;&#1042;&#1057;)%20(&#1057;&#1053;-2012%20&#1042;&#1099;&#1087;&#1091;&#1089;&#1082;%20&#8470;2%20(&#1074;%20&#1094;&#1077;&#1085;&#1072;&#1093;%20&#1085;&#1072;%2001.01.2025%20&#1075;)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Н-2012 по гл. 1-5"/>
      <sheetName val="Дефектная ведомость"/>
      <sheetName val="RV_DATA"/>
      <sheetName val="Расчет стоимости ресурсов"/>
      <sheetName val="Source"/>
      <sheetName val="SourceObSm"/>
      <sheetName val="SmtRes"/>
      <sheetName val="EtalonRes"/>
      <sheetName val="SrcPoprs"/>
      <sheetName val="SrcK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Smeta.RU  (495) 974-1589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1"/>
  <sheetViews>
    <sheetView tabSelected="1" topLeftCell="A4" zoomScaleNormal="100" workbookViewId="0">
      <selection activeCell="D132" sqref="D132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9" max="11" width="12.7109375" customWidth="1"/>
    <col min="15" max="31" width="0" hidden="1" customWidth="1"/>
    <col min="32" max="32" width="112.85546875" hidden="1" customWidth="1"/>
    <col min="33" max="36" width="0" hidden="1" customWidth="1"/>
  </cols>
  <sheetData>
    <row r="1" spans="1:11" x14ac:dyDescent="0.2">
      <c r="A1" s="8" t="str">
        <f>CONCATENATE(Source!B1, "     СН-2012 (© ОАО МЦЦС 'Мосстройцены', ", "2025", ")")</f>
        <v>Smeta.RU  (495) 974-1589     СН-2012 (© ОАО МЦЦС 'Мосстройцены', 2025)</v>
      </c>
    </row>
    <row r="2" spans="1:11" ht="14.25" x14ac:dyDescent="0.2">
      <c r="A2" s="9"/>
      <c r="B2" s="9"/>
      <c r="C2" s="9"/>
      <c r="D2" s="9"/>
      <c r="E2" s="9"/>
      <c r="F2" s="9"/>
      <c r="G2" s="9"/>
      <c r="H2" s="9"/>
      <c r="I2" s="9"/>
      <c r="J2" s="65" t="s">
        <v>252</v>
      </c>
      <c r="K2" s="65"/>
    </row>
    <row r="3" spans="1:11" ht="16.5" x14ac:dyDescent="0.25">
      <c r="A3" s="11"/>
      <c r="B3" s="71" t="s">
        <v>250</v>
      </c>
      <c r="C3" s="71"/>
      <c r="D3" s="71"/>
      <c r="E3" s="71"/>
      <c r="F3" s="10"/>
      <c r="G3" s="71" t="s">
        <v>251</v>
      </c>
      <c r="H3" s="71"/>
      <c r="I3" s="71"/>
      <c r="J3" s="71"/>
      <c r="K3" s="71"/>
    </row>
    <row r="4" spans="1:11" ht="14.25" x14ac:dyDescent="0.2">
      <c r="A4" s="10"/>
      <c r="B4" s="64"/>
      <c r="C4" s="64"/>
      <c r="D4" s="64"/>
      <c r="E4" s="64"/>
      <c r="F4" s="10"/>
      <c r="G4" s="64" t="s">
        <v>359</v>
      </c>
      <c r="H4" s="64"/>
      <c r="I4" s="64"/>
      <c r="J4" s="64"/>
      <c r="K4" s="64"/>
    </row>
    <row r="5" spans="1:11" ht="14.25" x14ac:dyDescent="0.2">
      <c r="A5" s="12"/>
      <c r="B5" s="12"/>
      <c r="C5" s="13"/>
      <c r="D5" s="13"/>
      <c r="E5" s="13"/>
      <c r="F5" s="10"/>
      <c r="G5" s="14" t="s">
        <v>360</v>
      </c>
      <c r="H5" s="13"/>
      <c r="I5" s="13"/>
      <c r="J5" s="13"/>
      <c r="K5" s="14"/>
    </row>
    <row r="6" spans="1:11" ht="14.25" x14ac:dyDescent="0.2">
      <c r="A6" s="14"/>
      <c r="B6" s="64" t="str">
        <f>CONCATENATE("______________________ ", IF(Source!AL12&lt;&gt;"", Source!AL12, ""))</f>
        <v xml:space="preserve">______________________ </v>
      </c>
      <c r="C6" s="64"/>
      <c r="D6" s="64"/>
      <c r="E6" s="64"/>
      <c r="F6" s="10"/>
      <c r="G6" s="64" t="str">
        <f>CONCATENATE("______________________ ", IF(Source!AH12&lt;&gt;"", Source!AH12, ""))</f>
        <v xml:space="preserve">______________________ </v>
      </c>
      <c r="H6" s="64"/>
      <c r="I6" s="64"/>
      <c r="J6" s="64"/>
      <c r="K6" s="64"/>
    </row>
    <row r="7" spans="1:11" ht="14.25" x14ac:dyDescent="0.2">
      <c r="A7" s="15"/>
      <c r="B7" s="66" t="s">
        <v>253</v>
      </c>
      <c r="C7" s="66"/>
      <c r="D7" s="66"/>
      <c r="E7" s="66"/>
      <c r="F7" s="10"/>
      <c r="G7" s="66" t="s">
        <v>253</v>
      </c>
      <c r="H7" s="66"/>
      <c r="I7" s="66"/>
      <c r="J7" s="66"/>
      <c r="K7" s="66"/>
    </row>
    <row r="9" spans="1:11" ht="14.25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5.75" x14ac:dyDescent="0.25">
      <c r="A10" s="67" t="str">
        <f>CONCATENATE( "ЛОКАЛЬНАЯ СМЕТА № ",IF(Source!F20&lt;&gt;"Новая локальная смета", Source!F20, ""))</f>
        <v xml:space="preserve">ЛОКАЛЬНАЯ СМЕТА № 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</row>
    <row r="11" spans="1:11" x14ac:dyDescent="0.2">
      <c r="A11" s="69" t="s">
        <v>254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14.2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x14ac:dyDescent="0.25">
      <c r="A13" s="70" t="str">
        <f>IF(Source!G20&lt;&gt;"Новая локальная смета", Source!G20, "")</f>
        <v>ГБОУ Школа 920. ул. Перовская, д. 24 Пандус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</row>
    <row r="14" spans="1:11" ht="14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x14ac:dyDescent="0.25">
      <c r="A15" s="72" t="str">
        <f>IF(Source!G12&lt;&gt;"Новый объект", Source!G12, "")</f>
        <v>ГБОУ Школа 920. ул. Перовская, д. 24 Пандус (СН-2012 Выпуск №2 (в ценах на 01.01.2025 г))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</row>
    <row r="16" spans="1:11" x14ac:dyDescent="0.2">
      <c r="A16" s="69" t="s">
        <v>255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</row>
    <row r="17" spans="1:11" ht="14.25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4.25" x14ac:dyDescent="0.2">
      <c r="A18" s="57" t="str">
        <f>CONCATENATE( "Основание: чертежи № ", Source!J20)</f>
        <v xml:space="preserve">Основание: чертежи № 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ht="14.2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ht="14.25" x14ac:dyDescent="0.2">
      <c r="A20" s="10"/>
      <c r="B20" s="10"/>
      <c r="C20" s="10"/>
      <c r="D20" s="10"/>
      <c r="E20" s="10"/>
      <c r="F20" s="64" t="s">
        <v>256</v>
      </c>
      <c r="G20" s="64"/>
      <c r="H20" s="64"/>
      <c r="I20" s="58">
        <f>I21+I22+I23+I24</f>
        <v>677.26</v>
      </c>
      <c r="J20" s="65"/>
      <c r="K20" s="10" t="s">
        <v>257</v>
      </c>
    </row>
    <row r="21" spans="1:11" ht="14.25" hidden="1" x14ac:dyDescent="0.2">
      <c r="A21" s="10"/>
      <c r="B21" s="10"/>
      <c r="C21" s="10"/>
      <c r="D21" s="10"/>
      <c r="E21" s="10"/>
      <c r="F21" s="64" t="s">
        <v>258</v>
      </c>
      <c r="G21" s="64"/>
      <c r="H21" s="64"/>
      <c r="I21" s="58">
        <f>ROUND((Source!F121)/1000, 2)</f>
        <v>0</v>
      </c>
      <c r="J21" s="65"/>
      <c r="K21" s="10" t="s">
        <v>257</v>
      </c>
    </row>
    <row r="22" spans="1:11" ht="14.25" hidden="1" x14ac:dyDescent="0.2">
      <c r="A22" s="10"/>
      <c r="B22" s="10"/>
      <c r="C22" s="10"/>
      <c r="D22" s="10"/>
      <c r="E22" s="10"/>
      <c r="F22" s="64" t="s">
        <v>259</v>
      </c>
      <c r="G22" s="64"/>
      <c r="H22" s="64"/>
      <c r="I22" s="58">
        <f>ROUND((Source!F122)/1000, 2)</f>
        <v>0</v>
      </c>
      <c r="J22" s="65"/>
      <c r="K22" s="10" t="s">
        <v>257</v>
      </c>
    </row>
    <row r="23" spans="1:11" ht="14.25" hidden="1" x14ac:dyDescent="0.2">
      <c r="A23" s="10"/>
      <c r="B23" s="10"/>
      <c r="C23" s="10"/>
      <c r="D23" s="10"/>
      <c r="E23" s="10"/>
      <c r="F23" s="64" t="s">
        <v>260</v>
      </c>
      <c r="G23" s="64"/>
      <c r="H23" s="64"/>
      <c r="I23" s="58">
        <f>ROUND((Source!F113)/1000, 2)</f>
        <v>0</v>
      </c>
      <c r="J23" s="65"/>
      <c r="K23" s="10" t="s">
        <v>257</v>
      </c>
    </row>
    <row r="24" spans="1:11" ht="14.25" hidden="1" x14ac:dyDescent="0.2">
      <c r="A24" s="10"/>
      <c r="B24" s="10"/>
      <c r="C24" s="10"/>
      <c r="D24" s="10"/>
      <c r="E24" s="10"/>
      <c r="F24" s="64" t="s">
        <v>261</v>
      </c>
      <c r="G24" s="64"/>
      <c r="H24" s="64"/>
      <c r="I24" s="58">
        <f>ROUND((Source!F123+Source!F124)/1000, 2)</f>
        <v>677.26</v>
      </c>
      <c r="J24" s="65"/>
      <c r="K24" s="10" t="s">
        <v>257</v>
      </c>
    </row>
    <row r="25" spans="1:11" ht="14.25" x14ac:dyDescent="0.2">
      <c r="A25" s="10"/>
      <c r="B25" s="10"/>
      <c r="C25" s="10"/>
      <c r="D25" s="10"/>
      <c r="E25" s="10"/>
      <c r="F25" s="64" t="s">
        <v>262</v>
      </c>
      <c r="G25" s="64"/>
      <c r="H25" s="64"/>
      <c r="I25" s="58">
        <f>(Source!F119+ Source!F118)/1000</f>
        <v>98.815150000000003</v>
      </c>
      <c r="J25" s="65"/>
      <c r="K25" s="10" t="s">
        <v>257</v>
      </c>
    </row>
    <row r="26" spans="1:11" ht="14.25" x14ac:dyDescent="0.2">
      <c r="A26" s="10" t="s">
        <v>276</v>
      </c>
      <c r="B26" s="10"/>
      <c r="C26" s="10"/>
      <c r="D26" s="16"/>
      <c r="E26" s="17"/>
      <c r="F26" s="10"/>
      <c r="G26" s="10"/>
      <c r="H26" s="10"/>
      <c r="I26" s="10"/>
      <c r="J26" s="10"/>
      <c r="K26" s="10"/>
    </row>
    <row r="27" spans="1:11" ht="14.25" x14ac:dyDescent="0.2">
      <c r="A27" s="62" t="s">
        <v>263</v>
      </c>
      <c r="B27" s="62" t="s">
        <v>264</v>
      </c>
      <c r="C27" s="62" t="s">
        <v>265</v>
      </c>
      <c r="D27" s="62" t="s">
        <v>266</v>
      </c>
      <c r="E27" s="62" t="s">
        <v>267</v>
      </c>
      <c r="F27" s="62" t="s">
        <v>268</v>
      </c>
      <c r="G27" s="62" t="s">
        <v>269</v>
      </c>
      <c r="H27" s="62" t="s">
        <v>270</v>
      </c>
      <c r="I27" s="62" t="s">
        <v>271</v>
      </c>
      <c r="J27" s="62" t="s">
        <v>272</v>
      </c>
      <c r="K27" s="18" t="s">
        <v>273</v>
      </c>
    </row>
    <row r="28" spans="1:11" ht="28.5" x14ac:dyDescent="0.2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19" t="s">
        <v>274</v>
      </c>
    </row>
    <row r="29" spans="1:11" ht="28.5" x14ac:dyDescent="0.2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19" t="s">
        <v>275</v>
      </c>
    </row>
    <row r="30" spans="1:11" ht="14.25" x14ac:dyDescent="0.2">
      <c r="A30" s="19">
        <v>1</v>
      </c>
      <c r="B30" s="19">
        <v>2</v>
      </c>
      <c r="C30" s="19">
        <v>3</v>
      </c>
      <c r="D30" s="19">
        <v>4</v>
      </c>
      <c r="E30" s="19">
        <v>5</v>
      </c>
      <c r="F30" s="19">
        <v>6</v>
      </c>
      <c r="G30" s="19">
        <v>7</v>
      </c>
      <c r="H30" s="19">
        <v>8</v>
      </c>
      <c r="I30" s="19">
        <v>9</v>
      </c>
      <c r="J30" s="19">
        <v>10</v>
      </c>
      <c r="K30" s="19">
        <v>11</v>
      </c>
    </row>
    <row r="32" spans="1:11" ht="16.5" x14ac:dyDescent="0.25">
      <c r="A32" s="61" t="str">
        <f>CONCATENATE("Раздел: ",IF(Source!G24&lt;&gt;"Новый раздел", Source!G24, ""))</f>
        <v xml:space="preserve">Раздел: 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</row>
    <row r="33" spans="1:22" ht="184.5" x14ac:dyDescent="0.2">
      <c r="A33" s="20">
        <v>1</v>
      </c>
      <c r="B33" s="20" t="s">
        <v>277</v>
      </c>
      <c r="C33" s="20" t="s">
        <v>278</v>
      </c>
      <c r="D33" s="21" t="str">
        <f>Source!H28</f>
        <v>т</v>
      </c>
      <c r="E33" s="9">
        <f>Source!I28</f>
        <v>2.1072000000000002</v>
      </c>
      <c r="F33" s="23"/>
      <c r="G33" s="22"/>
      <c r="H33" s="9"/>
      <c r="I33" s="9"/>
      <c r="J33" s="23"/>
      <c r="K33" s="23"/>
      <c r="Q33">
        <f>ROUND((Source!BZ28/100)*ROUND((Source!AF28*Source!AV28)*Source!I28, 2), 2)</f>
        <v>5545.34</v>
      </c>
      <c r="R33">
        <f>Source!X28</f>
        <v>5545.34</v>
      </c>
      <c r="S33">
        <f>ROUND((Source!CA28/100)*ROUND((Source!AF28*Source!AV28)*Source!I28, 2), 2)</f>
        <v>792.19</v>
      </c>
      <c r="T33">
        <f>Source!Y28</f>
        <v>792.19</v>
      </c>
      <c r="U33">
        <f>ROUND((175/100)*ROUND((Source!AE28*Source!AV28)*Source!I28, 2), 2)</f>
        <v>0.42</v>
      </c>
      <c r="V33">
        <f>ROUND((160/100)*ROUND(Source!CS28*Source!I28, 2), 2)</f>
        <v>0.38</v>
      </c>
    </row>
    <row r="34" spans="1:22" x14ac:dyDescent="0.2">
      <c r="C34" s="24" t="str">
        <f>"Объем: "&amp;Source!I28&amp;"=(5,22+"&amp;"4,02+"&amp;"8,32)*"&amp;"120/"&amp;"1000"</f>
        <v>Объем: 2,1072=(5,22+4,02+8,32)*120/1000</v>
      </c>
    </row>
    <row r="35" spans="1:22" ht="14.25" x14ac:dyDescent="0.2">
      <c r="A35" s="20"/>
      <c r="B35" s="20"/>
      <c r="C35" s="20" t="s">
        <v>279</v>
      </c>
      <c r="D35" s="21"/>
      <c r="E35" s="9"/>
      <c r="F35" s="23">
        <f>Source!AO28</f>
        <v>18797.259999999998</v>
      </c>
      <c r="G35" s="22" t="str">
        <f>Source!DG28</f>
        <v>)*0,2</v>
      </c>
      <c r="H35" s="9">
        <f>Source!AV28</f>
        <v>1</v>
      </c>
      <c r="I35" s="9">
        <f>IF(Source!BA28&lt;&gt; 0, Source!BA28, 1)</f>
        <v>1</v>
      </c>
      <c r="J35" s="23">
        <f>Source!S28</f>
        <v>7921.92</v>
      </c>
      <c r="K35" s="23"/>
    </row>
    <row r="36" spans="1:22" ht="14.25" x14ac:dyDescent="0.2">
      <c r="A36" s="20"/>
      <c r="B36" s="20"/>
      <c r="C36" s="20" t="s">
        <v>280</v>
      </c>
      <c r="D36" s="21"/>
      <c r="E36" s="9"/>
      <c r="F36" s="23">
        <f>Source!AM28</f>
        <v>342.41</v>
      </c>
      <c r="G36" s="22" t="str">
        <f>Source!DE28</f>
        <v>)*0,2</v>
      </c>
      <c r="H36" s="9">
        <f>Source!AV28</f>
        <v>1</v>
      </c>
      <c r="I36" s="9">
        <f>IF(Source!BB28&lt;&gt; 0, Source!BB28, 1)</f>
        <v>1</v>
      </c>
      <c r="J36" s="23">
        <f>Source!Q28</f>
        <v>144.31</v>
      </c>
      <c r="K36" s="23"/>
    </row>
    <row r="37" spans="1:22" ht="14.25" x14ac:dyDescent="0.2">
      <c r="A37" s="20"/>
      <c r="B37" s="20"/>
      <c r="C37" s="20" t="s">
        <v>281</v>
      </c>
      <c r="D37" s="21"/>
      <c r="E37" s="9"/>
      <c r="F37" s="23">
        <f>Source!AN28</f>
        <v>0.57999999999999996</v>
      </c>
      <c r="G37" s="22" t="str">
        <f>Source!DF28</f>
        <v>)*0,2</v>
      </c>
      <c r="H37" s="9">
        <f>Source!AV28</f>
        <v>1</v>
      </c>
      <c r="I37" s="9">
        <f>IF(Source!BS28&lt;&gt; 0, Source!BS28, 1)</f>
        <v>1</v>
      </c>
      <c r="J37" s="25">
        <f>Source!R28</f>
        <v>0.24</v>
      </c>
      <c r="K37" s="23"/>
    </row>
    <row r="38" spans="1:22" ht="14.25" x14ac:dyDescent="0.2">
      <c r="A38" s="20"/>
      <c r="B38" s="20"/>
      <c r="C38" s="20" t="s">
        <v>282</v>
      </c>
      <c r="D38" s="21" t="s">
        <v>283</v>
      </c>
      <c r="E38" s="9">
        <f>Source!AT28</f>
        <v>70</v>
      </c>
      <c r="F38" s="23"/>
      <c r="G38" s="22"/>
      <c r="H38" s="9"/>
      <c r="I38" s="9"/>
      <c r="J38" s="23">
        <f>SUM(R33:R37)</f>
        <v>5545.34</v>
      </c>
      <c r="K38" s="23"/>
    </row>
    <row r="39" spans="1:22" ht="14.25" x14ac:dyDescent="0.2">
      <c r="A39" s="20"/>
      <c r="B39" s="20"/>
      <c r="C39" s="20" t="s">
        <v>284</v>
      </c>
      <c r="D39" s="21" t="s">
        <v>283</v>
      </c>
      <c r="E39" s="9">
        <f>Source!AU28</f>
        <v>10</v>
      </c>
      <c r="F39" s="23"/>
      <c r="G39" s="22"/>
      <c r="H39" s="9"/>
      <c r="I39" s="9"/>
      <c r="J39" s="23">
        <f>SUM(T33:T38)</f>
        <v>792.19</v>
      </c>
      <c r="K39" s="23"/>
    </row>
    <row r="40" spans="1:22" ht="14.25" x14ac:dyDescent="0.2">
      <c r="A40" s="20"/>
      <c r="B40" s="20"/>
      <c r="C40" s="20" t="s">
        <v>285</v>
      </c>
      <c r="D40" s="21" t="s">
        <v>283</v>
      </c>
      <c r="E40" s="9">
        <f>160</f>
        <v>160</v>
      </c>
      <c r="F40" s="23"/>
      <c r="G40" s="22"/>
      <c r="H40" s="9"/>
      <c r="I40" s="9"/>
      <c r="J40" s="23">
        <f>SUM(V33:V39)</f>
        <v>0.38</v>
      </c>
      <c r="K40" s="23"/>
    </row>
    <row r="41" spans="1:22" ht="14.25" x14ac:dyDescent="0.2">
      <c r="A41" s="20"/>
      <c r="B41" s="20"/>
      <c r="C41" s="20" t="s">
        <v>286</v>
      </c>
      <c r="D41" s="21" t="s">
        <v>287</v>
      </c>
      <c r="E41" s="9">
        <f>Source!AQ28</f>
        <v>41.28</v>
      </c>
      <c r="F41" s="23"/>
      <c r="G41" s="22" t="str">
        <f>Source!DI28</f>
        <v>)*0,2</v>
      </c>
      <c r="H41" s="9">
        <f>Source!AV28</f>
        <v>1</v>
      </c>
      <c r="I41" s="9"/>
      <c r="J41" s="23"/>
      <c r="K41" s="23">
        <f>Source!U28</f>
        <v>17.397043200000002</v>
      </c>
    </row>
    <row r="42" spans="1:22" ht="15" x14ac:dyDescent="0.25">
      <c r="A42" s="27"/>
      <c r="B42" s="27"/>
      <c r="C42" s="27"/>
      <c r="D42" s="27"/>
      <c r="E42" s="27"/>
      <c r="F42" s="27"/>
      <c r="G42" s="27"/>
      <c r="H42" s="27"/>
      <c r="I42" s="60">
        <f>J35+J36+J38+J39+J40</f>
        <v>14404.14</v>
      </c>
      <c r="J42" s="60"/>
      <c r="K42" s="28">
        <f>IF(Source!I28&lt;&gt;0, ROUND(I42/Source!I28, 2), 0)</f>
        <v>6835.68</v>
      </c>
      <c r="P42" s="26">
        <f>I42</f>
        <v>14404.14</v>
      </c>
    </row>
    <row r="43" spans="1:22" ht="57" x14ac:dyDescent="0.2">
      <c r="A43" s="20">
        <v>2</v>
      </c>
      <c r="B43" s="20" t="str">
        <f>Source!F29</f>
        <v>1.9-3203-5-1/1</v>
      </c>
      <c r="C43" s="20" t="str">
        <f>Source!G29</f>
        <v>Монтаж площадок с настилом и ограждением из листовой, рифленой, просечной и круглой стали (металлический пандус)</v>
      </c>
      <c r="D43" s="21" t="str">
        <f>Source!H29</f>
        <v>т</v>
      </c>
      <c r="E43" s="9">
        <f>Source!I29</f>
        <v>2.1072000000000002</v>
      </c>
      <c r="F43" s="23"/>
      <c r="G43" s="22"/>
      <c r="H43" s="9"/>
      <c r="I43" s="9"/>
      <c r="J43" s="23"/>
      <c r="K43" s="23"/>
      <c r="Q43">
        <f>ROUND((Source!BZ29/100)*ROUND((Source!AF29*Source!AV29)*Source!I29, 2), 2)</f>
        <v>27726.71</v>
      </c>
      <c r="R43">
        <f>Source!X29</f>
        <v>27726.71</v>
      </c>
      <c r="S43">
        <f>ROUND((Source!CA29/100)*ROUND((Source!AF29*Source!AV29)*Source!I29, 2), 2)</f>
        <v>3960.96</v>
      </c>
      <c r="T43">
        <f>Source!Y29</f>
        <v>3960.96</v>
      </c>
      <c r="U43">
        <f>ROUND((175/100)*ROUND((Source!AE29*Source!AV29)*Source!I29, 2), 2)</f>
        <v>2.14</v>
      </c>
      <c r="V43">
        <f>ROUND((160/100)*ROUND(Source!CS29*Source!I29, 2), 2)</f>
        <v>1.95</v>
      </c>
    </row>
    <row r="44" spans="1:22" ht="14.25" x14ac:dyDescent="0.2">
      <c r="A44" s="20"/>
      <c r="B44" s="20"/>
      <c r="C44" s="20" t="s">
        <v>279</v>
      </c>
      <c r="D44" s="21"/>
      <c r="E44" s="9"/>
      <c r="F44" s="23">
        <f>Source!AO29</f>
        <v>18797.259999999998</v>
      </c>
      <c r="G44" s="22" t="str">
        <f>Source!DG29</f>
        <v/>
      </c>
      <c r="H44" s="9">
        <f>Source!AV29</f>
        <v>1</v>
      </c>
      <c r="I44" s="9">
        <f>IF(Source!BA29&lt;&gt; 0, Source!BA29, 1)</f>
        <v>1</v>
      </c>
      <c r="J44" s="23">
        <f>Source!S29</f>
        <v>39609.589999999997</v>
      </c>
      <c r="K44" s="23"/>
    </row>
    <row r="45" spans="1:22" ht="14.25" x14ac:dyDescent="0.2">
      <c r="A45" s="20"/>
      <c r="B45" s="20"/>
      <c r="C45" s="20" t="s">
        <v>280</v>
      </c>
      <c r="D45" s="21"/>
      <c r="E45" s="9"/>
      <c r="F45" s="23">
        <f>Source!AM29</f>
        <v>342.41</v>
      </c>
      <c r="G45" s="22" t="str">
        <f>Source!DE29</f>
        <v/>
      </c>
      <c r="H45" s="9">
        <f>Source!AV29</f>
        <v>1</v>
      </c>
      <c r="I45" s="9">
        <f>IF(Source!BB29&lt;&gt; 0, Source!BB29, 1)</f>
        <v>1</v>
      </c>
      <c r="J45" s="23">
        <f>Source!Q29</f>
        <v>721.53</v>
      </c>
      <c r="K45" s="23"/>
    </row>
    <row r="46" spans="1:22" ht="14.25" x14ac:dyDescent="0.2">
      <c r="A46" s="20"/>
      <c r="B46" s="20"/>
      <c r="C46" s="20" t="s">
        <v>281</v>
      </c>
      <c r="D46" s="21"/>
      <c r="E46" s="9"/>
      <c r="F46" s="23">
        <f>Source!AN29</f>
        <v>0.57999999999999996</v>
      </c>
      <c r="G46" s="22" t="str">
        <f>Source!DF29</f>
        <v/>
      </c>
      <c r="H46" s="9">
        <f>Source!AV29</f>
        <v>1</v>
      </c>
      <c r="I46" s="9">
        <f>IF(Source!BS29&lt;&gt; 0, Source!BS29, 1)</f>
        <v>1</v>
      </c>
      <c r="J46" s="25">
        <f>Source!R29</f>
        <v>1.22</v>
      </c>
      <c r="K46" s="23"/>
    </row>
    <row r="47" spans="1:22" ht="14.25" x14ac:dyDescent="0.2">
      <c r="A47" s="20"/>
      <c r="B47" s="20"/>
      <c r="C47" s="20" t="s">
        <v>288</v>
      </c>
      <c r="D47" s="21"/>
      <c r="E47" s="9"/>
      <c r="F47" s="23">
        <f>Source!AL29</f>
        <v>155912.69</v>
      </c>
      <c r="G47" s="22" t="str">
        <f>Source!DD29</f>
        <v/>
      </c>
      <c r="H47" s="9">
        <f>Source!AW29</f>
        <v>1</v>
      </c>
      <c r="I47" s="9">
        <f>IF(Source!BC29&lt;&gt; 0, Source!BC29, 1)</f>
        <v>1</v>
      </c>
      <c r="J47" s="23">
        <f>Source!P29</f>
        <v>328539.21999999997</v>
      </c>
      <c r="K47" s="23"/>
    </row>
    <row r="48" spans="1:22" ht="57" x14ac:dyDescent="0.2">
      <c r="A48" s="20" t="s">
        <v>27</v>
      </c>
      <c r="B48" s="20" t="str">
        <f>Source!F30</f>
        <v>21.1-10-26</v>
      </c>
      <c r="C48" s="20" t="str">
        <f>Source!G30</f>
        <v>Профили замкнутые стальные гнутые сварные (трубы квадратные), размер стороны 40 мм, толщина стенки 4 мм (стойки пандуса)</v>
      </c>
      <c r="D48" s="21" t="str">
        <f>Source!H30</f>
        <v>т</v>
      </c>
      <c r="E48" s="9">
        <f>Source!I30</f>
        <v>0.14162500000000003</v>
      </c>
      <c r="F48" s="23">
        <f>Source!AK30</f>
        <v>52726.39</v>
      </c>
      <c r="G48" s="29" t="s">
        <v>3</v>
      </c>
      <c r="H48" s="9">
        <f>Source!AW30</f>
        <v>1</v>
      </c>
      <c r="I48" s="9">
        <f>IF(Source!BC30&lt;&gt; 0, Source!BC30, 1)</f>
        <v>1</v>
      </c>
      <c r="J48" s="23">
        <f>Source!O30</f>
        <v>7467.37</v>
      </c>
      <c r="K48" s="23"/>
      <c r="Q48">
        <f>ROUND((Source!BZ30/100)*ROUND((Source!AF30*Source!AV30)*Source!I30, 2), 2)</f>
        <v>0</v>
      </c>
      <c r="R48">
        <f>Source!X30</f>
        <v>0</v>
      </c>
      <c r="S48">
        <f>ROUND((Source!CA30/100)*ROUND((Source!AF30*Source!AV30)*Source!I30, 2), 2)</f>
        <v>0</v>
      </c>
      <c r="T48">
        <f>Source!Y30</f>
        <v>0</v>
      </c>
      <c r="U48">
        <f>ROUND((175/100)*ROUND((Source!AE30*Source!AV30)*Source!I30, 2), 2)</f>
        <v>0</v>
      </c>
      <c r="V48">
        <f>ROUND((160/100)*ROUND(Source!CS30*Source!I30, 2), 2)</f>
        <v>0</v>
      </c>
    </row>
    <row r="49" spans="1:22" ht="14.25" x14ac:dyDescent="0.2">
      <c r="A49" s="20"/>
      <c r="B49" s="20"/>
      <c r="C49" s="20" t="s">
        <v>282</v>
      </c>
      <c r="D49" s="21" t="s">
        <v>283</v>
      </c>
      <c r="E49" s="9">
        <f>Source!AT29</f>
        <v>70</v>
      </c>
      <c r="F49" s="23"/>
      <c r="G49" s="22"/>
      <c r="H49" s="9"/>
      <c r="I49" s="9"/>
      <c r="J49" s="23">
        <f>SUM(R43:R48)</f>
        <v>27726.71</v>
      </c>
      <c r="K49" s="23"/>
    </row>
    <row r="50" spans="1:22" ht="14.25" x14ac:dyDescent="0.2">
      <c r="A50" s="20"/>
      <c r="B50" s="20"/>
      <c r="C50" s="20" t="s">
        <v>284</v>
      </c>
      <c r="D50" s="21" t="s">
        <v>283</v>
      </c>
      <c r="E50" s="9">
        <f>Source!AU29</f>
        <v>10</v>
      </c>
      <c r="F50" s="23"/>
      <c r="G50" s="22"/>
      <c r="H50" s="9"/>
      <c r="I50" s="9"/>
      <c r="J50" s="23">
        <f>SUM(T43:T49)</f>
        <v>3960.96</v>
      </c>
      <c r="K50" s="23"/>
    </row>
    <row r="51" spans="1:22" ht="14.25" x14ac:dyDescent="0.2">
      <c r="A51" s="20"/>
      <c r="B51" s="20"/>
      <c r="C51" s="20" t="s">
        <v>285</v>
      </c>
      <c r="D51" s="21" t="s">
        <v>283</v>
      </c>
      <c r="E51" s="9">
        <f>160</f>
        <v>160</v>
      </c>
      <c r="F51" s="23"/>
      <c r="G51" s="22"/>
      <c r="H51" s="9"/>
      <c r="I51" s="9"/>
      <c r="J51" s="23">
        <f>SUM(V43:V50)</f>
        <v>1.95</v>
      </c>
      <c r="K51" s="23"/>
    </row>
    <row r="52" spans="1:22" ht="14.25" x14ac:dyDescent="0.2">
      <c r="A52" s="20"/>
      <c r="B52" s="20"/>
      <c r="C52" s="20" t="s">
        <v>286</v>
      </c>
      <c r="D52" s="21" t="s">
        <v>287</v>
      </c>
      <c r="E52" s="9">
        <f>Source!AQ29</f>
        <v>41.28</v>
      </c>
      <c r="F52" s="23"/>
      <c r="G52" s="22" t="str">
        <f>Source!DI29</f>
        <v/>
      </c>
      <c r="H52" s="9">
        <f>Source!AV29</f>
        <v>1</v>
      </c>
      <c r="I52" s="9"/>
      <c r="J52" s="23"/>
      <c r="K52" s="23">
        <f>Source!U29</f>
        <v>86.985216000000008</v>
      </c>
    </row>
    <row r="53" spans="1:22" ht="15" x14ac:dyDescent="0.25">
      <c r="A53" s="27"/>
      <c r="B53" s="27"/>
      <c r="C53" s="27"/>
      <c r="D53" s="27"/>
      <c r="E53" s="27"/>
      <c r="F53" s="27"/>
      <c r="G53" s="27"/>
      <c r="H53" s="27"/>
      <c r="I53" s="60">
        <f>J44+J45+J47+J49+J50+J51+SUM(J48:J48)</f>
        <v>408027.33</v>
      </c>
      <c r="J53" s="60"/>
      <c r="K53" s="28">
        <f>IF(Source!I29&lt;&gt;0, ROUND(I53/Source!I29, 2), 0)</f>
        <v>193634.84</v>
      </c>
      <c r="P53" s="26">
        <f>I53</f>
        <v>408027.33</v>
      </c>
    </row>
    <row r="54" spans="1:22" ht="71.25" x14ac:dyDescent="0.2">
      <c r="A54" s="20">
        <v>3</v>
      </c>
      <c r="B54" s="20" t="str">
        <f>Source!F31</f>
        <v>1.50-3203-53-3/1</v>
      </c>
      <c r="C54" s="20" t="str">
        <f>Source!G31</f>
        <v>Устройство ограждения пандуса (металлического) из полированной нержавеющей стали на стойках с двойным поручнем на высоте 700 и 900 мм</v>
      </c>
      <c r="D54" s="21" t="str">
        <f>Source!H31</f>
        <v>10 м</v>
      </c>
      <c r="E54" s="9">
        <f>Source!I31</f>
        <v>3.0459999999999998</v>
      </c>
      <c r="F54" s="23"/>
      <c r="G54" s="22"/>
      <c r="H54" s="9"/>
      <c r="I54" s="9"/>
      <c r="J54" s="23"/>
      <c r="K54" s="23"/>
      <c r="Q54">
        <f>ROUND((Source!BZ31/100)*ROUND((Source!AF31*Source!AV31)*Source!I31, 2), 2)</f>
        <v>27948.75</v>
      </c>
      <c r="R54">
        <f>Source!X31</f>
        <v>27948.75</v>
      </c>
      <c r="S54">
        <f>ROUND((Source!CA31/100)*ROUND((Source!AF31*Source!AV31)*Source!I31, 2), 2)</f>
        <v>3992.68</v>
      </c>
      <c r="T54">
        <f>Source!Y31</f>
        <v>3992.68</v>
      </c>
      <c r="U54">
        <f>ROUND((175/100)*ROUND((Source!AE31*Source!AV31)*Source!I31, 2), 2)</f>
        <v>1356.88</v>
      </c>
      <c r="V54">
        <f>ROUND((160/100)*ROUND(Source!CS31*Source!I31, 2), 2)</f>
        <v>1240.58</v>
      </c>
    </row>
    <row r="55" spans="1:22" ht="25.5" x14ac:dyDescent="0.2">
      <c r="C55" s="24" t="str">
        <f>"Объем: "&amp;Source!I31&amp;"=(5,22+"&amp;"4,02+"&amp;"8,32)/"&amp;"10+"&amp;"(4,2+"&amp;"1,9+"&amp;"6,8)/"&amp;"10"</f>
        <v>Объем: 3,046=(5,22+4,02+8,32)/10+(4,2+1,9+6,8)/10</v>
      </c>
    </row>
    <row r="56" spans="1:22" ht="14.25" x14ac:dyDescent="0.2">
      <c r="A56" s="20"/>
      <c r="B56" s="20"/>
      <c r="C56" s="20" t="s">
        <v>279</v>
      </c>
      <c r="D56" s="21"/>
      <c r="E56" s="9"/>
      <c r="F56" s="23">
        <f>Source!AO31</f>
        <v>13107.94</v>
      </c>
      <c r="G56" s="22" t="str">
        <f>Source!DG31</f>
        <v/>
      </c>
      <c r="H56" s="9">
        <f>Source!AV31</f>
        <v>1</v>
      </c>
      <c r="I56" s="9">
        <f>IF(Source!BA31&lt;&gt; 0, Source!BA31, 1)</f>
        <v>1</v>
      </c>
      <c r="J56" s="23">
        <f>Source!S31</f>
        <v>39926.79</v>
      </c>
      <c r="K56" s="23"/>
    </row>
    <row r="57" spans="1:22" ht="14.25" x14ac:dyDescent="0.2">
      <c r="A57" s="20"/>
      <c r="B57" s="20"/>
      <c r="C57" s="20" t="s">
        <v>280</v>
      </c>
      <c r="D57" s="21"/>
      <c r="E57" s="9"/>
      <c r="F57" s="23">
        <f>Source!AM31</f>
        <v>525.58000000000004</v>
      </c>
      <c r="G57" s="22" t="str">
        <f>Source!DE31</f>
        <v/>
      </c>
      <c r="H57" s="9">
        <f>Source!AV31</f>
        <v>1</v>
      </c>
      <c r="I57" s="9">
        <f>IF(Source!BB31&lt;&gt; 0, Source!BB31, 1)</f>
        <v>1</v>
      </c>
      <c r="J57" s="23">
        <f>Source!Q31</f>
        <v>1600.92</v>
      </c>
      <c r="K57" s="23"/>
    </row>
    <row r="58" spans="1:22" ht="14.25" x14ac:dyDescent="0.2">
      <c r="A58" s="20"/>
      <c r="B58" s="20"/>
      <c r="C58" s="20" t="s">
        <v>281</v>
      </c>
      <c r="D58" s="21"/>
      <c r="E58" s="9"/>
      <c r="F58" s="23">
        <f>Source!AN31</f>
        <v>254.55</v>
      </c>
      <c r="G58" s="22" t="str">
        <f>Source!DF31</f>
        <v/>
      </c>
      <c r="H58" s="9">
        <f>Source!AV31</f>
        <v>1</v>
      </c>
      <c r="I58" s="9">
        <f>IF(Source!BS31&lt;&gt; 0, Source!BS31, 1)</f>
        <v>1</v>
      </c>
      <c r="J58" s="25">
        <f>Source!R31</f>
        <v>775.36</v>
      </c>
      <c r="K58" s="23"/>
    </row>
    <row r="59" spans="1:22" ht="14.25" x14ac:dyDescent="0.2">
      <c r="A59" s="20"/>
      <c r="B59" s="20"/>
      <c r="C59" s="20" t="s">
        <v>288</v>
      </c>
      <c r="D59" s="21"/>
      <c r="E59" s="9"/>
      <c r="F59" s="23">
        <f>Source!AL31</f>
        <v>46982.25</v>
      </c>
      <c r="G59" s="22" t="str">
        <f>Source!DD31</f>
        <v/>
      </c>
      <c r="H59" s="9">
        <f>Source!AW31</f>
        <v>1</v>
      </c>
      <c r="I59" s="9">
        <f>IF(Source!BC31&lt;&gt; 0, Source!BC31, 1)</f>
        <v>1</v>
      </c>
      <c r="J59" s="23">
        <f>Source!P31</f>
        <v>143107.93</v>
      </c>
      <c r="K59" s="23"/>
    </row>
    <row r="60" spans="1:22" ht="14.25" x14ac:dyDescent="0.2">
      <c r="A60" s="20"/>
      <c r="B60" s="20"/>
      <c r="C60" s="20" t="s">
        <v>282</v>
      </c>
      <c r="D60" s="21" t="s">
        <v>283</v>
      </c>
      <c r="E60" s="9">
        <f>Source!AT31</f>
        <v>70</v>
      </c>
      <c r="F60" s="23"/>
      <c r="G60" s="22"/>
      <c r="H60" s="9"/>
      <c r="I60" s="9"/>
      <c r="J60" s="23">
        <f>SUM(R54:R59)</f>
        <v>27948.75</v>
      </c>
      <c r="K60" s="23"/>
    </row>
    <row r="61" spans="1:22" ht="14.25" x14ac:dyDescent="0.2">
      <c r="A61" s="20"/>
      <c r="B61" s="20"/>
      <c r="C61" s="20" t="s">
        <v>284</v>
      </c>
      <c r="D61" s="21" t="s">
        <v>283</v>
      </c>
      <c r="E61" s="9">
        <f>Source!AU31</f>
        <v>10</v>
      </c>
      <c r="F61" s="23"/>
      <c r="G61" s="22"/>
      <c r="H61" s="9"/>
      <c r="I61" s="9"/>
      <c r="J61" s="23">
        <f>SUM(T54:T60)</f>
        <v>3992.68</v>
      </c>
      <c r="K61" s="23"/>
    </row>
    <row r="62" spans="1:22" ht="14.25" x14ac:dyDescent="0.2">
      <c r="A62" s="20"/>
      <c r="B62" s="20"/>
      <c r="C62" s="20" t="s">
        <v>285</v>
      </c>
      <c r="D62" s="21" t="s">
        <v>283</v>
      </c>
      <c r="E62" s="9">
        <f>160</f>
        <v>160</v>
      </c>
      <c r="F62" s="23"/>
      <c r="G62" s="22"/>
      <c r="H62" s="9"/>
      <c r="I62" s="9"/>
      <c r="J62" s="23">
        <f>SUM(V54:V61)</f>
        <v>1240.58</v>
      </c>
      <c r="K62" s="23"/>
    </row>
    <row r="63" spans="1:22" ht="14.25" x14ac:dyDescent="0.2">
      <c r="A63" s="20"/>
      <c r="B63" s="20"/>
      <c r="C63" s="20" t="s">
        <v>286</v>
      </c>
      <c r="D63" s="21" t="s">
        <v>287</v>
      </c>
      <c r="E63" s="9">
        <f>Source!AQ31</f>
        <v>28.63</v>
      </c>
      <c r="F63" s="23"/>
      <c r="G63" s="22" t="str">
        <f>Source!DI31</f>
        <v/>
      </c>
      <c r="H63" s="9">
        <f>Source!AV31</f>
        <v>1</v>
      </c>
      <c r="I63" s="9"/>
      <c r="J63" s="23"/>
      <c r="K63" s="23">
        <f>Source!U31</f>
        <v>87.206979999999987</v>
      </c>
    </row>
    <row r="64" spans="1:22" ht="15" x14ac:dyDescent="0.25">
      <c r="A64" s="27"/>
      <c r="B64" s="27"/>
      <c r="C64" s="27"/>
      <c r="D64" s="27"/>
      <c r="E64" s="27"/>
      <c r="F64" s="27"/>
      <c r="G64" s="27"/>
      <c r="H64" s="27"/>
      <c r="I64" s="60">
        <f>J56+J57+J59+J60+J61+J62</f>
        <v>217817.64999999997</v>
      </c>
      <c r="J64" s="60"/>
      <c r="K64" s="28">
        <f>IF(Source!I31&lt;&gt;0, ROUND(I64/Source!I31, 2), 0)</f>
        <v>71509.41</v>
      </c>
      <c r="P64" s="26">
        <f>I64</f>
        <v>217817.64999999997</v>
      </c>
    </row>
    <row r="65" spans="1:22" ht="42.75" x14ac:dyDescent="0.2">
      <c r="A65" s="20">
        <v>4</v>
      </c>
      <c r="B65" s="20" t="str">
        <f>Source!F32</f>
        <v>2.1-3301-2-1/1</v>
      </c>
      <c r="C65" s="20" t="str">
        <f>Source!G32</f>
        <v>Исправление профиля щебеночных оснований с добавлением нового материала</v>
      </c>
      <c r="D65" s="21" t="str">
        <f>Source!H32</f>
        <v>1000 м2</v>
      </c>
      <c r="E65" s="9">
        <f>Source!I32</f>
        <v>3.5999999999999999E-3</v>
      </c>
      <c r="F65" s="23"/>
      <c r="G65" s="22"/>
      <c r="H65" s="9"/>
      <c r="I65" s="9"/>
      <c r="J65" s="23"/>
      <c r="K65" s="23"/>
      <c r="Q65">
        <f>ROUND((Source!BZ32/100)*ROUND((Source!AF32*Source!AV32)*Source!I32, 2), 2)</f>
        <v>73.69</v>
      </c>
      <c r="R65">
        <f>Source!X32</f>
        <v>73.69</v>
      </c>
      <c r="S65">
        <f>ROUND((Source!CA32/100)*ROUND((Source!AF32*Source!AV32)*Source!I32, 2), 2)</f>
        <v>10.53</v>
      </c>
      <c r="T65">
        <f>Source!Y32</f>
        <v>10.53</v>
      </c>
      <c r="U65">
        <f>ROUND((175/100)*ROUND((Source!AE32*Source!AV32)*Source!I32, 2), 2)</f>
        <v>371.68</v>
      </c>
      <c r="V65">
        <f>ROUND((160/100)*ROUND(Source!CS32*Source!I32, 2), 2)</f>
        <v>339.82</v>
      </c>
    </row>
    <row r="66" spans="1:22" ht="14.25" x14ac:dyDescent="0.2">
      <c r="A66" s="20"/>
      <c r="B66" s="20"/>
      <c r="C66" s="20" t="s">
        <v>279</v>
      </c>
      <c r="D66" s="21"/>
      <c r="E66" s="9"/>
      <c r="F66" s="23">
        <f>Source!AO32</f>
        <v>29242.15</v>
      </c>
      <c r="G66" s="22" t="str">
        <f>Source!DG32</f>
        <v/>
      </c>
      <c r="H66" s="9">
        <f>Source!AV32</f>
        <v>1</v>
      </c>
      <c r="I66" s="9">
        <f>IF(Source!BA32&lt;&gt; 0, Source!BA32, 1)</f>
        <v>1</v>
      </c>
      <c r="J66" s="23">
        <f>Source!S32</f>
        <v>105.27</v>
      </c>
      <c r="K66" s="23"/>
    </row>
    <row r="67" spans="1:22" ht="14.25" x14ac:dyDescent="0.2">
      <c r="A67" s="20"/>
      <c r="B67" s="20"/>
      <c r="C67" s="20" t="s">
        <v>280</v>
      </c>
      <c r="D67" s="21"/>
      <c r="E67" s="9"/>
      <c r="F67" s="23">
        <f>Source!AM32</f>
        <v>116092.14</v>
      </c>
      <c r="G67" s="22" t="str">
        <f>Source!DE32</f>
        <v/>
      </c>
      <c r="H67" s="9">
        <f>Source!AV32</f>
        <v>1</v>
      </c>
      <c r="I67" s="9">
        <f>IF(Source!BB32&lt;&gt; 0, Source!BB32, 1)</f>
        <v>1</v>
      </c>
      <c r="J67" s="23">
        <f>Source!Q32</f>
        <v>417.93</v>
      </c>
      <c r="K67" s="23"/>
    </row>
    <row r="68" spans="1:22" ht="14.25" x14ac:dyDescent="0.2">
      <c r="A68" s="20"/>
      <c r="B68" s="20"/>
      <c r="C68" s="20" t="s">
        <v>281</v>
      </c>
      <c r="D68" s="21"/>
      <c r="E68" s="9"/>
      <c r="F68" s="23">
        <f>Source!AN32</f>
        <v>58996.959999999999</v>
      </c>
      <c r="G68" s="22" t="str">
        <f>Source!DF32</f>
        <v/>
      </c>
      <c r="H68" s="9">
        <f>Source!AV32</f>
        <v>1</v>
      </c>
      <c r="I68" s="9">
        <f>IF(Source!BS32&lt;&gt; 0, Source!BS32, 1)</f>
        <v>1</v>
      </c>
      <c r="J68" s="25">
        <f>Source!R32</f>
        <v>212.39</v>
      </c>
      <c r="K68" s="23"/>
    </row>
    <row r="69" spans="1:22" ht="14.25" x14ac:dyDescent="0.2">
      <c r="A69" s="20"/>
      <c r="B69" s="20"/>
      <c r="C69" s="20" t="s">
        <v>288</v>
      </c>
      <c r="D69" s="21"/>
      <c r="E69" s="9"/>
      <c r="F69" s="23">
        <f>Source!AL32</f>
        <v>192776.43</v>
      </c>
      <c r="G69" s="22" t="str">
        <f>Source!DD32</f>
        <v/>
      </c>
      <c r="H69" s="9">
        <f>Source!AW32</f>
        <v>1</v>
      </c>
      <c r="I69" s="9">
        <f>IF(Source!BC32&lt;&gt; 0, Source!BC32, 1)</f>
        <v>1</v>
      </c>
      <c r="J69" s="23">
        <f>Source!P32</f>
        <v>694</v>
      </c>
      <c r="K69" s="23"/>
    </row>
    <row r="70" spans="1:22" ht="14.25" x14ac:dyDescent="0.2">
      <c r="A70" s="20"/>
      <c r="B70" s="20"/>
      <c r="C70" s="20" t="s">
        <v>282</v>
      </c>
      <c r="D70" s="21" t="s">
        <v>283</v>
      </c>
      <c r="E70" s="9">
        <f>Source!AT32</f>
        <v>70</v>
      </c>
      <c r="F70" s="23"/>
      <c r="G70" s="22"/>
      <c r="H70" s="9"/>
      <c r="I70" s="9"/>
      <c r="J70" s="23">
        <f>SUM(R65:R69)</f>
        <v>73.69</v>
      </c>
      <c r="K70" s="23"/>
    </row>
    <row r="71" spans="1:22" ht="14.25" x14ac:dyDescent="0.2">
      <c r="A71" s="20"/>
      <c r="B71" s="20"/>
      <c r="C71" s="20" t="s">
        <v>284</v>
      </c>
      <c r="D71" s="21" t="s">
        <v>283</v>
      </c>
      <c r="E71" s="9">
        <f>Source!AU32</f>
        <v>10</v>
      </c>
      <c r="F71" s="23"/>
      <c r="G71" s="22"/>
      <c r="H71" s="9"/>
      <c r="I71" s="9"/>
      <c r="J71" s="23">
        <f>SUM(T65:T70)</f>
        <v>10.53</v>
      </c>
      <c r="K71" s="23"/>
    </row>
    <row r="72" spans="1:22" ht="14.25" x14ac:dyDescent="0.2">
      <c r="A72" s="20"/>
      <c r="B72" s="20"/>
      <c r="C72" s="20" t="s">
        <v>285</v>
      </c>
      <c r="D72" s="21" t="s">
        <v>283</v>
      </c>
      <c r="E72" s="9">
        <f>160</f>
        <v>160</v>
      </c>
      <c r="F72" s="23"/>
      <c r="G72" s="22"/>
      <c r="H72" s="9"/>
      <c r="I72" s="9"/>
      <c r="J72" s="23">
        <f>SUM(V65:V71)</f>
        <v>339.82</v>
      </c>
      <c r="K72" s="23"/>
    </row>
    <row r="73" spans="1:22" ht="14.25" x14ac:dyDescent="0.2">
      <c r="A73" s="20"/>
      <c r="B73" s="20"/>
      <c r="C73" s="20" t="s">
        <v>286</v>
      </c>
      <c r="D73" s="21" t="s">
        <v>287</v>
      </c>
      <c r="E73" s="9">
        <f>Source!AQ32</f>
        <v>87.29</v>
      </c>
      <c r="F73" s="23"/>
      <c r="G73" s="22" t="str">
        <f>Source!DI32</f>
        <v/>
      </c>
      <c r="H73" s="9">
        <f>Source!AV32</f>
        <v>1</v>
      </c>
      <c r="I73" s="9"/>
      <c r="J73" s="23"/>
      <c r="K73" s="23">
        <f>Source!U32</f>
        <v>0.31424400000000002</v>
      </c>
    </row>
    <row r="74" spans="1:22" ht="15" x14ac:dyDescent="0.25">
      <c r="A74" s="27"/>
      <c r="B74" s="27"/>
      <c r="C74" s="27"/>
      <c r="D74" s="27"/>
      <c r="E74" s="27"/>
      <c r="F74" s="27"/>
      <c r="G74" s="27"/>
      <c r="H74" s="27"/>
      <c r="I74" s="60">
        <f>J66+J67+J69+J70+J71+J72</f>
        <v>1641.24</v>
      </c>
      <c r="J74" s="60"/>
      <c r="K74" s="28">
        <f>IF(Source!I32&lt;&gt;0, ROUND(I74/Source!I32, 2), 0)</f>
        <v>455900</v>
      </c>
      <c r="P74" s="26">
        <f>I74</f>
        <v>1641.24</v>
      </c>
    </row>
    <row r="75" spans="1:22" ht="42.75" x14ac:dyDescent="0.2">
      <c r="A75" s="20">
        <v>5</v>
      </c>
      <c r="B75" s="20" t="str">
        <f>Source!F33</f>
        <v>2.1-3103-18-1/1</v>
      </c>
      <c r="C75" s="20" t="str">
        <f>Source!G33</f>
        <v>Устройство покрытий из асфальтобетонных смесей вручную, толщина 4 см</v>
      </c>
      <c r="D75" s="21" t="str">
        <f>Source!H33</f>
        <v>100 м2</v>
      </c>
      <c r="E75" s="9">
        <f>Source!I33</f>
        <v>0.36</v>
      </c>
      <c r="F75" s="23"/>
      <c r="G75" s="22"/>
      <c r="H75" s="9"/>
      <c r="I75" s="9"/>
      <c r="J75" s="23"/>
      <c r="K75" s="23"/>
      <c r="Q75">
        <f>ROUND((Source!BZ33/100)*ROUND((Source!AF33*Source!AV33)*Source!I33, 2), 2)</f>
        <v>1383.59</v>
      </c>
      <c r="R75">
        <f>Source!X33</f>
        <v>1383.59</v>
      </c>
      <c r="S75">
        <f>ROUND((Source!CA33/100)*ROUND((Source!AF33*Source!AV33)*Source!I33, 2), 2)</f>
        <v>197.66</v>
      </c>
      <c r="T75">
        <f>Source!Y33</f>
        <v>197.66</v>
      </c>
      <c r="U75">
        <f>ROUND((175/100)*ROUND((Source!AE33*Source!AV33)*Source!I33, 2), 2)</f>
        <v>941.03</v>
      </c>
      <c r="V75">
        <f>ROUND((160/100)*ROUND(Source!CS33*Source!I33, 2), 2)</f>
        <v>860.37</v>
      </c>
    </row>
    <row r="76" spans="1:22" ht="14.25" x14ac:dyDescent="0.2">
      <c r="A76" s="20"/>
      <c r="B76" s="20"/>
      <c r="C76" s="20" t="s">
        <v>279</v>
      </c>
      <c r="D76" s="21"/>
      <c r="E76" s="9"/>
      <c r="F76" s="23">
        <f>Source!AO33</f>
        <v>5490.42</v>
      </c>
      <c r="G76" s="22" t="str">
        <f>Source!DG33</f>
        <v/>
      </c>
      <c r="H76" s="9">
        <f>Source!AV33</f>
        <v>1</v>
      </c>
      <c r="I76" s="9">
        <f>IF(Source!BA33&lt;&gt; 0, Source!BA33, 1)</f>
        <v>1</v>
      </c>
      <c r="J76" s="23">
        <f>Source!S33</f>
        <v>1976.55</v>
      </c>
      <c r="K76" s="23"/>
    </row>
    <row r="77" spans="1:22" ht="14.25" x14ac:dyDescent="0.2">
      <c r="A77" s="20"/>
      <c r="B77" s="20"/>
      <c r="C77" s="20" t="s">
        <v>280</v>
      </c>
      <c r="D77" s="21"/>
      <c r="E77" s="9"/>
      <c r="F77" s="23">
        <f>Source!AM33</f>
        <v>2403.46</v>
      </c>
      <c r="G77" s="22" t="str">
        <f>Source!DE33</f>
        <v/>
      </c>
      <c r="H77" s="9">
        <f>Source!AV33</f>
        <v>1</v>
      </c>
      <c r="I77" s="9">
        <f>IF(Source!BB33&lt;&gt; 0, Source!BB33, 1)</f>
        <v>1</v>
      </c>
      <c r="J77" s="23">
        <f>Source!Q33</f>
        <v>865.25</v>
      </c>
      <c r="K77" s="23"/>
    </row>
    <row r="78" spans="1:22" ht="14.25" x14ac:dyDescent="0.2">
      <c r="A78" s="20"/>
      <c r="B78" s="20"/>
      <c r="C78" s="20" t="s">
        <v>281</v>
      </c>
      <c r="D78" s="21"/>
      <c r="E78" s="9"/>
      <c r="F78" s="23">
        <f>Source!AN33</f>
        <v>1493.7</v>
      </c>
      <c r="G78" s="22" t="str">
        <f>Source!DF33</f>
        <v/>
      </c>
      <c r="H78" s="9">
        <f>Source!AV33</f>
        <v>1</v>
      </c>
      <c r="I78" s="9">
        <f>IF(Source!BS33&lt;&gt; 0, Source!BS33, 1)</f>
        <v>1</v>
      </c>
      <c r="J78" s="25">
        <f>Source!R33</f>
        <v>537.73</v>
      </c>
      <c r="K78" s="23"/>
    </row>
    <row r="79" spans="1:22" ht="14.25" x14ac:dyDescent="0.2">
      <c r="A79" s="20"/>
      <c r="B79" s="20"/>
      <c r="C79" s="20" t="s">
        <v>288</v>
      </c>
      <c r="D79" s="21"/>
      <c r="E79" s="9"/>
      <c r="F79" s="23">
        <f>Source!AL33</f>
        <v>44047.4</v>
      </c>
      <c r="G79" s="22" t="str">
        <f>Source!DD33</f>
        <v/>
      </c>
      <c r="H79" s="9">
        <f>Source!AW33</f>
        <v>1</v>
      </c>
      <c r="I79" s="9">
        <f>IF(Source!BC33&lt;&gt; 0, Source!BC33, 1)</f>
        <v>1</v>
      </c>
      <c r="J79" s="23">
        <f>Source!P33</f>
        <v>15857.06</v>
      </c>
      <c r="K79" s="23"/>
    </row>
    <row r="80" spans="1:22" ht="14.25" x14ac:dyDescent="0.2">
      <c r="A80" s="20"/>
      <c r="B80" s="20"/>
      <c r="C80" s="20" t="s">
        <v>282</v>
      </c>
      <c r="D80" s="21" t="s">
        <v>283</v>
      </c>
      <c r="E80" s="9">
        <f>Source!AT33</f>
        <v>70</v>
      </c>
      <c r="F80" s="23"/>
      <c r="G80" s="22"/>
      <c r="H80" s="9"/>
      <c r="I80" s="9"/>
      <c r="J80" s="23">
        <f>SUM(R75:R79)</f>
        <v>1383.59</v>
      </c>
      <c r="K80" s="23"/>
    </row>
    <row r="81" spans="1:22" ht="14.25" x14ac:dyDescent="0.2">
      <c r="A81" s="20"/>
      <c r="B81" s="20"/>
      <c r="C81" s="20" t="s">
        <v>284</v>
      </c>
      <c r="D81" s="21" t="s">
        <v>283</v>
      </c>
      <c r="E81" s="9">
        <f>Source!AU33</f>
        <v>10</v>
      </c>
      <c r="F81" s="23"/>
      <c r="G81" s="22"/>
      <c r="H81" s="9"/>
      <c r="I81" s="9"/>
      <c r="J81" s="23">
        <f>SUM(T75:T80)</f>
        <v>197.66</v>
      </c>
      <c r="K81" s="23"/>
    </row>
    <row r="82" spans="1:22" ht="14.25" x14ac:dyDescent="0.2">
      <c r="A82" s="20"/>
      <c r="B82" s="20"/>
      <c r="C82" s="20" t="s">
        <v>285</v>
      </c>
      <c r="D82" s="21" t="s">
        <v>283</v>
      </c>
      <c r="E82" s="9">
        <f>160</f>
        <v>160</v>
      </c>
      <c r="F82" s="23"/>
      <c r="G82" s="22"/>
      <c r="H82" s="9"/>
      <c r="I82" s="9"/>
      <c r="J82" s="23">
        <f>SUM(V75:V81)</f>
        <v>860.37</v>
      </c>
      <c r="K82" s="23"/>
    </row>
    <row r="83" spans="1:22" ht="14.25" x14ac:dyDescent="0.2">
      <c r="A83" s="20"/>
      <c r="B83" s="20"/>
      <c r="C83" s="20" t="s">
        <v>286</v>
      </c>
      <c r="D83" s="21" t="s">
        <v>287</v>
      </c>
      <c r="E83" s="9">
        <f>Source!AQ33</f>
        <v>13.57</v>
      </c>
      <c r="F83" s="23"/>
      <c r="G83" s="22" t="str">
        <f>Source!DI33</f>
        <v/>
      </c>
      <c r="H83" s="9">
        <f>Source!AV33</f>
        <v>1</v>
      </c>
      <c r="I83" s="9"/>
      <c r="J83" s="23"/>
      <c r="K83" s="23">
        <f>Source!U33</f>
        <v>4.8852000000000002</v>
      </c>
    </row>
    <row r="84" spans="1:22" ht="15" x14ac:dyDescent="0.25">
      <c r="A84" s="27"/>
      <c r="B84" s="27"/>
      <c r="C84" s="27"/>
      <c r="D84" s="27"/>
      <c r="E84" s="27"/>
      <c r="F84" s="27"/>
      <c r="G84" s="27"/>
      <c r="H84" s="27"/>
      <c r="I84" s="60">
        <f>J76+J77+J79+J80+J81+J82</f>
        <v>21140.48</v>
      </c>
      <c r="J84" s="60"/>
      <c r="K84" s="28">
        <f>IF(Source!I33&lt;&gt;0, ROUND(I84/Source!I33, 2), 0)</f>
        <v>58723.56</v>
      </c>
      <c r="P84" s="26">
        <f>I84</f>
        <v>21140.48</v>
      </c>
    </row>
    <row r="85" spans="1:22" ht="42.75" x14ac:dyDescent="0.2">
      <c r="A85" s="20">
        <v>6</v>
      </c>
      <c r="B85" s="20" t="str">
        <f>Source!F34</f>
        <v>1.14-3203-14-7/1</v>
      </c>
      <c r="C85" s="20" t="str">
        <f>Source!G34</f>
        <v>Окраска масляными составами за два раза металлических поверхностей решеток и оград</v>
      </c>
      <c r="D85" s="21" t="str">
        <f>Source!H34</f>
        <v>100 м2</v>
      </c>
      <c r="E85" s="9">
        <f>Source!I34</f>
        <v>0.184</v>
      </c>
      <c r="F85" s="23"/>
      <c r="G85" s="22"/>
      <c r="H85" s="9"/>
      <c r="I85" s="9"/>
      <c r="J85" s="23"/>
      <c r="K85" s="23"/>
      <c r="Q85">
        <f>ROUND((Source!BZ34/100)*ROUND((Source!AF34*Source!AV34)*Source!I34, 2), 2)</f>
        <v>3548.95</v>
      </c>
      <c r="R85">
        <f>Source!X34</f>
        <v>3548.95</v>
      </c>
      <c r="S85">
        <f>ROUND((Source!CA34/100)*ROUND((Source!AF34*Source!AV34)*Source!I34, 2), 2)</f>
        <v>506.99</v>
      </c>
      <c r="T85">
        <f>Source!Y34</f>
        <v>506.99</v>
      </c>
      <c r="U85">
        <f>ROUND((175/100)*ROUND((Source!AE34*Source!AV34)*Source!I34, 2), 2)</f>
        <v>0</v>
      </c>
      <c r="V85">
        <f>ROUND((160/100)*ROUND(Source!CS34*Source!I34, 2), 2)</f>
        <v>0</v>
      </c>
    </row>
    <row r="86" spans="1:22" ht="14.25" x14ac:dyDescent="0.2">
      <c r="A86" s="20"/>
      <c r="B86" s="20"/>
      <c r="C86" s="20" t="s">
        <v>279</v>
      </c>
      <c r="D86" s="21"/>
      <c r="E86" s="9"/>
      <c r="F86" s="23">
        <f>Source!AO34</f>
        <v>27553.97</v>
      </c>
      <c r="G86" s="22" t="str">
        <f>Source!DG34</f>
        <v/>
      </c>
      <c r="H86" s="9">
        <f>Source!AV34</f>
        <v>1</v>
      </c>
      <c r="I86" s="9">
        <f>IF(Source!BA34&lt;&gt; 0, Source!BA34, 1)</f>
        <v>1</v>
      </c>
      <c r="J86" s="23">
        <f>Source!S34</f>
        <v>5069.93</v>
      </c>
      <c r="K86" s="23"/>
    </row>
    <row r="87" spans="1:22" ht="14.25" x14ac:dyDescent="0.2">
      <c r="A87" s="20"/>
      <c r="B87" s="20"/>
      <c r="C87" s="20" t="s">
        <v>288</v>
      </c>
      <c r="D87" s="21"/>
      <c r="E87" s="9"/>
      <c r="F87" s="23">
        <f>Source!AL34</f>
        <v>1990.63</v>
      </c>
      <c r="G87" s="22" t="str">
        <f>Source!DD34</f>
        <v/>
      </c>
      <c r="H87" s="9">
        <f>Source!AW34</f>
        <v>1</v>
      </c>
      <c r="I87" s="9">
        <f>IF(Source!BC34&lt;&gt; 0, Source!BC34, 1)</f>
        <v>1</v>
      </c>
      <c r="J87" s="23">
        <f>Source!P34</f>
        <v>366.28</v>
      </c>
      <c r="K87" s="23"/>
    </row>
    <row r="88" spans="1:22" ht="14.25" x14ac:dyDescent="0.2">
      <c r="A88" s="20"/>
      <c r="B88" s="20"/>
      <c r="C88" s="20" t="s">
        <v>282</v>
      </c>
      <c r="D88" s="21" t="s">
        <v>283</v>
      </c>
      <c r="E88" s="9">
        <f>Source!AT34</f>
        <v>70</v>
      </c>
      <c r="F88" s="23"/>
      <c r="G88" s="22"/>
      <c r="H88" s="9"/>
      <c r="I88" s="9"/>
      <c r="J88" s="23">
        <f>SUM(R85:R87)</f>
        <v>3548.95</v>
      </c>
      <c r="K88" s="23"/>
    </row>
    <row r="89" spans="1:22" ht="14.25" x14ac:dyDescent="0.2">
      <c r="A89" s="20"/>
      <c r="B89" s="20"/>
      <c r="C89" s="20" t="s">
        <v>284</v>
      </c>
      <c r="D89" s="21" t="s">
        <v>283</v>
      </c>
      <c r="E89" s="9">
        <f>Source!AU34</f>
        <v>10</v>
      </c>
      <c r="F89" s="23"/>
      <c r="G89" s="22"/>
      <c r="H89" s="9"/>
      <c r="I89" s="9"/>
      <c r="J89" s="23">
        <f>SUM(T85:T88)</f>
        <v>506.99</v>
      </c>
      <c r="K89" s="23"/>
    </row>
    <row r="90" spans="1:22" ht="14.25" x14ac:dyDescent="0.2">
      <c r="A90" s="20"/>
      <c r="B90" s="20"/>
      <c r="C90" s="20" t="s">
        <v>286</v>
      </c>
      <c r="D90" s="21" t="s">
        <v>287</v>
      </c>
      <c r="E90" s="9">
        <f>Source!AQ34</f>
        <v>73.8</v>
      </c>
      <c r="F90" s="23"/>
      <c r="G90" s="22" t="str">
        <f>Source!DI34</f>
        <v/>
      </c>
      <c r="H90" s="9">
        <f>Source!AV34</f>
        <v>1</v>
      </c>
      <c r="I90" s="9"/>
      <c r="J90" s="23"/>
      <c r="K90" s="23">
        <f>Source!U34</f>
        <v>13.579199999999998</v>
      </c>
    </row>
    <row r="91" spans="1:22" ht="15" x14ac:dyDescent="0.25">
      <c r="A91" s="27"/>
      <c r="B91" s="27"/>
      <c r="C91" s="27"/>
      <c r="D91" s="27"/>
      <c r="E91" s="27"/>
      <c r="F91" s="27"/>
      <c r="G91" s="27"/>
      <c r="H91" s="27"/>
      <c r="I91" s="60">
        <f>J86+J87+J88+J89</f>
        <v>9492.15</v>
      </c>
      <c r="J91" s="60"/>
      <c r="K91" s="28">
        <f>IF(Source!I34&lt;&gt;0, ROUND(I91/Source!I34, 2), 0)</f>
        <v>51587.77</v>
      </c>
      <c r="P91" s="26">
        <f>I91</f>
        <v>9492.15</v>
      </c>
    </row>
    <row r="93" spans="1:22" ht="15" x14ac:dyDescent="0.25">
      <c r="A93" s="56" t="str">
        <f>CONCATENATE("Итого по разделу: ",IF(Source!G36&lt;&gt;"Новый раздел", Source!G36, ""))</f>
        <v xml:space="preserve">Итого по разделу: </v>
      </c>
      <c r="B93" s="56"/>
      <c r="C93" s="56"/>
      <c r="D93" s="56"/>
      <c r="E93" s="56"/>
      <c r="F93" s="56"/>
      <c r="G93" s="56"/>
      <c r="H93" s="56"/>
      <c r="I93" s="54">
        <f>SUM(P32:P92)</f>
        <v>672522.99</v>
      </c>
      <c r="J93" s="55"/>
      <c r="K93" s="30"/>
    </row>
    <row r="96" spans="1:22" ht="16.5" x14ac:dyDescent="0.25">
      <c r="A96" s="61" t="str">
        <f>CONCATENATE("Раздел: ",IF(Source!G66&lt;&gt;"Новый раздел", Source!G66, ""))</f>
        <v>Раздел: Мусор</v>
      </c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22" ht="42.75" x14ac:dyDescent="0.2">
      <c r="A97" s="20">
        <v>7</v>
      </c>
      <c r="B97" s="20" t="str">
        <f>Source!F70</f>
        <v>1.49-9101-7-1/1</v>
      </c>
      <c r="C97" s="20" t="str">
        <f>Source!G70</f>
        <v>Механизированная погрузка строительного мусора в автомобили-самосвалы</v>
      </c>
      <c r="D97" s="21" t="str">
        <f>Source!H70</f>
        <v>т</v>
      </c>
      <c r="E97" s="9">
        <f>Source!I70</f>
        <v>2.1072000000000002</v>
      </c>
      <c r="F97" s="23"/>
      <c r="G97" s="22"/>
      <c r="H97" s="9"/>
      <c r="I97" s="9"/>
      <c r="J97" s="23"/>
      <c r="K97" s="23"/>
      <c r="Q97">
        <f>ROUND((Source!BZ70/100)*ROUND((Source!AF70*Source!AV70)*Source!I70, 2), 2)</f>
        <v>0</v>
      </c>
      <c r="R97">
        <f>Source!X70</f>
        <v>0</v>
      </c>
      <c r="S97">
        <f>ROUND((Source!CA70/100)*ROUND((Source!AF70*Source!AV70)*Source!I70, 2), 2)</f>
        <v>0</v>
      </c>
      <c r="T97">
        <f>Source!Y70</f>
        <v>0</v>
      </c>
      <c r="U97">
        <f>ROUND((175/100)*ROUND((Source!AE70*Source!AV70)*Source!I70, 2), 2)</f>
        <v>153.91</v>
      </c>
      <c r="V97">
        <f>ROUND((160/100)*ROUND(Source!CS70*Source!I70, 2), 2)</f>
        <v>140.72</v>
      </c>
    </row>
    <row r="98" spans="1:22" ht="14.25" x14ac:dyDescent="0.2">
      <c r="A98" s="20"/>
      <c r="B98" s="20"/>
      <c r="C98" s="20" t="s">
        <v>280</v>
      </c>
      <c r="D98" s="21"/>
      <c r="E98" s="9"/>
      <c r="F98" s="23">
        <f>Source!AM70</f>
        <v>107.76</v>
      </c>
      <c r="G98" s="22" t="str">
        <f>Source!DE70</f>
        <v/>
      </c>
      <c r="H98" s="9">
        <f>Source!AV70</f>
        <v>1</v>
      </c>
      <c r="I98" s="9">
        <f>IF(Source!BB70&lt;&gt; 0, Source!BB70, 1)</f>
        <v>1</v>
      </c>
      <c r="J98" s="23">
        <f>Source!Q70</f>
        <v>227.07</v>
      </c>
      <c r="K98" s="23"/>
    </row>
    <row r="99" spans="1:22" ht="14.25" x14ac:dyDescent="0.2">
      <c r="A99" s="20"/>
      <c r="B99" s="20"/>
      <c r="C99" s="20" t="s">
        <v>281</v>
      </c>
      <c r="D99" s="21"/>
      <c r="E99" s="9"/>
      <c r="F99" s="23">
        <f>Source!AN70</f>
        <v>41.74</v>
      </c>
      <c r="G99" s="22" t="str">
        <f>Source!DF70</f>
        <v/>
      </c>
      <c r="H99" s="9">
        <f>Source!AV70</f>
        <v>1</v>
      </c>
      <c r="I99" s="9">
        <f>IF(Source!BS70&lt;&gt; 0, Source!BS70, 1)</f>
        <v>1</v>
      </c>
      <c r="J99" s="25">
        <f>Source!R70</f>
        <v>87.95</v>
      </c>
      <c r="K99" s="23"/>
    </row>
    <row r="100" spans="1:22" ht="14.25" x14ac:dyDescent="0.2">
      <c r="A100" s="20"/>
      <c r="B100" s="20"/>
      <c r="C100" s="20" t="s">
        <v>285</v>
      </c>
      <c r="D100" s="21" t="s">
        <v>283</v>
      </c>
      <c r="E100" s="9">
        <f>160</f>
        <v>160</v>
      </c>
      <c r="F100" s="23"/>
      <c r="G100" s="22"/>
      <c r="H100" s="9"/>
      <c r="I100" s="9"/>
      <c r="J100" s="23">
        <f>SUM(V97:V99)</f>
        <v>140.72</v>
      </c>
      <c r="K100" s="23"/>
    </row>
    <row r="101" spans="1:22" ht="15" x14ac:dyDescent="0.25">
      <c r="A101" s="27"/>
      <c r="B101" s="27"/>
      <c r="C101" s="27"/>
      <c r="D101" s="27"/>
      <c r="E101" s="27"/>
      <c r="F101" s="27"/>
      <c r="G101" s="27"/>
      <c r="H101" s="27"/>
      <c r="I101" s="60">
        <f>J98+J100</f>
        <v>367.78999999999996</v>
      </c>
      <c r="J101" s="60"/>
      <c r="K101" s="28">
        <f>IF(Source!I70&lt;&gt;0, ROUND(I101/Source!I70, 2), 0)</f>
        <v>174.54</v>
      </c>
      <c r="P101" s="26">
        <f>I101</f>
        <v>367.78999999999996</v>
      </c>
    </row>
    <row r="102" spans="1:22" ht="57" x14ac:dyDescent="0.2">
      <c r="A102" s="20">
        <v>8</v>
      </c>
      <c r="B102" s="20" t="str">
        <f>Source!F71</f>
        <v>1.49-9201-1-2/1</v>
      </c>
      <c r="C102" s="20" t="str">
        <f>Source!G71</f>
        <v>Перевозка строительного мусора автосамосвалами грузоподъемностью до 10 т на расстояние 1 км - при механизированной погрузке</v>
      </c>
      <c r="D102" s="21" t="str">
        <f>Source!H71</f>
        <v>т</v>
      </c>
      <c r="E102" s="9">
        <f>Source!I71</f>
        <v>2.1072000000000002</v>
      </c>
      <c r="F102" s="23"/>
      <c r="G102" s="22"/>
      <c r="H102" s="9"/>
      <c r="I102" s="9"/>
      <c r="J102" s="23"/>
      <c r="K102" s="23"/>
      <c r="Q102">
        <f>ROUND((Source!BZ71/100)*ROUND((Source!AF71*Source!AV71)*Source!I71, 2), 2)</f>
        <v>0</v>
      </c>
      <c r="R102">
        <f>Source!X71</f>
        <v>0</v>
      </c>
      <c r="S102">
        <f>ROUND((Source!CA71/100)*ROUND((Source!AF71*Source!AV71)*Source!I71, 2), 2)</f>
        <v>0</v>
      </c>
      <c r="T102">
        <f>Source!Y71</f>
        <v>0</v>
      </c>
      <c r="U102">
        <f>ROUND((175/100)*ROUND((Source!AE71*Source!AV71)*Source!I71, 2), 2)</f>
        <v>187.22</v>
      </c>
      <c r="V102">
        <f>ROUND((160/100)*ROUND(Source!CS71*Source!I71, 2), 2)</f>
        <v>171.17</v>
      </c>
    </row>
    <row r="103" spans="1:22" ht="14.25" x14ac:dyDescent="0.2">
      <c r="A103" s="20"/>
      <c r="B103" s="20"/>
      <c r="C103" s="20" t="s">
        <v>280</v>
      </c>
      <c r="D103" s="21"/>
      <c r="E103" s="9"/>
      <c r="F103" s="23">
        <f>Source!AM71</f>
        <v>85.65</v>
      </c>
      <c r="G103" s="22" t="str">
        <f>Source!DE71</f>
        <v/>
      </c>
      <c r="H103" s="9">
        <f>Source!AV71</f>
        <v>1</v>
      </c>
      <c r="I103" s="9">
        <f>IF(Source!BB71&lt;&gt; 0, Source!BB71, 1)</f>
        <v>1</v>
      </c>
      <c r="J103" s="23">
        <f>Source!Q71</f>
        <v>180.48</v>
      </c>
      <c r="K103" s="23"/>
    </row>
    <row r="104" spans="1:22" ht="14.25" x14ac:dyDescent="0.2">
      <c r="A104" s="20"/>
      <c r="B104" s="20"/>
      <c r="C104" s="20" t="s">
        <v>281</v>
      </c>
      <c r="D104" s="21"/>
      <c r="E104" s="9"/>
      <c r="F104" s="23">
        <f>Source!AN71</f>
        <v>50.77</v>
      </c>
      <c r="G104" s="22" t="str">
        <f>Source!DF71</f>
        <v/>
      </c>
      <c r="H104" s="9">
        <f>Source!AV71</f>
        <v>1</v>
      </c>
      <c r="I104" s="9">
        <f>IF(Source!BS71&lt;&gt; 0, Source!BS71, 1)</f>
        <v>1</v>
      </c>
      <c r="J104" s="25">
        <f>Source!R71</f>
        <v>106.98</v>
      </c>
      <c r="K104" s="23"/>
    </row>
    <row r="105" spans="1:22" ht="15" x14ac:dyDescent="0.25">
      <c r="A105" s="27"/>
      <c r="B105" s="27"/>
      <c r="C105" s="27"/>
      <c r="D105" s="27"/>
      <c r="E105" s="27"/>
      <c r="F105" s="27"/>
      <c r="G105" s="27"/>
      <c r="H105" s="27"/>
      <c r="I105" s="60">
        <f>J103</f>
        <v>180.48</v>
      </c>
      <c r="J105" s="60"/>
      <c r="K105" s="28">
        <f>IF(Source!I71&lt;&gt;0, ROUND(I105/Source!I71, 2), 0)</f>
        <v>85.65</v>
      </c>
      <c r="P105" s="26">
        <f>I105</f>
        <v>180.48</v>
      </c>
    </row>
    <row r="106" spans="1:22" ht="57" x14ac:dyDescent="0.2">
      <c r="A106" s="20">
        <v>9</v>
      </c>
      <c r="B106" s="20" t="str">
        <f>Source!F72</f>
        <v>1.49-9201-1-3/1</v>
      </c>
      <c r="C106" s="20" t="str">
        <f>Source!G72</f>
        <v>Перевозка строительного мусора автосамосвалами грузоподъемностью до 10 т - добавляется на каждый последующий 1 км до 100 км</v>
      </c>
      <c r="D106" s="21" t="str">
        <f>Source!H72</f>
        <v>т</v>
      </c>
      <c r="E106" s="9">
        <f>Source!I72</f>
        <v>2.1072000000000002</v>
      </c>
      <c r="F106" s="23"/>
      <c r="G106" s="22"/>
      <c r="H106" s="9"/>
      <c r="I106" s="9"/>
      <c r="J106" s="23"/>
      <c r="K106" s="23"/>
      <c r="Q106">
        <f>ROUND((Source!BZ72/100)*ROUND((Source!AF72*Source!AV72)*Source!I72, 2), 2)</f>
        <v>0</v>
      </c>
      <c r="R106">
        <f>Source!X72</f>
        <v>0</v>
      </c>
      <c r="S106">
        <f>ROUND((Source!CA72/100)*ROUND((Source!AF72*Source!AV72)*Source!I72, 2), 2)</f>
        <v>0</v>
      </c>
      <c r="T106">
        <f>Source!Y72</f>
        <v>0</v>
      </c>
      <c r="U106">
        <f>ROUND((175/100)*ROUND((Source!AE72*Source!AV72)*Source!I72, 2), 2)</f>
        <v>4345.6499999999996</v>
      </c>
      <c r="V106">
        <f>ROUND((160/100)*ROUND(Source!CS72*Source!I72, 2), 2)</f>
        <v>3973.17</v>
      </c>
    </row>
    <row r="107" spans="1:22" ht="14.25" x14ac:dyDescent="0.2">
      <c r="A107" s="20"/>
      <c r="B107" s="20"/>
      <c r="C107" s="20" t="s">
        <v>280</v>
      </c>
      <c r="D107" s="21"/>
      <c r="E107" s="9"/>
      <c r="F107" s="23">
        <f>Source!AM72</f>
        <v>40.56</v>
      </c>
      <c r="G107" s="22" t="str">
        <f>Source!DE72</f>
        <v>*49</v>
      </c>
      <c r="H107" s="9">
        <f>Source!AV72</f>
        <v>1</v>
      </c>
      <c r="I107" s="9">
        <f>IF(Source!BB72&lt;&gt; 0, Source!BB72, 1)</f>
        <v>1</v>
      </c>
      <c r="J107" s="23">
        <f>Source!Q72</f>
        <v>4187.93</v>
      </c>
      <c r="K107" s="23"/>
    </row>
    <row r="108" spans="1:22" ht="14.25" x14ac:dyDescent="0.2">
      <c r="A108" s="20"/>
      <c r="B108" s="20"/>
      <c r="C108" s="20" t="s">
        <v>281</v>
      </c>
      <c r="D108" s="21"/>
      <c r="E108" s="9"/>
      <c r="F108" s="23">
        <f>Source!AN72</f>
        <v>24.05</v>
      </c>
      <c r="G108" s="22" t="str">
        <f>Source!DF72</f>
        <v>*49</v>
      </c>
      <c r="H108" s="9">
        <f>Source!AV72</f>
        <v>1</v>
      </c>
      <c r="I108" s="9">
        <f>IF(Source!BS72&lt;&gt; 0, Source!BS72, 1)</f>
        <v>1</v>
      </c>
      <c r="J108" s="25">
        <f>Source!R72</f>
        <v>2483.23</v>
      </c>
      <c r="K108" s="23"/>
    </row>
    <row r="109" spans="1:22" ht="15" x14ac:dyDescent="0.25">
      <c r="A109" s="27"/>
      <c r="B109" s="27"/>
      <c r="C109" s="27"/>
      <c r="D109" s="27"/>
      <c r="E109" s="27"/>
      <c r="F109" s="27"/>
      <c r="G109" s="27"/>
      <c r="H109" s="27"/>
      <c r="I109" s="60">
        <f>J107</f>
        <v>4187.93</v>
      </c>
      <c r="J109" s="60"/>
      <c r="K109" s="28">
        <f>IF(Source!I72&lt;&gt;0, ROUND(I109/Source!I72, 2), 0)</f>
        <v>1987.44</v>
      </c>
      <c r="P109" s="26">
        <f>I109</f>
        <v>4187.93</v>
      </c>
    </row>
    <row r="111" spans="1:22" ht="15" x14ac:dyDescent="0.25">
      <c r="A111" s="56" t="str">
        <f>CONCATENATE("Итого по разделу: ",IF(Source!G74&lt;&gt;"Новый раздел", Source!G74, ""))</f>
        <v>Итого по разделу: Мусор</v>
      </c>
      <c r="B111" s="56"/>
      <c r="C111" s="56"/>
      <c r="D111" s="56"/>
      <c r="E111" s="56"/>
      <c r="F111" s="56"/>
      <c r="G111" s="56"/>
      <c r="H111" s="56"/>
      <c r="I111" s="54">
        <f>SUM(P96:P110)</f>
        <v>4736.2000000000007</v>
      </c>
      <c r="J111" s="55"/>
      <c r="K111" s="30"/>
    </row>
    <row r="114" spans="1:32" ht="15" x14ac:dyDescent="0.25">
      <c r="A114" s="56" t="str">
        <f>CONCATENATE("Итого по локальной смете: ",IF(Source!G104&lt;&gt;"Новая локальная смета", Source!G104, ""))</f>
        <v>Итого по локальной смете: ГБОУ Школа 920. ул. Перовская, д. 24 Пандус</v>
      </c>
      <c r="B114" s="56"/>
      <c r="C114" s="56"/>
      <c r="D114" s="56"/>
      <c r="E114" s="56"/>
      <c r="F114" s="56"/>
      <c r="G114" s="56"/>
      <c r="H114" s="56"/>
      <c r="I114" s="54">
        <f>SUM(P31:P113)</f>
        <v>677259.19000000006</v>
      </c>
      <c r="J114" s="55"/>
      <c r="K114" s="30"/>
    </row>
    <row r="116" spans="1:32" ht="14.25" x14ac:dyDescent="0.2">
      <c r="C116" s="57" t="str">
        <f>Source!H133</f>
        <v>Всего по смете</v>
      </c>
      <c r="D116" s="57"/>
      <c r="E116" s="57"/>
      <c r="F116" s="57"/>
      <c r="G116" s="57"/>
      <c r="H116" s="57"/>
      <c r="I116" s="58">
        <f>IF(Source!F133=0, "", Source!F133)</f>
        <v>677259.19</v>
      </c>
      <c r="J116" s="58"/>
    </row>
    <row r="117" spans="1:32" ht="14.25" x14ac:dyDescent="0.2">
      <c r="C117" s="57" t="str">
        <f>Source!H134</f>
        <v>НДС 20%</v>
      </c>
      <c r="D117" s="57"/>
      <c r="E117" s="57"/>
      <c r="F117" s="57"/>
      <c r="G117" s="57"/>
      <c r="H117" s="57"/>
      <c r="I117" s="58">
        <f>IF(Source!F134=0, "", Source!F134)</f>
        <v>135451.84</v>
      </c>
      <c r="J117" s="58"/>
    </row>
    <row r="118" spans="1:32" ht="14.25" x14ac:dyDescent="0.2">
      <c r="C118" s="57" t="str">
        <f>Source!H135</f>
        <v>Итого с НДС</v>
      </c>
      <c r="D118" s="57"/>
      <c r="E118" s="57"/>
      <c r="F118" s="57"/>
      <c r="G118" s="57"/>
      <c r="H118" s="57"/>
      <c r="I118" s="58">
        <f>IF(Source!F135=0, "", Source!F135)</f>
        <v>812711.03</v>
      </c>
      <c r="J118" s="58"/>
    </row>
    <row r="120" spans="1:32" ht="30" x14ac:dyDescent="0.25">
      <c r="A120" s="56" t="str">
        <f>CONCATENATE("Итого по смете: ",IF(Source!G137&lt;&gt;"Новый объект", Source!G137, ""))</f>
        <v>Итого по смете: ГБОУ Школа 920. ул. Перовская, д. 24 Пандус (СН-2012 Выпуск №2 (в ценах на 01.01.2025 г))</v>
      </c>
      <c r="B120" s="56"/>
      <c r="C120" s="56"/>
      <c r="D120" s="56"/>
      <c r="E120" s="56"/>
      <c r="F120" s="56"/>
      <c r="G120" s="56"/>
      <c r="H120" s="56"/>
      <c r="I120" s="54">
        <f>SUM(P1:P119)</f>
        <v>677259.19000000006</v>
      </c>
      <c r="J120" s="55"/>
      <c r="K120" s="30"/>
      <c r="AF120" s="31" t="str">
        <f>CONCATENATE("Итого по смете: ",IF(Source!G137&lt;&gt;"Новый объект", Source!G137, ""))</f>
        <v>Итого по смете: ГБОУ Школа 920. ул. Перовская, д. 24 Пандус (СН-2012 Выпуск №2 (в ценах на 01.01.2025 г))</v>
      </c>
    </row>
    <row r="121" spans="1:32" ht="14.25" x14ac:dyDescent="0.2">
      <c r="C121" s="57" t="str">
        <f>Source!H166</f>
        <v>Всего по смете</v>
      </c>
      <c r="D121" s="57"/>
      <c r="E121" s="57"/>
      <c r="F121" s="57"/>
      <c r="G121" s="57"/>
      <c r="H121" s="57"/>
      <c r="I121" s="58">
        <f>IF(Source!F166=0, "", Source!F166)</f>
        <v>677259.19</v>
      </c>
      <c r="J121" s="58"/>
    </row>
    <row r="122" spans="1:32" ht="14.25" x14ac:dyDescent="0.2">
      <c r="C122" s="57" t="str">
        <f>Source!H167</f>
        <v>НДС 20%</v>
      </c>
      <c r="D122" s="57"/>
      <c r="E122" s="57"/>
      <c r="F122" s="57"/>
      <c r="G122" s="57"/>
      <c r="H122" s="57"/>
      <c r="I122" s="58">
        <f>IF(Source!F167=0, "", Source!F167)</f>
        <v>135451.84</v>
      </c>
      <c r="J122" s="58"/>
    </row>
    <row r="123" spans="1:32" ht="14.25" x14ac:dyDescent="0.2">
      <c r="C123" s="57" t="str">
        <f>Source!H168</f>
        <v>Итого с НДС</v>
      </c>
      <c r="D123" s="57"/>
      <c r="E123" s="57"/>
      <c r="F123" s="57"/>
      <c r="G123" s="57"/>
      <c r="H123" s="57"/>
      <c r="I123" s="58">
        <f>IF(Source!F168=0, "", Source!F168)</f>
        <v>812711.03</v>
      </c>
      <c r="J123" s="58"/>
    </row>
    <row r="126" spans="1:32" ht="14.25" x14ac:dyDescent="0.2">
      <c r="A126" s="59" t="s">
        <v>289</v>
      </c>
      <c r="B126" s="59"/>
      <c r="C126" s="32" t="str">
        <f>IF(Source!AC12&lt;&gt;"", Source!AC12," ")</f>
        <v xml:space="preserve"> </v>
      </c>
      <c r="D126" s="32"/>
      <c r="E126" s="32"/>
      <c r="F126" s="32"/>
      <c r="G126" s="32"/>
      <c r="H126" s="10" t="str">
        <f>IF(Source!AB12&lt;&gt;"", Source!AB12," ")</f>
        <v xml:space="preserve"> </v>
      </c>
      <c r="I126" s="10"/>
      <c r="J126" s="10"/>
      <c r="K126" s="10"/>
    </row>
    <row r="127" spans="1:32" ht="14.25" x14ac:dyDescent="0.2">
      <c r="A127" s="10"/>
      <c r="B127" s="10"/>
      <c r="C127" s="53" t="s">
        <v>290</v>
      </c>
      <c r="D127" s="53"/>
      <c r="E127" s="53"/>
      <c r="F127" s="53"/>
      <c r="G127" s="53"/>
      <c r="H127" s="10"/>
      <c r="I127" s="10"/>
      <c r="J127" s="10"/>
      <c r="K127" s="10"/>
    </row>
    <row r="128" spans="1:32" ht="14.25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</row>
    <row r="129" spans="1:11" ht="14.25" x14ac:dyDescent="0.2">
      <c r="A129" s="59" t="s">
        <v>291</v>
      </c>
      <c r="B129" s="59"/>
      <c r="C129" s="32" t="str">
        <f>IF(Source!AE12&lt;&gt;"", Source!AE12," ")</f>
        <v xml:space="preserve"> </v>
      </c>
      <c r="D129" s="32"/>
      <c r="E129" s="32"/>
      <c r="F129" s="32"/>
      <c r="G129" s="32"/>
      <c r="H129" s="10" t="str">
        <f>IF(Source!AD12&lt;&gt;"", Source!AD12," ")</f>
        <v xml:space="preserve"> </v>
      </c>
      <c r="I129" s="10"/>
      <c r="J129" s="10"/>
      <c r="K129" s="10"/>
    </row>
    <row r="130" spans="1:11" ht="14.25" x14ac:dyDescent="0.2">
      <c r="A130" s="10"/>
      <c r="B130" s="10"/>
      <c r="C130" s="53" t="s">
        <v>290</v>
      </c>
      <c r="D130" s="53"/>
      <c r="E130" s="53"/>
      <c r="F130" s="53"/>
      <c r="G130" s="53"/>
      <c r="H130" s="10"/>
      <c r="I130" s="10"/>
      <c r="J130" s="10"/>
      <c r="K130" s="10"/>
    </row>
    <row r="131" spans="1:11" ht="57" customHeight="1" x14ac:dyDescent="0.2">
      <c r="A131" s="52" t="s">
        <v>361</v>
      </c>
      <c r="B131" s="52"/>
      <c r="C131" s="52"/>
      <c r="D131" s="52"/>
      <c r="E131" s="52"/>
      <c r="F131" s="52"/>
      <c r="G131" s="52"/>
      <c r="H131" s="52"/>
      <c r="I131" s="52"/>
      <c r="J131" s="52"/>
    </row>
  </sheetData>
  <mergeCells count="73">
    <mergeCell ref="A15:K15"/>
    <mergeCell ref="A16:K16"/>
    <mergeCell ref="A13:K13"/>
    <mergeCell ref="B3:E3"/>
    <mergeCell ref="G3:K3"/>
    <mergeCell ref="B4:E4"/>
    <mergeCell ref="G4:K4"/>
    <mergeCell ref="B6:E6"/>
    <mergeCell ref="G6:K6"/>
    <mergeCell ref="B7:E7"/>
    <mergeCell ref="G7:K7"/>
    <mergeCell ref="J2:K2"/>
    <mergeCell ref="A10:K10"/>
    <mergeCell ref="A11:K11"/>
    <mergeCell ref="A18:K18"/>
    <mergeCell ref="F20:H20"/>
    <mergeCell ref="I20:J20"/>
    <mergeCell ref="F22:H22"/>
    <mergeCell ref="I22:J22"/>
    <mergeCell ref="F21:H21"/>
    <mergeCell ref="I21:J21"/>
    <mergeCell ref="F23:H23"/>
    <mergeCell ref="I23:J23"/>
    <mergeCell ref="F24:H24"/>
    <mergeCell ref="I24:J24"/>
    <mergeCell ref="I64:J64"/>
    <mergeCell ref="F25:H25"/>
    <mergeCell ref="I25:J25"/>
    <mergeCell ref="F27:F29"/>
    <mergeCell ref="G27:G29"/>
    <mergeCell ref="H27:H29"/>
    <mergeCell ref="I27:I29"/>
    <mergeCell ref="J27:J29"/>
    <mergeCell ref="A32:K32"/>
    <mergeCell ref="I42:J42"/>
    <mergeCell ref="I53:J53"/>
    <mergeCell ref="A27:A29"/>
    <mergeCell ref="B27:B29"/>
    <mergeCell ref="C27:C29"/>
    <mergeCell ref="D27:D29"/>
    <mergeCell ref="E27:E29"/>
    <mergeCell ref="I114:J114"/>
    <mergeCell ref="A114:H114"/>
    <mergeCell ref="I74:J74"/>
    <mergeCell ref="I84:J84"/>
    <mergeCell ref="I91:J91"/>
    <mergeCell ref="I93:J93"/>
    <mergeCell ref="A93:H93"/>
    <mergeCell ref="A96:K96"/>
    <mergeCell ref="I101:J101"/>
    <mergeCell ref="I105:J105"/>
    <mergeCell ref="I109:J109"/>
    <mergeCell ref="I111:J111"/>
    <mergeCell ref="A111:H111"/>
    <mergeCell ref="C116:H116"/>
    <mergeCell ref="I116:J116"/>
    <mergeCell ref="C117:H117"/>
    <mergeCell ref="I117:J117"/>
    <mergeCell ref="C118:H118"/>
    <mergeCell ref="I118:J118"/>
    <mergeCell ref="A131:J131"/>
    <mergeCell ref="C130:G130"/>
    <mergeCell ref="I120:J120"/>
    <mergeCell ref="A120:H120"/>
    <mergeCell ref="C121:H121"/>
    <mergeCell ref="I121:J121"/>
    <mergeCell ref="C122:H122"/>
    <mergeCell ref="I122:J122"/>
    <mergeCell ref="C123:H123"/>
    <mergeCell ref="I123:J123"/>
    <mergeCell ref="A126:B126"/>
    <mergeCell ref="C127:G127"/>
    <mergeCell ref="A129:B129"/>
  </mergeCells>
  <pageMargins left="0.4" right="0.2" top="0.2" bottom="0.4" header="0.2" footer="0.2"/>
  <pageSetup paperSize="9" scale="65" fitToHeight="0" orientation="portrait" r:id="rId1"/>
  <headerFooter>
    <oddHeader>&amp;L&amp;8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03" x14ac:dyDescent="0.2">
      <c r="F12" t="str">
        <f>Source!F12</f>
        <v/>
      </c>
      <c r="G12" t="str">
        <f>Source!G12</f>
        <v>ГБОУ Школа 920. ул. Перовская, д. 24 Пандус (СН-2012 Выпуск №2 (в ценах на 01.01.2025 г))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5"/>
  <sheetViews>
    <sheetView view="pageBreakPreview" zoomScale="60" zoomScaleNormal="100" workbookViewId="0">
      <selection activeCell="S37" sqref="S37"/>
    </sheetView>
  </sheetViews>
  <sheetFormatPr defaultRowHeight="12.75" x14ac:dyDescent="0.2"/>
  <cols>
    <col min="1" max="1" width="6.7109375" customWidth="1"/>
    <col min="2" max="2" width="75.7109375" customWidth="1"/>
    <col min="3" max="5" width="15.7109375" customWidth="1"/>
    <col min="30" max="30" width="114.7109375" hidden="1" customWidth="1"/>
    <col min="31" max="32" width="0" hidden="1" customWidth="1"/>
  </cols>
  <sheetData>
    <row r="1" spans="1:30" x14ac:dyDescent="0.2">
      <c r="A1" s="8" t="str">
        <f>[1]Source!B1</f>
        <v>Smeta.RU  (495) 974-1589</v>
      </c>
    </row>
    <row r="2" spans="1:30" ht="14.25" x14ac:dyDescent="0.2">
      <c r="C2" s="10"/>
      <c r="D2" s="10"/>
    </row>
    <row r="3" spans="1:30" ht="15" x14ac:dyDescent="0.25">
      <c r="C3" s="10"/>
      <c r="D3" s="50" t="s">
        <v>251</v>
      </c>
    </row>
    <row r="4" spans="1:30" ht="15" x14ac:dyDescent="0.25">
      <c r="C4" s="50"/>
      <c r="D4" s="50"/>
    </row>
    <row r="5" spans="1:30" x14ac:dyDescent="0.2">
      <c r="C5" s="74" t="s">
        <v>357</v>
      </c>
      <c r="D5" s="74"/>
    </row>
    <row r="6" spans="1:30" ht="15" x14ac:dyDescent="0.25">
      <c r="C6" s="51"/>
      <c r="D6" s="51"/>
    </row>
    <row r="7" spans="1:30" ht="15" x14ac:dyDescent="0.25">
      <c r="C7" s="75" t="s">
        <v>358</v>
      </c>
      <c r="D7" s="75"/>
    </row>
    <row r="8" spans="1:30" ht="15" x14ac:dyDescent="0.25">
      <c r="C8" s="51"/>
      <c r="D8" s="51"/>
    </row>
    <row r="9" spans="1:30" ht="15" x14ac:dyDescent="0.25">
      <c r="C9" s="51"/>
      <c r="D9" s="51"/>
    </row>
    <row r="10" spans="1:30" ht="15" x14ac:dyDescent="0.25">
      <c r="C10" s="50" t="s">
        <v>292</v>
      </c>
      <c r="D10" s="10"/>
    </row>
    <row r="11" spans="1:30" ht="14.25" x14ac:dyDescent="0.2">
      <c r="A11" s="10"/>
      <c r="B11" s="10"/>
      <c r="C11" s="10"/>
      <c r="D11" s="10"/>
      <c r="E11" s="10"/>
    </row>
    <row r="12" spans="1:30" ht="15.75" x14ac:dyDescent="0.25">
      <c r="A12" s="77" t="str">
        <f>CONCATENATE("Дефектный акт ", IF(Source!AN15&lt;&gt;"", Source!AN15," "))</f>
        <v xml:space="preserve">Дефектный акт  </v>
      </c>
      <c r="B12" s="77"/>
      <c r="C12" s="77"/>
      <c r="D12" s="77"/>
      <c r="E12" s="10"/>
    </row>
    <row r="13" spans="1:30" ht="30" x14ac:dyDescent="0.25">
      <c r="A13" s="78" t="str">
        <f>CONCATENATE("На капитальный ремонт ", Source!F12, " ", Source!G12)</f>
        <v>На капитальный ремонт  ГБОУ Школа 920. ул. Перовская, д. 24 Пандус (СН-2012 Выпуск №2 (в ценах на 01.01.2025 г))</v>
      </c>
      <c r="B13" s="78"/>
      <c r="C13" s="78"/>
      <c r="D13" s="78"/>
      <c r="E13" s="10"/>
      <c r="AD13" s="35" t="str">
        <f>CONCATENATE("На капитальный ремонт ", Source!F12, " ", Source!G12)</f>
        <v>На капитальный ремонт  ГБОУ Школа 920. ул. Перовская, д. 24 Пандус (СН-2012 Выпуск №2 (в ценах на 01.01.2025 г))</v>
      </c>
    </row>
    <row r="14" spans="1:30" ht="14.25" x14ac:dyDescent="0.2">
      <c r="A14" s="10"/>
      <c r="B14" s="10"/>
      <c r="C14" s="10"/>
      <c r="D14" s="10"/>
      <c r="E14" s="10"/>
    </row>
    <row r="15" spans="1:30" ht="15" x14ac:dyDescent="0.2">
      <c r="A15" s="10"/>
      <c r="B15" s="33" t="s">
        <v>293</v>
      </c>
      <c r="C15" s="10"/>
      <c r="D15" s="10"/>
      <c r="E15" s="10"/>
    </row>
    <row r="16" spans="1:30" ht="15" x14ac:dyDescent="0.2">
      <c r="A16" s="10"/>
      <c r="B16" s="33" t="s">
        <v>294</v>
      </c>
      <c r="C16" s="10"/>
      <c r="D16" s="10"/>
      <c r="E16" s="10"/>
    </row>
    <row r="17" spans="1:5" ht="15" x14ac:dyDescent="0.2">
      <c r="A17" s="10"/>
      <c r="B17" s="33" t="s">
        <v>295</v>
      </c>
      <c r="C17" s="10"/>
      <c r="D17" s="10"/>
      <c r="E17" s="10"/>
    </row>
    <row r="18" spans="1:5" ht="28.5" x14ac:dyDescent="0.2">
      <c r="A18" s="19" t="s">
        <v>296</v>
      </c>
      <c r="B18" s="19" t="s">
        <v>265</v>
      </c>
      <c r="C18" s="19" t="s">
        <v>266</v>
      </c>
      <c r="D18" s="19" t="s">
        <v>297</v>
      </c>
      <c r="E18" s="34" t="s">
        <v>298</v>
      </c>
    </row>
    <row r="19" spans="1:5" ht="14.25" x14ac:dyDescent="0.2">
      <c r="A19" s="36">
        <v>1</v>
      </c>
      <c r="B19" s="36">
        <v>2</v>
      </c>
      <c r="C19" s="36">
        <v>3</v>
      </c>
      <c r="D19" s="36">
        <v>4</v>
      </c>
      <c r="E19" s="37">
        <v>5</v>
      </c>
    </row>
    <row r="20" spans="1:5" ht="16.5" x14ac:dyDescent="0.25">
      <c r="A20" s="76" t="str">
        <f>CONCATENATE("Локальная смета: ", Source!G20)</f>
        <v>Локальная смета: ГБОУ Школа 920. ул. Перовская, д. 24 Пандус</v>
      </c>
      <c r="B20" s="76"/>
      <c r="C20" s="76"/>
      <c r="D20" s="76"/>
      <c r="E20" s="76"/>
    </row>
    <row r="21" spans="1:5" ht="16.5" x14ac:dyDescent="0.25">
      <c r="A21" s="76" t="str">
        <f>CONCATENATE("Раздел: ", Source!G24)</f>
        <v>Раздел: Новый раздел</v>
      </c>
      <c r="B21" s="76"/>
      <c r="C21" s="76"/>
      <c r="D21" s="76"/>
      <c r="E21" s="76"/>
    </row>
    <row r="22" spans="1:5" ht="28.5" x14ac:dyDescent="0.2">
      <c r="A22" s="42">
        <v>1</v>
      </c>
      <c r="B22" s="43" t="str">
        <f>Source!G28</f>
        <v>Демонтаж  площадок с настилом и ограждением из листовой, рифленой, просечной и круглой стали (металлический пандус)</v>
      </c>
      <c r="C22" s="44" t="str">
        <f>Source!H28</f>
        <v>т</v>
      </c>
      <c r="D22" s="45">
        <f>Source!I28</f>
        <v>2.1072000000000002</v>
      </c>
      <c r="E22" s="43"/>
    </row>
    <row r="23" spans="1:5" ht="28.5" x14ac:dyDescent="0.2">
      <c r="A23" s="42">
        <v>2</v>
      </c>
      <c r="B23" s="43" t="str">
        <f>Source!G29</f>
        <v>Монтаж площадок с настилом и ограждением из листовой, рифленой, просечной и круглой стали (металлический пандус)</v>
      </c>
      <c r="C23" s="44" t="str">
        <f>Source!H29</f>
        <v>т</v>
      </c>
      <c r="D23" s="45">
        <f>Source!I29</f>
        <v>2.1072000000000002</v>
      </c>
      <c r="E23" s="43"/>
    </row>
    <row r="24" spans="1:5" ht="28.5" x14ac:dyDescent="0.2">
      <c r="A24" s="42">
        <v>2.1</v>
      </c>
      <c r="B24" s="43" t="str">
        <f>Source!G30</f>
        <v>Профили замкнутые стальные гнутые сварные (трубы квадратные), размер стороны 40 мм, толщина стенки 4 мм (стойки пандуса)</v>
      </c>
      <c r="C24" s="44" t="str">
        <f>Source!H30</f>
        <v>т</v>
      </c>
      <c r="D24" s="45">
        <f>Source!I30</f>
        <v>0.14162500000000003</v>
      </c>
      <c r="E24" s="43"/>
    </row>
    <row r="25" spans="1:5" ht="42.75" x14ac:dyDescent="0.2">
      <c r="A25" s="42">
        <v>3</v>
      </c>
      <c r="B25" s="43" t="str">
        <f>Source!G31</f>
        <v>Устройство ограждения пандуса (металлического) из полированной нержавеющей стали на стойках с двойным поручнем на высоте 700 и 900 мм</v>
      </c>
      <c r="C25" s="44" t="str">
        <f>Source!H31</f>
        <v>10 м</v>
      </c>
      <c r="D25" s="45">
        <f>Source!I31</f>
        <v>3.0459999999999998</v>
      </c>
      <c r="E25" s="43"/>
    </row>
    <row r="26" spans="1:5" ht="28.5" x14ac:dyDescent="0.2">
      <c r="A26" s="42">
        <v>4</v>
      </c>
      <c r="B26" s="43" t="str">
        <f>Source!G32</f>
        <v>Исправление профиля щебеночных оснований с добавлением нового материала</v>
      </c>
      <c r="C26" s="44" t="str">
        <f>Source!H32</f>
        <v>1000 м2</v>
      </c>
      <c r="D26" s="45">
        <f>Source!I32</f>
        <v>3.5999999999999999E-3</v>
      </c>
      <c r="E26" s="43"/>
    </row>
    <row r="27" spans="1:5" ht="28.5" x14ac:dyDescent="0.2">
      <c r="A27" s="42">
        <v>5</v>
      </c>
      <c r="B27" s="43" t="str">
        <f>Source!G33</f>
        <v>Устройство покрытий из асфальтобетонных смесей вручную, толщина 4 см</v>
      </c>
      <c r="C27" s="44" t="str">
        <f>Source!H33</f>
        <v>100 м2</v>
      </c>
      <c r="D27" s="45">
        <f>Source!I33</f>
        <v>0.36</v>
      </c>
      <c r="E27" s="43"/>
    </row>
    <row r="28" spans="1:5" ht="28.5" x14ac:dyDescent="0.2">
      <c r="A28" s="42">
        <v>6</v>
      </c>
      <c r="B28" s="43" t="str">
        <f>Source!G34</f>
        <v>Окраска масляными составами за два раза металлических поверхностей решеток и оград</v>
      </c>
      <c r="C28" s="44" t="str">
        <f>Source!H34</f>
        <v>100 м2</v>
      </c>
      <c r="D28" s="45">
        <f>Source!I34</f>
        <v>0.184</v>
      </c>
      <c r="E28" s="43"/>
    </row>
    <row r="29" spans="1:5" ht="16.5" x14ac:dyDescent="0.25">
      <c r="A29" s="76" t="str">
        <f>CONCATENATE("Раздел: ", Source!G66)</f>
        <v>Раздел: Мусор</v>
      </c>
      <c r="B29" s="76"/>
      <c r="C29" s="76"/>
      <c r="D29" s="76"/>
      <c r="E29" s="76"/>
    </row>
    <row r="30" spans="1:5" ht="28.5" x14ac:dyDescent="0.2">
      <c r="A30" s="42">
        <v>7</v>
      </c>
      <c r="B30" s="43" t="str">
        <f>Source!G70</f>
        <v>Механизированная погрузка строительного мусора в автомобили-самосвалы</v>
      </c>
      <c r="C30" s="44" t="str">
        <f>Source!H70</f>
        <v>т</v>
      </c>
      <c r="D30" s="45">
        <f>Source!I70</f>
        <v>2.1072000000000002</v>
      </c>
      <c r="E30" s="43"/>
    </row>
    <row r="31" spans="1:5" ht="42.75" x14ac:dyDescent="0.2">
      <c r="A31" s="42">
        <v>8</v>
      </c>
      <c r="B31" s="43" t="str">
        <f>Source!G71</f>
        <v>Перевозка строительного мусора автосамосвалами грузоподъемностью до 10 т на расстояние 1 км - при механизированной погрузке</v>
      </c>
      <c r="C31" s="44" t="str">
        <f>Source!H71</f>
        <v>т</v>
      </c>
      <c r="D31" s="45">
        <f>Source!I71</f>
        <v>2.1072000000000002</v>
      </c>
      <c r="E31" s="43"/>
    </row>
    <row r="32" spans="1:5" ht="42.75" x14ac:dyDescent="0.2">
      <c r="A32" s="38">
        <v>9</v>
      </c>
      <c r="B32" s="39" t="str">
        <f>Source!G72</f>
        <v>Перевозка строительного мусора автосамосвалами грузоподъемностью до 10 т - добавляется на каждый последующий 1 км до 100 км</v>
      </c>
      <c r="C32" s="40" t="str">
        <f>Source!H72</f>
        <v>т</v>
      </c>
      <c r="D32" s="41">
        <f>Source!I72</f>
        <v>2.1072000000000002</v>
      </c>
      <c r="E32" s="39"/>
    </row>
    <row r="35" spans="1:5" ht="15" x14ac:dyDescent="0.25">
      <c r="A35" s="30" t="s">
        <v>299</v>
      </c>
      <c r="B35" s="30"/>
      <c r="C35" s="30" t="s">
        <v>300</v>
      </c>
      <c r="D35" s="30"/>
      <c r="E35" s="30"/>
    </row>
  </sheetData>
  <mergeCells count="7">
    <mergeCell ref="C5:D5"/>
    <mergeCell ref="C7:D7"/>
    <mergeCell ref="A29:E29"/>
    <mergeCell ref="A12:D12"/>
    <mergeCell ref="A13:D13"/>
    <mergeCell ref="A20:E20"/>
    <mergeCell ref="A21:E21"/>
  </mergeCells>
  <pageMargins left="0.4" right="0.2" top="0.2" bottom="0.4" header="0.2" footer="0.2"/>
  <pageSetup paperSize="9" scale="77" fitToHeight="0" orientation="portrait" r:id="rId1"/>
  <headerFooter>
    <oddHeader>&amp;L&amp;8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workbookViewId="0"/>
  </sheetViews>
  <sheetFormatPr defaultRowHeight="12.75" x14ac:dyDescent="0.2"/>
  <sheetData>
    <row r="1" spans="1:28" x14ac:dyDescent="0.2">
      <c r="A1" t="s">
        <v>329</v>
      </c>
      <c r="B1" t="s">
        <v>331</v>
      </c>
      <c r="C1" t="s">
        <v>332</v>
      </c>
      <c r="D1" t="s">
        <v>333</v>
      </c>
      <c r="E1" t="s">
        <v>334</v>
      </c>
      <c r="F1" t="s">
        <v>335</v>
      </c>
      <c r="G1" t="s">
        <v>336</v>
      </c>
      <c r="H1" t="s">
        <v>337</v>
      </c>
      <c r="I1" t="s">
        <v>338</v>
      </c>
      <c r="J1" t="s">
        <v>339</v>
      </c>
      <c r="K1" t="s">
        <v>340</v>
      </c>
      <c r="L1" t="s">
        <v>341</v>
      </c>
      <c r="M1" t="s">
        <v>342</v>
      </c>
      <c r="N1" t="s">
        <v>343</v>
      </c>
      <c r="O1" t="s">
        <v>330</v>
      </c>
    </row>
    <row r="2" spans="1:28" x14ac:dyDescent="0.2">
      <c r="A2">
        <v>1</v>
      </c>
      <c r="B2">
        <v>0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1</v>
      </c>
      <c r="K2">
        <v>1</v>
      </c>
      <c r="L2">
        <v>78163571</v>
      </c>
      <c r="M2">
        <v>0</v>
      </c>
      <c r="N2">
        <v>0</v>
      </c>
      <c r="O2">
        <v>0</v>
      </c>
    </row>
    <row r="4" spans="1:28" x14ac:dyDescent="0.2">
      <c r="A4" t="s">
        <v>301</v>
      </c>
      <c r="B4" t="s">
        <v>302</v>
      </c>
      <c r="C4" t="s">
        <v>303</v>
      </c>
      <c r="D4" t="s">
        <v>304</v>
      </c>
      <c r="E4" t="s">
        <v>305</v>
      </c>
      <c r="F4" t="s">
        <v>306</v>
      </c>
      <c r="G4" t="s">
        <v>307</v>
      </c>
      <c r="H4" t="s">
        <v>308</v>
      </c>
      <c r="I4" t="s">
        <v>309</v>
      </c>
      <c r="J4" t="s">
        <v>310</v>
      </c>
      <c r="K4" t="s">
        <v>311</v>
      </c>
      <c r="L4" t="s">
        <v>312</v>
      </c>
      <c r="M4" t="s">
        <v>313</v>
      </c>
      <c r="N4" t="s">
        <v>314</v>
      </c>
      <c r="O4" t="s">
        <v>315</v>
      </c>
      <c r="P4" t="s">
        <v>316</v>
      </c>
      <c r="Q4" t="s">
        <v>317</v>
      </c>
      <c r="R4" t="s">
        <v>318</v>
      </c>
      <c r="S4" t="s">
        <v>319</v>
      </c>
      <c r="T4" t="s">
        <v>320</v>
      </c>
      <c r="U4" t="s">
        <v>324</v>
      </c>
      <c r="V4" t="s">
        <v>325</v>
      </c>
      <c r="W4" t="s">
        <v>326</v>
      </c>
      <c r="X4" t="s">
        <v>327</v>
      </c>
      <c r="Y4" t="s">
        <v>328</v>
      </c>
      <c r="Z4" t="s">
        <v>321</v>
      </c>
      <c r="AA4" t="s">
        <v>322</v>
      </c>
      <c r="AB4" t="s">
        <v>323</v>
      </c>
    </row>
    <row r="6" spans="1:28" x14ac:dyDescent="0.2">
      <c r="A6">
        <f>Source!A20</f>
        <v>3</v>
      </c>
      <c r="B6">
        <v>20</v>
      </c>
      <c r="G6" t="str">
        <f>Source!G20</f>
        <v>ГБОУ Школа 920. ул. Перовская, д. 24 Пандус</v>
      </c>
    </row>
    <row r="7" spans="1:28" x14ac:dyDescent="0.2">
      <c r="A7">
        <f>Source!A24</f>
        <v>4</v>
      </c>
      <c r="B7">
        <v>24</v>
      </c>
      <c r="G7" t="str">
        <f>Source!G24</f>
        <v>Новый раздел</v>
      </c>
    </row>
    <row r="8" spans="1:28" x14ac:dyDescent="0.2">
      <c r="A8">
        <v>20</v>
      </c>
      <c r="B8">
        <v>8</v>
      </c>
      <c r="C8">
        <v>3</v>
      </c>
      <c r="D8">
        <v>0</v>
      </c>
      <c r="E8">
        <f>SmtRes!AV8</f>
        <v>0</v>
      </c>
      <c r="F8" t="str">
        <f>SmtRes!I8</f>
        <v>21.6-1-64</v>
      </c>
      <c r="G8" t="str">
        <f>SmtRes!K8</f>
        <v>Площадки с настилом из листовой, рифленой, просечной или круглой стали, каркасами и элементами жесткости из прокатных и гнутых профилей, прямоугольные и трапециевидные</v>
      </c>
      <c r="H8" t="str">
        <f>SmtRes!O8</f>
        <v>т</v>
      </c>
      <c r="I8">
        <f>SmtRes!Y8*Source!I28</f>
        <v>0</v>
      </c>
      <c r="J8">
        <f>SmtRes!AO8</f>
        <v>1</v>
      </c>
      <c r="K8">
        <f>SmtRes!AE8</f>
        <v>153505.48000000001</v>
      </c>
      <c r="L8">
        <f>SmtRes!DB8</f>
        <v>0</v>
      </c>
      <c r="M8">
        <f>ROUND(ROUND(L8*Source!I28, 6)*1, 2)</f>
        <v>0</v>
      </c>
      <c r="N8">
        <f>SmtRes!AA8</f>
        <v>153505.48000000001</v>
      </c>
      <c r="O8">
        <f>ROUND(ROUND(L8*Source!I28, 6)*SmtRes!DA8, 2)</f>
        <v>0</v>
      </c>
      <c r="P8">
        <f>SmtRes!AG8</f>
        <v>0</v>
      </c>
      <c r="Q8">
        <f>SmtRes!DC8</f>
        <v>0</v>
      </c>
      <c r="R8">
        <f>ROUND(ROUND(Q8*Source!I28, 6)*1, 2)</f>
        <v>0</v>
      </c>
      <c r="S8">
        <f>SmtRes!AC8</f>
        <v>0</v>
      </c>
      <c r="T8">
        <f>ROUND(ROUND(Q8*Source!I28, 6)*SmtRes!AK8, 2)</f>
        <v>0</v>
      </c>
      <c r="U8">
        <v>3</v>
      </c>
      <c r="Z8">
        <f>SmtRes!X8</f>
        <v>-115899999</v>
      </c>
      <c r="AA8">
        <v>-352518057</v>
      </c>
      <c r="AB8">
        <v>-1356429330</v>
      </c>
    </row>
    <row r="9" spans="1:28" x14ac:dyDescent="0.2">
      <c r="A9">
        <v>20</v>
      </c>
      <c r="B9">
        <v>7</v>
      </c>
      <c r="C9">
        <v>3</v>
      </c>
      <c r="D9">
        <v>0</v>
      </c>
      <c r="E9">
        <f>SmtRes!AV7</f>
        <v>0</v>
      </c>
      <c r="F9" t="str">
        <f>SmtRes!I7</f>
        <v>21.6-1-50</v>
      </c>
      <c r="G9" t="str">
        <f>SmtRes!K7</f>
        <v>Отдельные конструктивные элементы с преобладанием горячекатаных профилей, средняя масса сборочной единицы от 0,11 до 0,5 т</v>
      </c>
      <c r="H9" t="str">
        <f>SmtRes!O7</f>
        <v>т</v>
      </c>
      <c r="I9">
        <f>SmtRes!Y7*Source!I28</f>
        <v>0</v>
      </c>
      <c r="J9">
        <f>SmtRes!AO7</f>
        <v>1</v>
      </c>
      <c r="K9">
        <f>SmtRes!AE7</f>
        <v>160649.89000000001</v>
      </c>
      <c r="L9">
        <f>SmtRes!DB7</f>
        <v>0</v>
      </c>
      <c r="M9">
        <f>ROUND(ROUND(L9*Source!I28, 6)*1, 2)</f>
        <v>0</v>
      </c>
      <c r="N9">
        <f>SmtRes!AA7</f>
        <v>160649.89000000001</v>
      </c>
      <c r="O9">
        <f>ROUND(ROUND(L9*Source!I28, 6)*SmtRes!DA7, 2)</f>
        <v>0</v>
      </c>
      <c r="P9">
        <f>SmtRes!AG7</f>
        <v>0</v>
      </c>
      <c r="Q9">
        <f>SmtRes!DC7</f>
        <v>0</v>
      </c>
      <c r="R9">
        <f>ROUND(ROUND(Q9*Source!I28, 6)*1, 2)</f>
        <v>0</v>
      </c>
      <c r="S9">
        <f>SmtRes!AC7</f>
        <v>0</v>
      </c>
      <c r="T9">
        <f>ROUND(ROUND(Q9*Source!I28, 6)*SmtRes!AK7, 2)</f>
        <v>0</v>
      </c>
      <c r="U9">
        <v>3</v>
      </c>
      <c r="Z9">
        <f>SmtRes!X7</f>
        <v>-507214976</v>
      </c>
      <c r="AA9">
        <v>1728627961</v>
      </c>
      <c r="AB9">
        <v>1257451237</v>
      </c>
    </row>
    <row r="10" spans="1:28" x14ac:dyDescent="0.2">
      <c r="A10">
        <v>20</v>
      </c>
      <c r="B10">
        <v>6</v>
      </c>
      <c r="C10">
        <v>3</v>
      </c>
      <c r="D10">
        <v>0</v>
      </c>
      <c r="E10">
        <f>SmtRes!AV6</f>
        <v>0</v>
      </c>
      <c r="F10" t="str">
        <f>SmtRes!I6</f>
        <v>21.1-23-9</v>
      </c>
      <c r="G10" t="str">
        <f>SmtRes!K6</f>
        <v>Электроды, тип Э-42, 46, 50, диаметр 4 - 6 мм</v>
      </c>
      <c r="H10" t="str">
        <f>SmtRes!O6</f>
        <v>т</v>
      </c>
      <c r="I10">
        <f>SmtRes!Y6*Source!I28</f>
        <v>0</v>
      </c>
      <c r="J10">
        <f>SmtRes!AO6</f>
        <v>1</v>
      </c>
      <c r="K10">
        <f>SmtRes!AE6</f>
        <v>106831.32</v>
      </c>
      <c r="L10">
        <f>SmtRes!DB6</f>
        <v>0</v>
      </c>
      <c r="M10">
        <f>ROUND(ROUND(L10*Source!I28, 6)*1, 2)</f>
        <v>0</v>
      </c>
      <c r="N10">
        <f>SmtRes!AA6</f>
        <v>106831.32</v>
      </c>
      <c r="O10">
        <f>ROUND(ROUND(L10*Source!I28, 6)*SmtRes!DA6, 2)</f>
        <v>0</v>
      </c>
      <c r="P10">
        <f>SmtRes!AG6</f>
        <v>0</v>
      </c>
      <c r="Q10">
        <f>SmtRes!DC6</f>
        <v>0</v>
      </c>
      <c r="R10">
        <f>ROUND(ROUND(Q10*Source!I28, 6)*1, 2)</f>
        <v>0</v>
      </c>
      <c r="S10">
        <f>SmtRes!AC6</f>
        <v>0</v>
      </c>
      <c r="T10">
        <f>ROUND(ROUND(Q10*Source!I28, 6)*SmtRes!AK6, 2)</f>
        <v>0</v>
      </c>
      <c r="U10">
        <v>3</v>
      </c>
      <c r="Z10">
        <f>SmtRes!X6</f>
        <v>1930382025</v>
      </c>
      <c r="AA10">
        <v>-1168752113</v>
      </c>
      <c r="AB10">
        <v>-1022481529</v>
      </c>
    </row>
    <row r="11" spans="1:28" x14ac:dyDescent="0.2">
      <c r="A11">
        <v>20</v>
      </c>
      <c r="B11">
        <v>5</v>
      </c>
      <c r="C11">
        <v>3</v>
      </c>
      <c r="D11">
        <v>0</v>
      </c>
      <c r="E11">
        <f>SmtRes!AV5</f>
        <v>0</v>
      </c>
      <c r="F11" t="str">
        <f>SmtRes!I5</f>
        <v>21.1-11-21</v>
      </c>
      <c r="G11" t="str">
        <f>SmtRes!K5</f>
        <v>Болты строительные черные с гайками и шайбами (10х100мм)</v>
      </c>
      <c r="H11" t="str">
        <f>SmtRes!O5</f>
        <v>т</v>
      </c>
      <c r="I11">
        <f>SmtRes!Y5*Source!I28</f>
        <v>0</v>
      </c>
      <c r="J11">
        <f>SmtRes!AO5</f>
        <v>1</v>
      </c>
      <c r="K11">
        <f>SmtRes!AE5</f>
        <v>173260.69</v>
      </c>
      <c r="L11">
        <f>SmtRes!DB5</f>
        <v>0</v>
      </c>
      <c r="M11">
        <f>ROUND(ROUND(L11*Source!I28, 6)*1, 2)</f>
        <v>0</v>
      </c>
      <c r="N11">
        <f>SmtRes!AA5</f>
        <v>173260.69</v>
      </c>
      <c r="O11">
        <f>ROUND(ROUND(L11*Source!I28, 6)*SmtRes!DA5, 2)</f>
        <v>0</v>
      </c>
      <c r="P11">
        <f>SmtRes!AG5</f>
        <v>0</v>
      </c>
      <c r="Q11">
        <f>SmtRes!DC5</f>
        <v>0</v>
      </c>
      <c r="R11">
        <f>ROUND(ROUND(Q11*Source!I28, 6)*1, 2)</f>
        <v>0</v>
      </c>
      <c r="S11">
        <f>SmtRes!AC5</f>
        <v>0</v>
      </c>
      <c r="T11">
        <f>ROUND(ROUND(Q11*Source!I28, 6)*SmtRes!AK5, 2)</f>
        <v>0</v>
      </c>
      <c r="U11">
        <v>3</v>
      </c>
      <c r="Z11">
        <f>SmtRes!X5</f>
        <v>-1470955817</v>
      </c>
      <c r="AA11">
        <v>-1461653775</v>
      </c>
      <c r="AB11">
        <v>-94436779</v>
      </c>
    </row>
    <row r="12" spans="1:28" x14ac:dyDescent="0.2">
      <c r="A12">
        <v>20</v>
      </c>
      <c r="B12">
        <v>4</v>
      </c>
      <c r="C12">
        <v>2</v>
      </c>
      <c r="D12">
        <v>0</v>
      </c>
      <c r="E12">
        <f>SmtRes!AV4</f>
        <v>0</v>
      </c>
      <c r="F12" t="str">
        <f>SmtRes!I4</f>
        <v>22.1-4-45</v>
      </c>
      <c r="G12" t="str">
        <f>SmtRes!K4</f>
        <v>Домкраты гидравлические, грузоподъемность до 100 т</v>
      </c>
      <c r="H12" t="str">
        <f>SmtRes!O4</f>
        <v>маш.-ч</v>
      </c>
      <c r="I12">
        <f>SmtRes!Y4*Source!I28</f>
        <v>1.6689024000000001</v>
      </c>
      <c r="J12">
        <f>SmtRes!AO4</f>
        <v>1</v>
      </c>
      <c r="K12">
        <f>SmtRes!AF4</f>
        <v>14.52</v>
      </c>
      <c r="L12">
        <f>SmtRes!DB4</f>
        <v>11.5</v>
      </c>
      <c r="M12">
        <f>ROUND(ROUND(L12*Source!I28, 6)*1, 2)</f>
        <v>24.23</v>
      </c>
      <c r="N12">
        <f>SmtRes!AB4</f>
        <v>14.52</v>
      </c>
      <c r="O12">
        <f>ROUND(ROUND(L12*Source!I28, 6)*SmtRes!DA4, 2)</f>
        <v>24.23</v>
      </c>
      <c r="P12">
        <f>SmtRes!AG4</f>
        <v>0.03</v>
      </c>
      <c r="Q12">
        <f>SmtRes!DC4</f>
        <v>2.4E-2</v>
      </c>
      <c r="R12">
        <f>ROUND(ROUND(Q12*Source!I28, 6)*1, 2)</f>
        <v>0.05</v>
      </c>
      <c r="S12">
        <f>SmtRes!AC4</f>
        <v>0.03</v>
      </c>
      <c r="T12">
        <f>ROUND(ROUND(Q12*Source!I28, 6)*SmtRes!AK4, 2)</f>
        <v>0.05</v>
      </c>
      <c r="U12">
        <v>2</v>
      </c>
      <c r="Z12">
        <f>SmtRes!X4</f>
        <v>726862742</v>
      </c>
      <c r="AA12">
        <v>407302162</v>
      </c>
      <c r="AB12">
        <v>489777694</v>
      </c>
    </row>
    <row r="13" spans="1:28" x14ac:dyDescent="0.2">
      <c r="A13">
        <v>20</v>
      </c>
      <c r="B13">
        <v>3</v>
      </c>
      <c r="C13">
        <v>2</v>
      </c>
      <c r="D13">
        <v>0</v>
      </c>
      <c r="E13">
        <f>SmtRes!AV3</f>
        <v>0</v>
      </c>
      <c r="F13" t="str">
        <f>SmtRes!I3</f>
        <v>22.1-30-46</v>
      </c>
      <c r="G13" t="str">
        <f>SmtRes!K3</f>
        <v>Преобразователи частоты тока до 500 А</v>
      </c>
      <c r="H13" t="str">
        <f>SmtRes!O3</f>
        <v>маш.-ч</v>
      </c>
      <c r="I13">
        <f>SmtRes!Y3*Source!I28</f>
        <v>3.2450880000000004</v>
      </c>
      <c r="J13">
        <f>SmtRes!AO3</f>
        <v>1</v>
      </c>
      <c r="K13">
        <f>SmtRes!AF3</f>
        <v>33.69</v>
      </c>
      <c r="L13">
        <f>SmtRes!DB3</f>
        <v>51.881999999999998</v>
      </c>
      <c r="M13">
        <f>ROUND(ROUND(L13*Source!I28, 6)*1, 2)</f>
        <v>109.33</v>
      </c>
      <c r="N13">
        <f>SmtRes!AB3</f>
        <v>33.69</v>
      </c>
      <c r="O13">
        <f>ROUND(ROUND(L13*Source!I28, 6)*SmtRes!DA3, 2)</f>
        <v>109.33</v>
      </c>
      <c r="P13">
        <f>SmtRes!AG3</f>
        <v>0.03</v>
      </c>
      <c r="Q13">
        <f>SmtRes!DC3</f>
        <v>4.5999999999999999E-2</v>
      </c>
      <c r="R13">
        <f>ROUND(ROUND(Q13*Source!I28, 6)*1, 2)</f>
        <v>0.1</v>
      </c>
      <c r="S13">
        <f>SmtRes!AC3</f>
        <v>0.03</v>
      </c>
      <c r="T13">
        <f>ROUND(ROUND(Q13*Source!I28, 6)*SmtRes!AK3, 2)</f>
        <v>0.1</v>
      </c>
      <c r="U13">
        <v>2</v>
      </c>
      <c r="Z13">
        <f>SmtRes!X3</f>
        <v>246536153</v>
      </c>
      <c r="AA13">
        <v>-1810775952</v>
      </c>
      <c r="AB13">
        <v>294932672</v>
      </c>
    </row>
    <row r="14" spans="1:28" x14ac:dyDescent="0.2">
      <c r="A14">
        <v>20</v>
      </c>
      <c r="B14">
        <v>2</v>
      </c>
      <c r="C14">
        <v>2</v>
      </c>
      <c r="D14">
        <v>0</v>
      </c>
      <c r="E14">
        <f>SmtRes!AV2</f>
        <v>0</v>
      </c>
      <c r="F14" t="str">
        <f>SmtRes!I2</f>
        <v>22.1-13-21</v>
      </c>
      <c r="G14" t="str">
        <f>SmtRes!K2</f>
        <v>Печи электрические для сушки сварочных материалов с регулированием температуры в пределах 80-500С</v>
      </c>
      <c r="H14" t="str">
        <f>SmtRes!O2</f>
        <v>маш.-ч</v>
      </c>
      <c r="I14">
        <f>SmtRes!Y2*Source!I28</f>
        <v>0.17700480000000002</v>
      </c>
      <c r="J14">
        <f>SmtRes!AO2</f>
        <v>1</v>
      </c>
      <c r="K14">
        <f>SmtRes!AF2</f>
        <v>60.72</v>
      </c>
      <c r="L14">
        <f>SmtRes!DB2</f>
        <v>5.0999999999999996</v>
      </c>
      <c r="M14">
        <f>ROUND(ROUND(L14*Source!I28, 6)*1, 2)</f>
        <v>10.75</v>
      </c>
      <c r="N14">
        <f>SmtRes!AB2</f>
        <v>60.72</v>
      </c>
      <c r="O14">
        <f>ROUND(ROUND(L14*Source!I28, 6)*SmtRes!DA2, 2)</f>
        <v>10.75</v>
      </c>
      <c r="P14">
        <f>SmtRes!AG2</f>
        <v>0.55000000000000004</v>
      </c>
      <c r="Q14">
        <f>SmtRes!DC2</f>
        <v>4.5999999999999999E-2</v>
      </c>
      <c r="R14">
        <f>ROUND(ROUND(Q14*Source!I28, 6)*1, 2)</f>
        <v>0.1</v>
      </c>
      <c r="S14">
        <f>SmtRes!AC2</f>
        <v>0.55000000000000004</v>
      </c>
      <c r="T14">
        <f>ROUND(ROUND(Q14*Source!I28, 6)*SmtRes!AK2, 2)</f>
        <v>0.1</v>
      </c>
      <c r="U14">
        <v>2</v>
      </c>
      <c r="Z14">
        <f>SmtRes!X2</f>
        <v>1477707851</v>
      </c>
      <c r="AA14">
        <v>471177364</v>
      </c>
      <c r="AB14">
        <v>-695259573</v>
      </c>
    </row>
    <row r="15" spans="1:28" x14ac:dyDescent="0.2">
      <c r="A15">
        <v>20</v>
      </c>
      <c r="B15">
        <v>17</v>
      </c>
      <c r="C15">
        <v>3</v>
      </c>
      <c r="D15">
        <v>0</v>
      </c>
      <c r="E15">
        <f>SmtRes!AV17</f>
        <v>0</v>
      </c>
      <c r="F15" t="str">
        <f>SmtRes!I17</f>
        <v>21.6-1-64</v>
      </c>
      <c r="G15" t="str">
        <f>SmtRes!K17</f>
        <v>Площадки с настилом из листовой, рифленой, просечной или круглой стали, каркасами и элементами жесткости из прокатных и гнутых профилей, прямоугольные и трапециевидные</v>
      </c>
      <c r="H15" t="str">
        <f>SmtRes!O17</f>
        <v>т</v>
      </c>
      <c r="I15">
        <f>SmtRes!Y17*Source!I29</f>
        <v>2.1072000000000002</v>
      </c>
      <c r="J15">
        <f>SmtRes!AO17</f>
        <v>1</v>
      </c>
      <c r="K15">
        <f>SmtRes!AE17</f>
        <v>153505.48000000001</v>
      </c>
      <c r="L15">
        <f>SmtRes!DB17</f>
        <v>153505.48000000001</v>
      </c>
      <c r="M15">
        <f>ROUND(ROUND(L15*Source!I29, 6)*1, 2)</f>
        <v>323466.75</v>
      </c>
      <c r="N15">
        <f>SmtRes!AA17</f>
        <v>153505.48000000001</v>
      </c>
      <c r="O15">
        <f>ROUND(ROUND(L15*Source!I29, 6)*SmtRes!DA17, 2)</f>
        <v>323466.75</v>
      </c>
      <c r="P15">
        <f>SmtRes!AG17</f>
        <v>0</v>
      </c>
      <c r="Q15">
        <f>SmtRes!DC17</f>
        <v>0</v>
      </c>
      <c r="R15">
        <f>ROUND(ROUND(Q15*Source!I29, 6)*1, 2)</f>
        <v>0</v>
      </c>
      <c r="S15">
        <f>SmtRes!AC17</f>
        <v>0</v>
      </c>
      <c r="T15">
        <f>ROUND(ROUND(Q15*Source!I29, 6)*SmtRes!AK17, 2)</f>
        <v>0</v>
      </c>
      <c r="U15">
        <v>3</v>
      </c>
      <c r="Z15">
        <f>SmtRes!X17</f>
        <v>-115899999</v>
      </c>
      <c r="AA15">
        <v>-505227526</v>
      </c>
      <c r="AB15">
        <v>-888753509</v>
      </c>
    </row>
    <row r="16" spans="1:28" x14ac:dyDescent="0.2">
      <c r="A16">
        <v>20</v>
      </c>
      <c r="B16">
        <v>16</v>
      </c>
      <c r="C16">
        <v>3</v>
      </c>
      <c r="D16">
        <v>0</v>
      </c>
      <c r="E16">
        <f>SmtRes!AV16</f>
        <v>0</v>
      </c>
      <c r="F16" t="str">
        <f>SmtRes!I16</f>
        <v>21.6-1-50</v>
      </c>
      <c r="G16" t="str">
        <f>SmtRes!K16</f>
        <v>Отдельные конструктивные элементы с преобладанием горячекатаных профилей, средняя масса сборочной единицы от 0,11 до 0,5 т</v>
      </c>
      <c r="H16" t="str">
        <f>SmtRes!O16</f>
        <v>т</v>
      </c>
      <c r="I16">
        <f>SmtRes!Y16*Source!I29</f>
        <v>2.1072E-3</v>
      </c>
      <c r="J16">
        <f>SmtRes!AO16</f>
        <v>1</v>
      </c>
      <c r="K16">
        <f>SmtRes!AE16</f>
        <v>160649.89000000001</v>
      </c>
      <c r="L16">
        <f>SmtRes!DB16</f>
        <v>160.65</v>
      </c>
      <c r="M16">
        <f>ROUND(ROUND(L16*Source!I29, 6)*1, 2)</f>
        <v>338.52</v>
      </c>
      <c r="N16">
        <f>SmtRes!AA16</f>
        <v>160649.89000000001</v>
      </c>
      <c r="O16">
        <f>ROUND(ROUND(L16*Source!I29, 6)*SmtRes!DA16, 2)</f>
        <v>338.52</v>
      </c>
      <c r="P16">
        <f>SmtRes!AG16</f>
        <v>0</v>
      </c>
      <c r="Q16">
        <f>SmtRes!DC16</f>
        <v>0</v>
      </c>
      <c r="R16">
        <f>ROUND(ROUND(Q16*Source!I29, 6)*1, 2)</f>
        <v>0</v>
      </c>
      <c r="S16">
        <f>SmtRes!AC16</f>
        <v>0</v>
      </c>
      <c r="T16">
        <f>ROUND(ROUND(Q16*Source!I29, 6)*SmtRes!AK16, 2)</f>
        <v>0</v>
      </c>
      <c r="U16">
        <v>3</v>
      </c>
      <c r="Z16">
        <f>SmtRes!X16</f>
        <v>-507214976</v>
      </c>
      <c r="AA16">
        <v>-1819864042</v>
      </c>
      <c r="AB16">
        <v>-722722953</v>
      </c>
    </row>
    <row r="17" spans="1:28" x14ac:dyDescent="0.2">
      <c r="A17">
        <v>20</v>
      </c>
      <c r="B17">
        <v>15</v>
      </c>
      <c r="C17">
        <v>3</v>
      </c>
      <c r="D17">
        <v>0</v>
      </c>
      <c r="E17">
        <f>SmtRes!AV15</f>
        <v>0</v>
      </c>
      <c r="F17" t="str">
        <f>SmtRes!I15</f>
        <v>21.1-23-9</v>
      </c>
      <c r="G17" t="str">
        <f>SmtRes!K15</f>
        <v>Электроды, тип Э-42, 46, 50, диаметр 4 - 6 мм</v>
      </c>
      <c r="H17" t="str">
        <f>SmtRes!O15</f>
        <v>т</v>
      </c>
      <c r="I17">
        <f>SmtRes!Y15*Source!I29</f>
        <v>8.4288000000000002E-3</v>
      </c>
      <c r="J17">
        <f>SmtRes!AO15</f>
        <v>1</v>
      </c>
      <c r="K17">
        <f>SmtRes!AE15</f>
        <v>106831.32</v>
      </c>
      <c r="L17">
        <f>SmtRes!DB15</f>
        <v>427.33</v>
      </c>
      <c r="M17">
        <f>ROUND(ROUND(L17*Source!I29, 6)*1, 2)</f>
        <v>900.47</v>
      </c>
      <c r="N17">
        <f>SmtRes!AA15</f>
        <v>106831.32</v>
      </c>
      <c r="O17">
        <f>ROUND(ROUND(L17*Source!I29, 6)*SmtRes!DA15, 2)</f>
        <v>900.47</v>
      </c>
      <c r="P17">
        <f>SmtRes!AG15</f>
        <v>0</v>
      </c>
      <c r="Q17">
        <f>SmtRes!DC15</f>
        <v>0</v>
      </c>
      <c r="R17">
        <f>ROUND(ROUND(Q17*Source!I29, 6)*1, 2)</f>
        <v>0</v>
      </c>
      <c r="S17">
        <f>SmtRes!AC15</f>
        <v>0</v>
      </c>
      <c r="T17">
        <f>ROUND(ROUND(Q17*Source!I29, 6)*SmtRes!AK15, 2)</f>
        <v>0</v>
      </c>
      <c r="U17">
        <v>3</v>
      </c>
      <c r="Z17">
        <f>SmtRes!X15</f>
        <v>1930382025</v>
      </c>
      <c r="AA17">
        <v>1325122993</v>
      </c>
      <c r="AB17">
        <v>-1276368308</v>
      </c>
    </row>
    <row r="18" spans="1:28" x14ac:dyDescent="0.2">
      <c r="A18">
        <v>20</v>
      </c>
      <c r="B18">
        <v>14</v>
      </c>
      <c r="C18">
        <v>3</v>
      </c>
      <c r="D18">
        <v>0</v>
      </c>
      <c r="E18">
        <f>SmtRes!AV14</f>
        <v>0</v>
      </c>
      <c r="F18" t="str">
        <f>SmtRes!I14</f>
        <v>21.1-11-21</v>
      </c>
      <c r="G18" t="str">
        <f>SmtRes!K14</f>
        <v>Болты строительные черные с гайками и шайбами (10х100мм)</v>
      </c>
      <c r="H18" t="str">
        <f>SmtRes!O14</f>
        <v>т</v>
      </c>
      <c r="I18">
        <f>SmtRes!Y14*Source!I29</f>
        <v>2.2125600000000002E-2</v>
      </c>
      <c r="J18">
        <f>SmtRes!AO14</f>
        <v>1</v>
      </c>
      <c r="K18">
        <f>SmtRes!AE14</f>
        <v>173260.69</v>
      </c>
      <c r="L18">
        <f>SmtRes!DB14</f>
        <v>1819.24</v>
      </c>
      <c r="M18">
        <f>ROUND(ROUND(L18*Source!I29, 6)*1, 2)</f>
        <v>3833.5</v>
      </c>
      <c r="N18">
        <f>SmtRes!AA14</f>
        <v>173260.69</v>
      </c>
      <c r="O18">
        <f>ROUND(ROUND(L18*Source!I29, 6)*SmtRes!DA14, 2)</f>
        <v>3833.5</v>
      </c>
      <c r="P18">
        <f>SmtRes!AG14</f>
        <v>0</v>
      </c>
      <c r="Q18">
        <f>SmtRes!DC14</f>
        <v>0</v>
      </c>
      <c r="R18">
        <f>ROUND(ROUND(Q18*Source!I29, 6)*1, 2)</f>
        <v>0</v>
      </c>
      <c r="S18">
        <f>SmtRes!AC14</f>
        <v>0</v>
      </c>
      <c r="T18">
        <f>ROUND(ROUND(Q18*Source!I29, 6)*SmtRes!AK14, 2)</f>
        <v>0</v>
      </c>
      <c r="U18">
        <v>3</v>
      </c>
      <c r="Z18">
        <f>SmtRes!X14</f>
        <v>-1470955817</v>
      </c>
      <c r="AA18">
        <v>-552218423</v>
      </c>
      <c r="AB18">
        <v>-826166257</v>
      </c>
    </row>
    <row r="19" spans="1:28" x14ac:dyDescent="0.2">
      <c r="A19">
        <v>20</v>
      </c>
      <c r="B19">
        <v>12</v>
      </c>
      <c r="C19">
        <v>2</v>
      </c>
      <c r="D19">
        <v>0</v>
      </c>
      <c r="E19">
        <f>SmtRes!AV12</f>
        <v>0</v>
      </c>
      <c r="F19" t="str">
        <f>SmtRes!I12</f>
        <v>22.1-4-45</v>
      </c>
      <c r="G19" t="str">
        <f>SmtRes!K12</f>
        <v>Домкраты гидравлические, грузоподъемность до 100 т</v>
      </c>
      <c r="H19" t="str">
        <f>SmtRes!O12</f>
        <v>маш.-ч</v>
      </c>
      <c r="I19">
        <f>SmtRes!Y12*Source!I29</f>
        <v>8.3445119999999999</v>
      </c>
      <c r="J19">
        <f>SmtRes!AO12</f>
        <v>1</v>
      </c>
      <c r="K19">
        <f>SmtRes!AF12</f>
        <v>14.52</v>
      </c>
      <c r="L19">
        <f>SmtRes!DB12</f>
        <v>57.5</v>
      </c>
      <c r="M19">
        <f>ROUND(ROUND(L19*Source!I29, 6)*1, 2)</f>
        <v>121.16</v>
      </c>
      <c r="N19">
        <f>SmtRes!AB12</f>
        <v>14.52</v>
      </c>
      <c r="O19">
        <f>ROUND(ROUND(L19*Source!I29, 6)*SmtRes!DA12, 2)</f>
        <v>121.16</v>
      </c>
      <c r="P19">
        <f>SmtRes!AG12</f>
        <v>0.03</v>
      </c>
      <c r="Q19">
        <f>SmtRes!DC12</f>
        <v>0.12</v>
      </c>
      <c r="R19">
        <f>ROUND(ROUND(Q19*Source!I29, 6)*1, 2)</f>
        <v>0.25</v>
      </c>
      <c r="S19">
        <f>SmtRes!AC12</f>
        <v>0.03</v>
      </c>
      <c r="T19">
        <f>ROUND(ROUND(Q19*Source!I29, 6)*SmtRes!AK12, 2)</f>
        <v>0.25</v>
      </c>
      <c r="U19">
        <v>2</v>
      </c>
      <c r="Z19">
        <f>SmtRes!X12</f>
        <v>726862742</v>
      </c>
      <c r="AA19">
        <v>407302162</v>
      </c>
      <c r="AB19">
        <v>489777694</v>
      </c>
    </row>
    <row r="20" spans="1:28" x14ac:dyDescent="0.2">
      <c r="A20">
        <v>20</v>
      </c>
      <c r="B20">
        <v>11</v>
      </c>
      <c r="C20">
        <v>2</v>
      </c>
      <c r="D20">
        <v>0</v>
      </c>
      <c r="E20">
        <f>SmtRes!AV11</f>
        <v>0</v>
      </c>
      <c r="F20" t="str">
        <f>SmtRes!I11</f>
        <v>22.1-30-46</v>
      </c>
      <c r="G20" t="str">
        <f>SmtRes!K11</f>
        <v>Преобразователи частоты тока до 500 А</v>
      </c>
      <c r="H20" t="str">
        <f>SmtRes!O11</f>
        <v>маш.-ч</v>
      </c>
      <c r="I20">
        <f>SmtRes!Y11*Source!I29</f>
        <v>16.225440000000003</v>
      </c>
      <c r="J20">
        <f>SmtRes!AO11</f>
        <v>1</v>
      </c>
      <c r="K20">
        <f>SmtRes!AF11</f>
        <v>33.69</v>
      </c>
      <c r="L20">
        <f>SmtRes!DB11</f>
        <v>259.41000000000003</v>
      </c>
      <c r="M20">
        <f>ROUND(ROUND(L20*Source!I29, 6)*1, 2)</f>
        <v>546.63</v>
      </c>
      <c r="N20">
        <f>SmtRes!AB11</f>
        <v>33.69</v>
      </c>
      <c r="O20">
        <f>ROUND(ROUND(L20*Source!I29, 6)*SmtRes!DA11, 2)</f>
        <v>546.63</v>
      </c>
      <c r="P20">
        <f>SmtRes!AG11</f>
        <v>0.03</v>
      </c>
      <c r="Q20">
        <f>SmtRes!DC11</f>
        <v>0.23</v>
      </c>
      <c r="R20">
        <f>ROUND(ROUND(Q20*Source!I29, 6)*1, 2)</f>
        <v>0.48</v>
      </c>
      <c r="S20">
        <f>SmtRes!AC11</f>
        <v>0.03</v>
      </c>
      <c r="T20">
        <f>ROUND(ROUND(Q20*Source!I29, 6)*SmtRes!AK11, 2)</f>
        <v>0.48</v>
      </c>
      <c r="U20">
        <v>2</v>
      </c>
      <c r="Z20">
        <f>SmtRes!X11</f>
        <v>246536153</v>
      </c>
      <c r="AA20">
        <v>-1810775952</v>
      </c>
      <c r="AB20">
        <v>294932672</v>
      </c>
    </row>
    <row r="21" spans="1:28" x14ac:dyDescent="0.2">
      <c r="A21">
        <v>20</v>
      </c>
      <c r="B21">
        <v>10</v>
      </c>
      <c r="C21">
        <v>2</v>
      </c>
      <c r="D21">
        <v>0</v>
      </c>
      <c r="E21">
        <f>SmtRes!AV10</f>
        <v>0</v>
      </c>
      <c r="F21" t="str">
        <f>SmtRes!I10</f>
        <v>22.1-13-21</v>
      </c>
      <c r="G21" t="str">
        <f>SmtRes!K10</f>
        <v>Печи электрические для сушки сварочных материалов с регулированием температуры в пределах 80-500С</v>
      </c>
      <c r="H21" t="str">
        <f>SmtRes!O10</f>
        <v>маш.-ч</v>
      </c>
      <c r="I21">
        <f>SmtRes!Y10*Source!I29</f>
        <v>0.88502400000000003</v>
      </c>
      <c r="J21">
        <f>SmtRes!AO10</f>
        <v>1</v>
      </c>
      <c r="K21">
        <f>SmtRes!AF10</f>
        <v>60.72</v>
      </c>
      <c r="L21">
        <f>SmtRes!DB10</f>
        <v>25.5</v>
      </c>
      <c r="M21">
        <f>ROUND(ROUND(L21*Source!I29, 6)*1, 2)</f>
        <v>53.73</v>
      </c>
      <c r="N21">
        <f>SmtRes!AB10</f>
        <v>60.72</v>
      </c>
      <c r="O21">
        <f>ROUND(ROUND(L21*Source!I29, 6)*SmtRes!DA10, 2)</f>
        <v>53.73</v>
      </c>
      <c r="P21">
        <f>SmtRes!AG10</f>
        <v>0.55000000000000004</v>
      </c>
      <c r="Q21">
        <f>SmtRes!DC10</f>
        <v>0.23</v>
      </c>
      <c r="R21">
        <f>ROUND(ROUND(Q21*Source!I29, 6)*1, 2)</f>
        <v>0.48</v>
      </c>
      <c r="S21">
        <f>SmtRes!AC10</f>
        <v>0.55000000000000004</v>
      </c>
      <c r="T21">
        <f>ROUND(ROUND(Q21*Source!I29, 6)*SmtRes!AK10, 2)</f>
        <v>0.48</v>
      </c>
      <c r="U21">
        <v>2</v>
      </c>
      <c r="Z21">
        <f>SmtRes!X10</f>
        <v>1477707851</v>
      </c>
      <c r="AA21">
        <v>471177364</v>
      </c>
      <c r="AB21">
        <v>-695259573</v>
      </c>
    </row>
    <row r="22" spans="1:28" x14ac:dyDescent="0.2">
      <c r="A22">
        <f>Source!A30</f>
        <v>18</v>
      </c>
      <c r="B22">
        <v>30</v>
      </c>
      <c r="C22">
        <v>3</v>
      </c>
      <c r="D22">
        <f>Source!BI30</f>
        <v>4</v>
      </c>
      <c r="E22">
        <f>Source!FS30</f>
        <v>0</v>
      </c>
      <c r="F22" t="str">
        <f>Source!F30</f>
        <v>21.1-10-26</v>
      </c>
      <c r="G22" t="str">
        <f>Source!G30</f>
        <v>Профили замкнутые стальные гнутые сварные (трубы квадратные), размер стороны 40 мм, толщина стенки 4 мм (стойки пандуса)</v>
      </c>
      <c r="H22" t="str">
        <f>Source!H30</f>
        <v>т</v>
      </c>
      <c r="I22">
        <f>Source!I30</f>
        <v>0.14162500000000003</v>
      </c>
      <c r="J22">
        <v>1</v>
      </c>
      <c r="K22">
        <f>Source!AC30</f>
        <v>52726.39</v>
      </c>
      <c r="M22">
        <f>ROUND(K22*I22, 2)</f>
        <v>7467.37</v>
      </c>
      <c r="N22">
        <f>Source!AC30*IF(Source!BC30&lt;&gt; 0, Source!BC30, 1)</f>
        <v>52726.39</v>
      </c>
      <c r="O22">
        <f>ROUND(N22*I22, 2)</f>
        <v>7467.37</v>
      </c>
      <c r="P22">
        <f>Source!AE30</f>
        <v>0</v>
      </c>
      <c r="R22">
        <f>ROUND(P22*I22, 2)</f>
        <v>0</v>
      </c>
      <c r="S22">
        <f>Source!AE30*IF(Source!BS30&lt;&gt; 0, Source!BS30, 1)</f>
        <v>0</v>
      </c>
      <c r="T22">
        <f>ROUND(S22*I22, 2)</f>
        <v>0</v>
      </c>
      <c r="U22">
        <v>3</v>
      </c>
      <c r="Z22">
        <f>Source!GF30</f>
        <v>1059393972</v>
      </c>
      <c r="AA22">
        <v>-639952710</v>
      </c>
      <c r="AB22">
        <v>-477714316</v>
      </c>
    </row>
    <row r="23" spans="1:28" x14ac:dyDescent="0.2">
      <c r="A23">
        <v>20</v>
      </c>
      <c r="B23">
        <v>32</v>
      </c>
      <c r="C23">
        <v>3</v>
      </c>
      <c r="D23">
        <v>0</v>
      </c>
      <c r="E23">
        <f>SmtRes!AV32</f>
        <v>0</v>
      </c>
      <c r="F23" t="str">
        <f>SmtRes!I32</f>
        <v>21.7-8-8</v>
      </c>
      <c r="G23" t="str">
        <f>SmtRes!K32</f>
        <v>Кронштейны (крючки) из нержавеющей полированной стали, диаметр 10 мм, для крепления поручня к стойке, под сварку</v>
      </c>
      <c r="H23" t="str">
        <f>SmtRes!O32</f>
        <v>шт.</v>
      </c>
      <c r="I23">
        <f>SmtRes!Y32*Source!I31</f>
        <v>67.012</v>
      </c>
      <c r="J23">
        <f>SmtRes!AO32</f>
        <v>1</v>
      </c>
      <c r="K23">
        <f>SmtRes!AE32</f>
        <v>514.42999999999995</v>
      </c>
      <c r="L23">
        <f>SmtRes!DB32</f>
        <v>11317.46</v>
      </c>
      <c r="M23">
        <f>ROUND(ROUND(L23*Source!I31, 6)*1, 2)</f>
        <v>34472.980000000003</v>
      </c>
      <c r="N23">
        <f>SmtRes!AA32</f>
        <v>514.42999999999995</v>
      </c>
      <c r="O23">
        <f>ROUND(ROUND(L23*Source!I31, 6)*SmtRes!DA32, 2)</f>
        <v>34472.980000000003</v>
      </c>
      <c r="P23">
        <f>SmtRes!AG32</f>
        <v>0</v>
      </c>
      <c r="Q23">
        <f>SmtRes!DC32</f>
        <v>0</v>
      </c>
      <c r="R23">
        <f>ROUND(ROUND(Q23*Source!I31, 6)*1, 2)</f>
        <v>0</v>
      </c>
      <c r="S23">
        <f>SmtRes!AC32</f>
        <v>0</v>
      </c>
      <c r="T23">
        <f>ROUND(ROUND(Q23*Source!I31, 6)*SmtRes!AK32, 2)</f>
        <v>0</v>
      </c>
      <c r="U23">
        <v>3</v>
      </c>
      <c r="Z23">
        <f>SmtRes!X32</f>
        <v>196781382</v>
      </c>
      <c r="AA23">
        <v>-1701892822</v>
      </c>
      <c r="AB23">
        <v>1092985665</v>
      </c>
    </row>
    <row r="24" spans="1:28" x14ac:dyDescent="0.2">
      <c r="A24">
        <v>20</v>
      </c>
      <c r="B24">
        <v>31</v>
      </c>
      <c r="C24">
        <v>3</v>
      </c>
      <c r="D24">
        <v>0</v>
      </c>
      <c r="E24">
        <f>SmtRes!AV31</f>
        <v>0</v>
      </c>
      <c r="F24" t="str">
        <f>SmtRes!I31</f>
        <v>21.7-8-7</v>
      </c>
      <c r="G24" t="str">
        <f>SmtRes!K31</f>
        <v>Крепления боковые из нержавеющей полированной стали для стоек ограждений диаметром 38,1 мм, размеры 90х100 мм</v>
      </c>
      <c r="H24" t="str">
        <f>SmtRes!O31</f>
        <v>шт.</v>
      </c>
      <c r="I24">
        <f>SmtRes!Y31*Source!I31</f>
        <v>33.506</v>
      </c>
      <c r="J24">
        <f>SmtRes!AO31</f>
        <v>1</v>
      </c>
      <c r="K24">
        <f>SmtRes!AE31</f>
        <v>622.54999999999995</v>
      </c>
      <c r="L24">
        <f>SmtRes!DB31</f>
        <v>6848.05</v>
      </c>
      <c r="M24">
        <f>ROUND(ROUND(L24*Source!I31, 6)*1, 2)</f>
        <v>20859.16</v>
      </c>
      <c r="N24">
        <f>SmtRes!AA31</f>
        <v>622.54999999999995</v>
      </c>
      <c r="O24">
        <f>ROUND(ROUND(L24*Source!I31, 6)*SmtRes!DA31, 2)</f>
        <v>20859.16</v>
      </c>
      <c r="P24">
        <f>SmtRes!AG31</f>
        <v>0</v>
      </c>
      <c r="Q24">
        <f>SmtRes!DC31</f>
        <v>0</v>
      </c>
      <c r="R24">
        <f>ROUND(ROUND(Q24*Source!I31, 6)*1, 2)</f>
        <v>0</v>
      </c>
      <c r="S24">
        <f>SmtRes!AC31</f>
        <v>0</v>
      </c>
      <c r="T24">
        <f>ROUND(ROUND(Q24*Source!I31, 6)*SmtRes!AK31, 2)</f>
        <v>0</v>
      </c>
      <c r="U24">
        <v>3</v>
      </c>
      <c r="Z24">
        <f>SmtRes!X31</f>
        <v>-1864413139</v>
      </c>
      <c r="AA24">
        <v>351903355</v>
      </c>
      <c r="AB24">
        <v>-435208069</v>
      </c>
    </row>
    <row r="25" spans="1:28" x14ac:dyDescent="0.2">
      <c r="A25">
        <v>20</v>
      </c>
      <c r="B25">
        <v>30</v>
      </c>
      <c r="C25">
        <v>3</v>
      </c>
      <c r="D25">
        <v>0</v>
      </c>
      <c r="E25">
        <f>SmtRes!AV30</f>
        <v>0</v>
      </c>
      <c r="F25" t="str">
        <f>SmtRes!I30</f>
        <v>21.7-8-6</v>
      </c>
      <c r="G25" t="str">
        <f>SmtRes!K30</f>
        <v>Стойки ограждений из нержавеющей полированной стали, диаметр 38,1 мм, толщина стенки 1,5 мм, высота 1000 мм, в комплекте с заглушкой и крышкой</v>
      </c>
      <c r="H25" t="str">
        <f>SmtRes!O30</f>
        <v>шт.</v>
      </c>
      <c r="I25">
        <f>SmtRes!Y30*Source!I31</f>
        <v>33.506</v>
      </c>
      <c r="J25">
        <f>SmtRes!AO30</f>
        <v>1</v>
      </c>
      <c r="K25">
        <f>SmtRes!AE30</f>
        <v>979.95</v>
      </c>
      <c r="L25">
        <f>SmtRes!DB30</f>
        <v>10779.45</v>
      </c>
      <c r="M25">
        <f>ROUND(ROUND(L25*Source!I31, 6)*1, 2)</f>
        <v>32834.199999999997</v>
      </c>
      <c r="N25">
        <f>SmtRes!AA30</f>
        <v>979.95</v>
      </c>
      <c r="O25">
        <f>ROUND(ROUND(L25*Source!I31, 6)*SmtRes!DA30, 2)</f>
        <v>32834.199999999997</v>
      </c>
      <c r="P25">
        <f>SmtRes!AG30</f>
        <v>0</v>
      </c>
      <c r="Q25">
        <f>SmtRes!DC30</f>
        <v>0</v>
      </c>
      <c r="R25">
        <f>ROUND(ROUND(Q25*Source!I31, 6)*1, 2)</f>
        <v>0</v>
      </c>
      <c r="S25">
        <f>SmtRes!AC30</f>
        <v>0</v>
      </c>
      <c r="T25">
        <f>ROUND(ROUND(Q25*Source!I31, 6)*SmtRes!AK30, 2)</f>
        <v>0</v>
      </c>
      <c r="U25">
        <v>3</v>
      </c>
      <c r="Z25">
        <f>SmtRes!X30</f>
        <v>-1578719328</v>
      </c>
      <c r="AA25">
        <v>637923392</v>
      </c>
      <c r="AB25">
        <v>1070193733</v>
      </c>
    </row>
    <row r="26" spans="1:28" x14ac:dyDescent="0.2">
      <c r="A26">
        <v>20</v>
      </c>
      <c r="B26">
        <v>29</v>
      </c>
      <c r="C26">
        <v>3</v>
      </c>
      <c r="D26">
        <v>0</v>
      </c>
      <c r="E26">
        <f>SmtRes!AV29</f>
        <v>0</v>
      </c>
      <c r="F26" t="str">
        <f>SmtRes!I29</f>
        <v>21.1-4-1</v>
      </c>
      <c r="G26" t="str">
        <f>SmtRes!K29</f>
        <v>Аргон газообразный</v>
      </c>
      <c r="H26" t="str">
        <f>SmtRes!O29</f>
        <v>м3</v>
      </c>
      <c r="I26">
        <f>SmtRes!Y29*Source!I31</f>
        <v>1.9372559999999999</v>
      </c>
      <c r="J26">
        <f>SmtRes!AO29</f>
        <v>1</v>
      </c>
      <c r="K26">
        <f>SmtRes!AE29</f>
        <v>479.86</v>
      </c>
      <c r="L26">
        <f>SmtRes!DB29</f>
        <v>305.19</v>
      </c>
      <c r="M26">
        <f>ROUND(ROUND(L26*Source!I31, 6)*1, 2)</f>
        <v>929.61</v>
      </c>
      <c r="N26">
        <f>SmtRes!AA29</f>
        <v>479.86</v>
      </c>
      <c r="O26">
        <f>ROUND(ROUND(L26*Source!I31, 6)*SmtRes!DA29, 2)</f>
        <v>929.61</v>
      </c>
      <c r="P26">
        <f>SmtRes!AG29</f>
        <v>0</v>
      </c>
      <c r="Q26">
        <f>SmtRes!DC29</f>
        <v>0</v>
      </c>
      <c r="R26">
        <f>ROUND(ROUND(Q26*Source!I31, 6)*1, 2)</f>
        <v>0</v>
      </c>
      <c r="S26">
        <f>SmtRes!AC29</f>
        <v>0</v>
      </c>
      <c r="T26">
        <f>ROUND(ROUND(Q26*Source!I31, 6)*SmtRes!AK29, 2)</f>
        <v>0</v>
      </c>
      <c r="U26">
        <v>3</v>
      </c>
      <c r="Z26">
        <f>SmtRes!X29</f>
        <v>-67080174</v>
      </c>
      <c r="AA26">
        <v>-490992388</v>
      </c>
      <c r="AB26">
        <v>-1101868586</v>
      </c>
    </row>
    <row r="27" spans="1:28" x14ac:dyDescent="0.2">
      <c r="A27">
        <v>20</v>
      </c>
      <c r="B27">
        <v>28</v>
      </c>
      <c r="C27">
        <v>3</v>
      </c>
      <c r="D27">
        <v>0</v>
      </c>
      <c r="E27">
        <f>SmtRes!AV28</f>
        <v>0</v>
      </c>
      <c r="F27" t="str">
        <f>SmtRes!I28</f>
        <v>21.12-7-67</v>
      </c>
      <c r="G27" t="str">
        <f>SmtRes!K28</f>
        <v>Трубы электросварные из коррозионностойкой стали марки AISI 304, полированные, наружный диаметр 38,0 мм, толщина стенки 1,5 мм</v>
      </c>
      <c r="H27" t="str">
        <f>SmtRes!O28</f>
        <v>м</v>
      </c>
      <c r="I27">
        <f>SmtRes!Y28*Source!I31</f>
        <v>67.682119999999998</v>
      </c>
      <c r="J27">
        <f>SmtRes!AO28</f>
        <v>1</v>
      </c>
      <c r="K27">
        <f>SmtRes!AE28</f>
        <v>481.95</v>
      </c>
      <c r="L27">
        <f>SmtRes!DB28</f>
        <v>10708.93</v>
      </c>
      <c r="M27">
        <f>ROUND(ROUND(L27*Source!I31, 6)*1, 2)</f>
        <v>32619.4</v>
      </c>
      <c r="N27">
        <f>SmtRes!AA28</f>
        <v>481.95</v>
      </c>
      <c r="O27">
        <f>ROUND(ROUND(L27*Source!I31, 6)*SmtRes!DA28, 2)</f>
        <v>32619.4</v>
      </c>
      <c r="P27">
        <f>SmtRes!AG28</f>
        <v>0</v>
      </c>
      <c r="Q27">
        <f>SmtRes!DC28</f>
        <v>0</v>
      </c>
      <c r="R27">
        <f>ROUND(ROUND(Q27*Source!I31, 6)*1, 2)</f>
        <v>0</v>
      </c>
      <c r="S27">
        <f>SmtRes!AC28</f>
        <v>0</v>
      </c>
      <c r="T27">
        <f>ROUND(ROUND(Q27*Source!I31, 6)*SmtRes!AK28, 2)</f>
        <v>0</v>
      </c>
      <c r="U27">
        <v>3</v>
      </c>
      <c r="Z27">
        <f>SmtRes!X28</f>
        <v>1175220695</v>
      </c>
      <c r="AA27">
        <v>1909953560</v>
      </c>
      <c r="AB27">
        <v>-1091420962</v>
      </c>
    </row>
    <row r="28" spans="1:28" x14ac:dyDescent="0.2">
      <c r="A28">
        <v>20</v>
      </c>
      <c r="B28">
        <v>27</v>
      </c>
      <c r="C28">
        <v>3</v>
      </c>
      <c r="D28">
        <v>0</v>
      </c>
      <c r="E28">
        <f>SmtRes!AV27</f>
        <v>0</v>
      </c>
      <c r="F28" t="str">
        <f>SmtRes!I27</f>
        <v>21.1-25-875</v>
      </c>
      <c r="G28" t="str">
        <f>SmtRes!K27</f>
        <v>Круги шлифовальные лепестковые торцевые на тканевой основе Р24-Р400, размеры 125х22 мм</v>
      </c>
      <c r="H28" t="str">
        <f>SmtRes!O27</f>
        <v>шт.</v>
      </c>
      <c r="I28">
        <f>SmtRes!Y27*Source!I31</f>
        <v>0.67621199999999992</v>
      </c>
      <c r="J28">
        <f>SmtRes!AO27</f>
        <v>1</v>
      </c>
      <c r="K28">
        <f>SmtRes!AE27</f>
        <v>80.48</v>
      </c>
      <c r="L28">
        <f>SmtRes!DB27</f>
        <v>17.87</v>
      </c>
      <c r="M28">
        <f>ROUND(ROUND(L28*Source!I31, 6)*1, 2)</f>
        <v>54.43</v>
      </c>
      <c r="N28">
        <f>SmtRes!AA27</f>
        <v>80.48</v>
      </c>
      <c r="O28">
        <f>ROUND(ROUND(L28*Source!I31, 6)*SmtRes!DA27, 2)</f>
        <v>54.43</v>
      </c>
      <c r="P28">
        <f>SmtRes!AG27</f>
        <v>0</v>
      </c>
      <c r="Q28">
        <f>SmtRes!DC27</f>
        <v>0</v>
      </c>
      <c r="R28">
        <f>ROUND(ROUND(Q28*Source!I31, 6)*1, 2)</f>
        <v>0</v>
      </c>
      <c r="S28">
        <f>SmtRes!AC27</f>
        <v>0</v>
      </c>
      <c r="T28">
        <f>ROUND(ROUND(Q28*Source!I31, 6)*SmtRes!AK27, 2)</f>
        <v>0</v>
      </c>
      <c r="U28">
        <v>3</v>
      </c>
      <c r="Z28">
        <f>SmtRes!X27</f>
        <v>-831186859</v>
      </c>
      <c r="AA28">
        <v>959174212</v>
      </c>
      <c r="AB28">
        <v>-453202312</v>
      </c>
    </row>
    <row r="29" spans="1:28" x14ac:dyDescent="0.2">
      <c r="A29">
        <v>20</v>
      </c>
      <c r="B29">
        <v>26</v>
      </c>
      <c r="C29">
        <v>3</v>
      </c>
      <c r="D29">
        <v>0</v>
      </c>
      <c r="E29">
        <f>SmtRes!AV26</f>
        <v>0</v>
      </c>
      <c r="F29" t="str">
        <f>SmtRes!I26</f>
        <v>21.1-25-1011</v>
      </c>
      <c r="G29" t="str">
        <f>SmtRes!K26</f>
        <v>Диски шлифовальные на бумажной основе Р40-Р2000, диаметр 125 мм</v>
      </c>
      <c r="H29" t="str">
        <f>SmtRes!O26</f>
        <v>шт.</v>
      </c>
      <c r="I29">
        <f>SmtRes!Y26*Source!I31</f>
        <v>129.85097999999999</v>
      </c>
      <c r="J29">
        <f>SmtRes!AO26</f>
        <v>1</v>
      </c>
      <c r="K29">
        <f>SmtRes!AE26</f>
        <v>30.05</v>
      </c>
      <c r="L29">
        <f>SmtRes!DB26</f>
        <v>1281.03</v>
      </c>
      <c r="M29">
        <f>ROUND(ROUND(L29*Source!I31, 6)*1, 2)</f>
        <v>3902.02</v>
      </c>
      <c r="N29">
        <f>SmtRes!AA26</f>
        <v>30.05</v>
      </c>
      <c r="O29">
        <f>ROUND(ROUND(L29*Source!I31, 6)*SmtRes!DA26, 2)</f>
        <v>3902.02</v>
      </c>
      <c r="P29">
        <f>SmtRes!AG26</f>
        <v>0</v>
      </c>
      <c r="Q29">
        <f>SmtRes!DC26</f>
        <v>0</v>
      </c>
      <c r="R29">
        <f>ROUND(ROUND(Q29*Source!I31, 6)*1, 2)</f>
        <v>0</v>
      </c>
      <c r="S29">
        <f>SmtRes!AC26</f>
        <v>0</v>
      </c>
      <c r="T29">
        <f>ROUND(ROUND(Q29*Source!I31, 6)*SmtRes!AK26, 2)</f>
        <v>0</v>
      </c>
      <c r="U29">
        <v>3</v>
      </c>
      <c r="Z29">
        <f>SmtRes!X26</f>
        <v>23491763</v>
      </c>
      <c r="AA29">
        <v>-1972237266</v>
      </c>
      <c r="AB29">
        <v>844328232</v>
      </c>
    </row>
    <row r="30" spans="1:28" x14ac:dyDescent="0.2">
      <c r="A30">
        <v>20</v>
      </c>
      <c r="B30">
        <v>25</v>
      </c>
      <c r="C30">
        <v>3</v>
      </c>
      <c r="D30">
        <v>0</v>
      </c>
      <c r="E30">
        <f>SmtRes!AV25</f>
        <v>0</v>
      </c>
      <c r="F30" t="str">
        <f>SmtRes!I25</f>
        <v>21.1-23-1</v>
      </c>
      <c r="G30" t="str">
        <f>SmtRes!K25</f>
        <v>Проволока сварочная, марка СВ-08 Г2С, диаметр 2 мм</v>
      </c>
      <c r="H30" t="str">
        <f>SmtRes!O25</f>
        <v>кг</v>
      </c>
      <c r="I30">
        <f>SmtRes!Y25*Source!I31</f>
        <v>1.337194</v>
      </c>
      <c r="J30">
        <f>SmtRes!AO25</f>
        <v>1</v>
      </c>
      <c r="K30">
        <f>SmtRes!AE25</f>
        <v>168.83</v>
      </c>
      <c r="L30">
        <f>SmtRes!DB25</f>
        <v>74.12</v>
      </c>
      <c r="M30">
        <f>ROUND(ROUND(L30*Source!I31, 6)*1, 2)</f>
        <v>225.77</v>
      </c>
      <c r="N30">
        <f>SmtRes!AA25</f>
        <v>168.83</v>
      </c>
      <c r="O30">
        <f>ROUND(ROUND(L30*Source!I31, 6)*SmtRes!DA25, 2)</f>
        <v>225.77</v>
      </c>
      <c r="P30">
        <f>SmtRes!AG25</f>
        <v>0</v>
      </c>
      <c r="Q30">
        <f>SmtRes!DC25</f>
        <v>0</v>
      </c>
      <c r="R30">
        <f>ROUND(ROUND(Q30*Source!I31, 6)*1, 2)</f>
        <v>0</v>
      </c>
      <c r="S30">
        <f>SmtRes!AC25</f>
        <v>0</v>
      </c>
      <c r="T30">
        <f>ROUND(ROUND(Q30*Source!I31, 6)*SmtRes!AK25, 2)</f>
        <v>0</v>
      </c>
      <c r="U30">
        <v>3</v>
      </c>
      <c r="Z30">
        <f>SmtRes!X25</f>
        <v>737612236</v>
      </c>
      <c r="AA30">
        <v>-997112126</v>
      </c>
      <c r="AB30">
        <v>2084596214</v>
      </c>
    </row>
    <row r="31" spans="1:28" x14ac:dyDescent="0.2">
      <c r="A31">
        <v>20</v>
      </c>
      <c r="B31">
        <v>24</v>
      </c>
      <c r="C31">
        <v>3</v>
      </c>
      <c r="D31">
        <v>0</v>
      </c>
      <c r="E31">
        <f>SmtRes!AV24</f>
        <v>0</v>
      </c>
      <c r="F31" t="str">
        <f>SmtRes!I24</f>
        <v>21.1-10-283</v>
      </c>
      <c r="G31" t="str">
        <f>SmtRes!K24</f>
        <v>Сталь круглая нержавеющая, полированная, диаметр 16 мм</v>
      </c>
      <c r="H31" t="str">
        <f>SmtRes!O24</f>
        <v>т</v>
      </c>
      <c r="I31">
        <f>SmtRes!Y24*Source!I31</f>
        <v>5.4827999999999995E-2</v>
      </c>
      <c r="J31">
        <f>SmtRes!AO24</f>
        <v>1</v>
      </c>
      <c r="K31">
        <f>SmtRes!AE24</f>
        <v>313897.40999999997</v>
      </c>
      <c r="L31">
        <f>SmtRes!DB24</f>
        <v>5650.15</v>
      </c>
      <c r="M31">
        <f>ROUND(ROUND(L31*Source!I31, 6)*1, 2)</f>
        <v>17210.36</v>
      </c>
      <c r="N31">
        <f>SmtRes!AA24</f>
        <v>313897.40999999997</v>
      </c>
      <c r="O31">
        <f>ROUND(ROUND(L31*Source!I31, 6)*SmtRes!DA24, 2)</f>
        <v>17210.36</v>
      </c>
      <c r="P31">
        <f>SmtRes!AG24</f>
        <v>0</v>
      </c>
      <c r="Q31">
        <f>SmtRes!DC24</f>
        <v>0</v>
      </c>
      <c r="R31">
        <f>ROUND(ROUND(Q31*Source!I31, 6)*1, 2)</f>
        <v>0</v>
      </c>
      <c r="S31">
        <f>SmtRes!AC24</f>
        <v>0</v>
      </c>
      <c r="T31">
        <f>ROUND(ROUND(Q31*Source!I31, 6)*SmtRes!AK24, 2)</f>
        <v>0</v>
      </c>
      <c r="U31">
        <v>3</v>
      </c>
      <c r="Z31">
        <f>SmtRes!X24</f>
        <v>-1506970354</v>
      </c>
      <c r="AA31">
        <v>1175962424</v>
      </c>
      <c r="AB31">
        <v>1490383787</v>
      </c>
    </row>
    <row r="32" spans="1:28" x14ac:dyDescent="0.2">
      <c r="A32">
        <v>20</v>
      </c>
      <c r="B32">
        <v>23</v>
      </c>
      <c r="C32">
        <v>2</v>
      </c>
      <c r="D32">
        <v>0</v>
      </c>
      <c r="E32">
        <f>SmtRes!AV23</f>
        <v>0</v>
      </c>
      <c r="F32" t="str">
        <f>SmtRes!I23</f>
        <v>22.1-30-41</v>
      </c>
      <c r="G32" t="str">
        <f>SmtRes!K23</f>
        <v>Станки трубогибочные для труб диаметром 200-500 мм</v>
      </c>
      <c r="H32" t="str">
        <f>SmtRes!O23</f>
        <v>маш.-ч</v>
      </c>
      <c r="I32">
        <f>SmtRes!Y23*Source!I31</f>
        <v>1.0356400000000001</v>
      </c>
      <c r="J32">
        <f>SmtRes!AO23</f>
        <v>1</v>
      </c>
      <c r="K32">
        <f>SmtRes!AF23</f>
        <v>763.41</v>
      </c>
      <c r="L32">
        <f>SmtRes!DB23</f>
        <v>259.56</v>
      </c>
      <c r="M32">
        <f>ROUND(ROUND(L32*Source!I31, 6)*1, 2)</f>
        <v>790.62</v>
      </c>
      <c r="N32">
        <f>SmtRes!AB23</f>
        <v>763.41</v>
      </c>
      <c r="O32">
        <f>ROUND(ROUND(L32*Source!I31, 6)*SmtRes!DA23, 2)</f>
        <v>790.62</v>
      </c>
      <c r="P32">
        <f>SmtRes!AG23</f>
        <v>685.33</v>
      </c>
      <c r="Q32">
        <f>SmtRes!DC23</f>
        <v>233.01</v>
      </c>
      <c r="R32">
        <f>ROUND(ROUND(Q32*Source!I31, 6)*1, 2)</f>
        <v>709.75</v>
      </c>
      <c r="S32">
        <f>SmtRes!AC23</f>
        <v>685.33</v>
      </c>
      <c r="T32">
        <f>ROUND(ROUND(Q32*Source!I31, 6)*SmtRes!AK23, 2)</f>
        <v>709.75</v>
      </c>
      <c r="U32">
        <v>2</v>
      </c>
      <c r="Z32">
        <f>SmtRes!X23</f>
        <v>1381500738</v>
      </c>
      <c r="AA32">
        <v>689421005</v>
      </c>
      <c r="AB32">
        <v>136459195</v>
      </c>
    </row>
    <row r="33" spans="1:28" x14ac:dyDescent="0.2">
      <c r="A33">
        <v>20</v>
      </c>
      <c r="B33">
        <v>22</v>
      </c>
      <c r="C33">
        <v>2</v>
      </c>
      <c r="D33">
        <v>0</v>
      </c>
      <c r="E33">
        <f>SmtRes!AV22</f>
        <v>0</v>
      </c>
      <c r="F33" t="str">
        <f>SmtRes!I22</f>
        <v>22.1-30-28</v>
      </c>
      <c r="G33" t="str">
        <f>SmtRes!K22</f>
        <v>Пилы маятниковые, диаметр диска 400 мм</v>
      </c>
      <c r="H33" t="str">
        <f>SmtRes!O22</f>
        <v>маш.-ч</v>
      </c>
      <c r="I33">
        <f>SmtRes!Y22*Source!I31</f>
        <v>0.57873999999999992</v>
      </c>
      <c r="J33">
        <f>SmtRes!AO22</f>
        <v>1</v>
      </c>
      <c r="K33">
        <f>SmtRes!AF22</f>
        <v>17.14</v>
      </c>
      <c r="L33">
        <f>SmtRes!DB22</f>
        <v>3.26</v>
      </c>
      <c r="M33">
        <f>ROUND(ROUND(L33*Source!I31, 6)*1, 2)</f>
        <v>9.93</v>
      </c>
      <c r="N33">
        <f>SmtRes!AB22</f>
        <v>17.14</v>
      </c>
      <c r="O33">
        <f>ROUND(ROUND(L33*Source!I31, 6)*SmtRes!DA22, 2)</f>
        <v>9.93</v>
      </c>
      <c r="P33">
        <f>SmtRes!AG22</f>
        <v>1.33</v>
      </c>
      <c r="Q33">
        <f>SmtRes!DC22</f>
        <v>0.25</v>
      </c>
      <c r="R33">
        <f>ROUND(ROUND(Q33*Source!I31, 6)*1, 2)</f>
        <v>0.76</v>
      </c>
      <c r="S33">
        <f>SmtRes!AC22</f>
        <v>1.33</v>
      </c>
      <c r="T33">
        <f>ROUND(ROUND(Q33*Source!I31, 6)*SmtRes!AK22, 2)</f>
        <v>0.76</v>
      </c>
      <c r="U33">
        <v>2</v>
      </c>
      <c r="Z33">
        <f>SmtRes!X22</f>
        <v>-959077724</v>
      </c>
      <c r="AA33">
        <v>-1889286429</v>
      </c>
      <c r="AB33">
        <v>927868654</v>
      </c>
    </row>
    <row r="34" spans="1:28" x14ac:dyDescent="0.2">
      <c r="A34">
        <v>20</v>
      </c>
      <c r="B34">
        <v>21</v>
      </c>
      <c r="C34">
        <v>2</v>
      </c>
      <c r="D34">
        <v>0</v>
      </c>
      <c r="E34">
        <f>SmtRes!AV21</f>
        <v>0</v>
      </c>
      <c r="F34" t="str">
        <f>SmtRes!I21</f>
        <v>22.1-30-19</v>
      </c>
      <c r="G34" t="str">
        <f>SmtRes!K21</f>
        <v>Машины шлифовальные электрические</v>
      </c>
      <c r="H34" t="str">
        <f>SmtRes!O21</f>
        <v>маш.-ч</v>
      </c>
      <c r="I34">
        <f>SmtRes!Y21*Source!I31</f>
        <v>65.367159999999998</v>
      </c>
      <c r="J34">
        <f>SmtRes!AO21</f>
        <v>1</v>
      </c>
      <c r="K34">
        <f>SmtRes!AF21</f>
        <v>4.74</v>
      </c>
      <c r="L34">
        <f>SmtRes!DB21</f>
        <v>101.72</v>
      </c>
      <c r="M34">
        <f>ROUND(ROUND(L34*Source!I31, 6)*1, 2)</f>
        <v>309.83999999999997</v>
      </c>
      <c r="N34">
        <f>SmtRes!AB21</f>
        <v>4.74</v>
      </c>
      <c r="O34">
        <f>ROUND(ROUND(L34*Source!I31, 6)*SmtRes!DA21, 2)</f>
        <v>309.83999999999997</v>
      </c>
      <c r="P34">
        <f>SmtRes!AG21</f>
        <v>0.02</v>
      </c>
      <c r="Q34">
        <f>SmtRes!DC21</f>
        <v>0.43</v>
      </c>
      <c r="R34">
        <f>ROUND(ROUND(Q34*Source!I31, 6)*1, 2)</f>
        <v>1.31</v>
      </c>
      <c r="S34">
        <f>SmtRes!AC21</f>
        <v>0.02</v>
      </c>
      <c r="T34">
        <f>ROUND(ROUND(Q34*Source!I31, 6)*SmtRes!AK21, 2)</f>
        <v>1.31</v>
      </c>
      <c r="U34">
        <v>2</v>
      </c>
      <c r="Z34">
        <f>SmtRes!X21</f>
        <v>-1806812241</v>
      </c>
      <c r="AA34">
        <v>-2097639812</v>
      </c>
      <c r="AB34">
        <v>1572749127</v>
      </c>
    </row>
    <row r="35" spans="1:28" x14ac:dyDescent="0.2">
      <c r="A35">
        <v>20</v>
      </c>
      <c r="B35">
        <v>20</v>
      </c>
      <c r="C35">
        <v>2</v>
      </c>
      <c r="D35">
        <v>0</v>
      </c>
      <c r="E35">
        <f>SmtRes!AV20</f>
        <v>0</v>
      </c>
      <c r="F35" t="str">
        <f>SmtRes!I20</f>
        <v>22.1-18-24</v>
      </c>
      <c r="G35" t="str">
        <f>SmtRes!K20</f>
        <v>Автомобили полупассажирские типа ГАЗ, грузоподъемность до 2 т</v>
      </c>
      <c r="H35" t="str">
        <f>SmtRes!O20</f>
        <v>маш.-ч</v>
      </c>
      <c r="I35">
        <f>SmtRes!Y20*Source!I31</f>
        <v>9.1379999999999989E-2</v>
      </c>
      <c r="J35">
        <f>SmtRes!AO20</f>
        <v>1</v>
      </c>
      <c r="K35">
        <f>SmtRes!AF20</f>
        <v>1335.8</v>
      </c>
      <c r="L35">
        <f>SmtRes!DB20</f>
        <v>40.07</v>
      </c>
      <c r="M35">
        <f>ROUND(ROUND(L35*Source!I31, 6)*1, 2)</f>
        <v>122.05</v>
      </c>
      <c r="N35">
        <f>SmtRes!AB20</f>
        <v>1335.8</v>
      </c>
      <c r="O35">
        <f>ROUND(ROUND(L35*Source!I31, 6)*SmtRes!DA20, 2)</f>
        <v>122.05</v>
      </c>
      <c r="P35">
        <f>SmtRes!AG20</f>
        <v>668.13</v>
      </c>
      <c r="Q35">
        <f>SmtRes!DC20</f>
        <v>20.04</v>
      </c>
      <c r="R35">
        <f>ROUND(ROUND(Q35*Source!I31, 6)*1, 2)</f>
        <v>61.04</v>
      </c>
      <c r="S35">
        <f>SmtRes!AC20</f>
        <v>668.13</v>
      </c>
      <c r="T35">
        <f>ROUND(ROUND(Q35*Source!I31, 6)*SmtRes!AK20, 2)</f>
        <v>61.04</v>
      </c>
      <c r="U35">
        <v>2</v>
      </c>
      <c r="Z35">
        <f>SmtRes!X20</f>
        <v>1391077869</v>
      </c>
      <c r="AA35">
        <v>2091614567</v>
      </c>
      <c r="AB35">
        <v>1979946849</v>
      </c>
    </row>
    <row r="36" spans="1:28" x14ac:dyDescent="0.2">
      <c r="A36">
        <v>20</v>
      </c>
      <c r="B36">
        <v>19</v>
      </c>
      <c r="C36">
        <v>2</v>
      </c>
      <c r="D36">
        <v>0</v>
      </c>
      <c r="E36">
        <f>SmtRes!AV19</f>
        <v>0</v>
      </c>
      <c r="F36" t="str">
        <f>SmtRes!I19</f>
        <v>22.1-13-14</v>
      </c>
      <c r="G36" t="str">
        <f>SmtRes!K19</f>
        <v>Установки для сварки ручной дуговой (постоянного тока)</v>
      </c>
      <c r="H36" t="str">
        <f>SmtRes!O19</f>
        <v>маш.-ч</v>
      </c>
      <c r="I36">
        <f>SmtRes!Y19*Source!I31</f>
        <v>10.752379999999999</v>
      </c>
      <c r="J36">
        <f>SmtRes!AO19</f>
        <v>1</v>
      </c>
      <c r="K36">
        <f>SmtRes!AF19</f>
        <v>34.270000000000003</v>
      </c>
      <c r="L36">
        <f>SmtRes!DB19</f>
        <v>120.97</v>
      </c>
      <c r="M36">
        <f>ROUND(ROUND(L36*Source!I31, 6)*1, 2)</f>
        <v>368.47</v>
      </c>
      <c r="N36">
        <f>SmtRes!AB19</f>
        <v>34.270000000000003</v>
      </c>
      <c r="O36">
        <f>ROUND(ROUND(L36*Source!I31, 6)*SmtRes!DA19, 2)</f>
        <v>368.47</v>
      </c>
      <c r="P36">
        <f>SmtRes!AG19</f>
        <v>0.23</v>
      </c>
      <c r="Q36">
        <f>SmtRes!DC19</f>
        <v>0.81</v>
      </c>
      <c r="R36">
        <f>ROUND(ROUND(Q36*Source!I31, 6)*1, 2)</f>
        <v>2.4700000000000002</v>
      </c>
      <c r="S36">
        <f>SmtRes!AC19</f>
        <v>0.23</v>
      </c>
      <c r="T36">
        <f>ROUND(ROUND(Q36*Source!I31, 6)*SmtRes!AK19, 2)</f>
        <v>2.4700000000000002</v>
      </c>
      <c r="U36">
        <v>2</v>
      </c>
      <c r="Z36">
        <f>SmtRes!X19</f>
        <v>-982416638</v>
      </c>
      <c r="AA36">
        <v>1866423223</v>
      </c>
      <c r="AB36">
        <v>-239416640</v>
      </c>
    </row>
    <row r="37" spans="1:28" x14ac:dyDescent="0.2">
      <c r="A37">
        <v>20</v>
      </c>
      <c r="B37">
        <v>41</v>
      </c>
      <c r="C37">
        <v>3</v>
      </c>
      <c r="D37">
        <v>0</v>
      </c>
      <c r="E37">
        <f>SmtRes!AV41</f>
        <v>0</v>
      </c>
      <c r="F37" t="str">
        <f>SmtRes!I41</f>
        <v>21.1-25-13</v>
      </c>
      <c r="G37" t="str">
        <f>SmtRes!K41</f>
        <v>Вода</v>
      </c>
      <c r="H37" t="str">
        <f>SmtRes!O41</f>
        <v>м3</v>
      </c>
      <c r="I37">
        <f>SmtRes!Y41*Source!I32</f>
        <v>0.09</v>
      </c>
      <c r="J37">
        <f>SmtRes!AO41</f>
        <v>1</v>
      </c>
      <c r="K37">
        <f>SmtRes!AE41</f>
        <v>49.83</v>
      </c>
      <c r="L37">
        <f>SmtRes!DB41</f>
        <v>1245.75</v>
      </c>
      <c r="M37">
        <f>ROUND(ROUND(L37*Source!I32, 6)*1, 2)</f>
        <v>4.4800000000000004</v>
      </c>
      <c r="N37">
        <f>SmtRes!AA41</f>
        <v>49.83</v>
      </c>
      <c r="O37">
        <f>ROUND(ROUND(L37*Source!I32, 6)*SmtRes!DA41, 2)</f>
        <v>4.4800000000000004</v>
      </c>
      <c r="P37">
        <f>SmtRes!AG41</f>
        <v>0</v>
      </c>
      <c r="Q37">
        <f>SmtRes!DC41</f>
        <v>0</v>
      </c>
      <c r="R37">
        <f>ROUND(ROUND(Q37*Source!I32, 6)*1, 2)</f>
        <v>0</v>
      </c>
      <c r="S37">
        <f>SmtRes!AC41</f>
        <v>0</v>
      </c>
      <c r="T37">
        <f>ROUND(ROUND(Q37*Source!I32, 6)*SmtRes!AK41, 2)</f>
        <v>0</v>
      </c>
      <c r="U37">
        <v>3</v>
      </c>
      <c r="Z37">
        <f>SmtRes!X41</f>
        <v>-1393929784</v>
      </c>
      <c r="AA37">
        <v>-568288822</v>
      </c>
      <c r="AB37">
        <v>-1097784124</v>
      </c>
    </row>
    <row r="38" spans="1:28" x14ac:dyDescent="0.2">
      <c r="A38">
        <v>20</v>
      </c>
      <c r="B38">
        <v>40</v>
      </c>
      <c r="C38">
        <v>3</v>
      </c>
      <c r="D38">
        <v>0</v>
      </c>
      <c r="E38">
        <f>SmtRes!AV40</f>
        <v>0</v>
      </c>
      <c r="F38" t="str">
        <f>SmtRes!I40</f>
        <v>21.1-12-36</v>
      </c>
      <c r="G38" t="str">
        <f>SmtRes!K40</f>
        <v>Щебень из естественного камня для строительных работ, марка 1200-800, фракция 20-40 мм</v>
      </c>
      <c r="H38" t="str">
        <f>SmtRes!O40</f>
        <v>м3</v>
      </c>
      <c r="I38">
        <f>SmtRes!Y40*Source!I32</f>
        <v>0.19799999999999998</v>
      </c>
      <c r="J38">
        <f>SmtRes!AO40</f>
        <v>1</v>
      </c>
      <c r="K38">
        <f>SmtRes!AE40</f>
        <v>2861.1</v>
      </c>
      <c r="L38">
        <f>SmtRes!DB40</f>
        <v>157360.5</v>
      </c>
      <c r="M38">
        <f>ROUND(ROUND(L38*Source!I32, 6)*1, 2)</f>
        <v>566.5</v>
      </c>
      <c r="N38">
        <f>SmtRes!AA40</f>
        <v>2861.1</v>
      </c>
      <c r="O38">
        <f>ROUND(ROUND(L38*Source!I32, 6)*SmtRes!DA40, 2)</f>
        <v>566.5</v>
      </c>
      <c r="P38">
        <f>SmtRes!AG40</f>
        <v>0</v>
      </c>
      <c r="Q38">
        <f>SmtRes!DC40</f>
        <v>0</v>
      </c>
      <c r="R38">
        <f>ROUND(ROUND(Q38*Source!I32, 6)*1, 2)</f>
        <v>0</v>
      </c>
      <c r="S38">
        <f>SmtRes!AC40</f>
        <v>0</v>
      </c>
      <c r="T38">
        <f>ROUND(ROUND(Q38*Source!I32, 6)*SmtRes!AK40, 2)</f>
        <v>0</v>
      </c>
      <c r="U38">
        <v>3</v>
      </c>
      <c r="Z38">
        <f>SmtRes!X40</f>
        <v>1244762658</v>
      </c>
      <c r="AA38">
        <v>1411454743</v>
      </c>
      <c r="AB38">
        <v>74696637</v>
      </c>
    </row>
    <row r="39" spans="1:28" x14ac:dyDescent="0.2">
      <c r="A39">
        <v>20</v>
      </c>
      <c r="B39">
        <v>39</v>
      </c>
      <c r="C39">
        <v>3</v>
      </c>
      <c r="D39">
        <v>0</v>
      </c>
      <c r="E39">
        <f>SmtRes!AV39</f>
        <v>0</v>
      </c>
      <c r="F39" t="str">
        <f>SmtRes!I39</f>
        <v>21.1-12-35</v>
      </c>
      <c r="G39" t="str">
        <f>SmtRes!K39</f>
        <v>Щебень из естественного камня для строительных работ, марка 1200-800, фракция 10-20 мм</v>
      </c>
      <c r="H39" t="str">
        <f>SmtRes!O39</f>
        <v>м3</v>
      </c>
      <c r="I39">
        <f>SmtRes!Y39*Source!I32</f>
        <v>4.1399999999999999E-2</v>
      </c>
      <c r="J39">
        <f>SmtRes!AO39</f>
        <v>1</v>
      </c>
      <c r="K39">
        <f>SmtRes!AE39</f>
        <v>2971.32</v>
      </c>
      <c r="L39">
        <f>SmtRes!DB39</f>
        <v>34170.18</v>
      </c>
      <c r="M39">
        <f>ROUND(ROUND(L39*Source!I32, 6)*1, 2)</f>
        <v>123.01</v>
      </c>
      <c r="N39">
        <f>SmtRes!AA39</f>
        <v>2971.32</v>
      </c>
      <c r="O39">
        <f>ROUND(ROUND(L39*Source!I32, 6)*SmtRes!DA39, 2)</f>
        <v>123.01</v>
      </c>
      <c r="P39">
        <f>SmtRes!AG39</f>
        <v>0</v>
      </c>
      <c r="Q39">
        <f>SmtRes!DC39</f>
        <v>0</v>
      </c>
      <c r="R39">
        <f>ROUND(ROUND(Q39*Source!I32, 6)*1, 2)</f>
        <v>0</v>
      </c>
      <c r="S39">
        <f>SmtRes!AC39</f>
        <v>0</v>
      </c>
      <c r="T39">
        <f>ROUND(ROUND(Q39*Source!I32, 6)*SmtRes!AK39, 2)</f>
        <v>0</v>
      </c>
      <c r="U39">
        <v>3</v>
      </c>
      <c r="Z39">
        <f>SmtRes!X39</f>
        <v>-1601021275</v>
      </c>
      <c r="AA39">
        <v>-1197492034</v>
      </c>
      <c r="AB39">
        <v>1987014704</v>
      </c>
    </row>
    <row r="40" spans="1:28" x14ac:dyDescent="0.2">
      <c r="A40">
        <v>20</v>
      </c>
      <c r="B40">
        <v>38</v>
      </c>
      <c r="C40">
        <v>2</v>
      </c>
      <c r="D40">
        <v>0</v>
      </c>
      <c r="E40">
        <f>SmtRes!AV38</f>
        <v>0</v>
      </c>
      <c r="F40" t="str">
        <f>SmtRes!I38</f>
        <v>22.1-5-47</v>
      </c>
      <c r="G40" t="str">
        <f>SmtRes!K38</f>
        <v>Автогрейдеры, мощность 66-88 кВт (90-120 л.с.)</v>
      </c>
      <c r="H40" t="str">
        <f>SmtRes!O38</f>
        <v>маш.-ч</v>
      </c>
      <c r="I40">
        <f>SmtRes!Y38*Source!I32</f>
        <v>2.0915999999999997E-2</v>
      </c>
      <c r="J40">
        <f>SmtRes!AO38</f>
        <v>1</v>
      </c>
      <c r="K40">
        <f>SmtRes!AF38</f>
        <v>2156.7800000000002</v>
      </c>
      <c r="L40">
        <f>SmtRes!DB38</f>
        <v>12530.89</v>
      </c>
      <c r="M40">
        <f>ROUND(ROUND(L40*Source!I32, 6)*1, 2)</f>
        <v>45.11</v>
      </c>
      <c r="N40">
        <f>SmtRes!AB38</f>
        <v>2156.7800000000002</v>
      </c>
      <c r="O40">
        <f>ROUND(ROUND(L40*Source!I32, 6)*SmtRes!DA38, 2)</f>
        <v>45.11</v>
      </c>
      <c r="P40">
        <f>SmtRes!AG38</f>
        <v>1157.51</v>
      </c>
      <c r="Q40">
        <f>SmtRes!DC38</f>
        <v>6725.13</v>
      </c>
      <c r="R40">
        <f>ROUND(ROUND(Q40*Source!I32, 6)*1, 2)</f>
        <v>24.21</v>
      </c>
      <c r="S40">
        <f>SmtRes!AC38</f>
        <v>1157.51</v>
      </c>
      <c r="T40">
        <f>ROUND(ROUND(Q40*Source!I32, 6)*SmtRes!AK38, 2)</f>
        <v>24.21</v>
      </c>
      <c r="U40">
        <v>2</v>
      </c>
      <c r="Z40">
        <f>SmtRes!X38</f>
        <v>1767356786</v>
      </c>
      <c r="AA40">
        <v>-503352177</v>
      </c>
      <c r="AB40">
        <v>-1124491470</v>
      </c>
    </row>
    <row r="41" spans="1:28" x14ac:dyDescent="0.2">
      <c r="A41">
        <v>20</v>
      </c>
      <c r="B41">
        <v>37</v>
      </c>
      <c r="C41">
        <v>2</v>
      </c>
      <c r="D41">
        <v>0</v>
      </c>
      <c r="E41">
        <f>SmtRes!AV37</f>
        <v>0</v>
      </c>
      <c r="F41" t="str">
        <f>SmtRes!I37</f>
        <v>22.1-5-3</v>
      </c>
      <c r="G41" t="str">
        <f>SmtRes!K37</f>
        <v>Катки самоходные вибрационные, масса более 8 т</v>
      </c>
      <c r="H41" t="str">
        <f>SmtRes!O37</f>
        <v>маш.-ч</v>
      </c>
      <c r="I41">
        <f>SmtRes!Y37*Source!I32</f>
        <v>0.11588399999999999</v>
      </c>
      <c r="J41">
        <f>SmtRes!AO37</f>
        <v>1</v>
      </c>
      <c r="K41">
        <f>SmtRes!AF37</f>
        <v>2245.2600000000002</v>
      </c>
      <c r="L41">
        <f>SmtRes!DB37</f>
        <v>72274.92</v>
      </c>
      <c r="M41">
        <f>ROUND(ROUND(L41*Source!I32, 6)*1, 2)</f>
        <v>260.19</v>
      </c>
      <c r="N41">
        <f>SmtRes!AB37</f>
        <v>2245.2600000000002</v>
      </c>
      <c r="O41">
        <f>ROUND(ROUND(L41*Source!I32, 6)*SmtRes!DA37, 2)</f>
        <v>260.19</v>
      </c>
      <c r="P41">
        <f>SmtRes!AG37</f>
        <v>1163.82</v>
      </c>
      <c r="Q41">
        <f>SmtRes!DC37</f>
        <v>37463.370000000003</v>
      </c>
      <c r="R41">
        <f>ROUND(ROUND(Q41*Source!I32, 6)*1, 2)</f>
        <v>134.87</v>
      </c>
      <c r="S41">
        <f>SmtRes!AC37</f>
        <v>1163.82</v>
      </c>
      <c r="T41">
        <f>ROUND(ROUND(Q41*Source!I32, 6)*SmtRes!AK37, 2)</f>
        <v>134.87</v>
      </c>
      <c r="U41">
        <v>2</v>
      </c>
      <c r="Z41">
        <f>SmtRes!X37</f>
        <v>1544061258</v>
      </c>
      <c r="AA41">
        <v>20556483</v>
      </c>
      <c r="AB41">
        <v>120016971</v>
      </c>
    </row>
    <row r="42" spans="1:28" x14ac:dyDescent="0.2">
      <c r="A42">
        <v>20</v>
      </c>
      <c r="B42">
        <v>36</v>
      </c>
      <c r="C42">
        <v>2</v>
      </c>
      <c r="D42">
        <v>0</v>
      </c>
      <c r="E42">
        <f>SmtRes!AV36</f>
        <v>0</v>
      </c>
      <c r="F42" t="str">
        <f>SmtRes!I36</f>
        <v>22.1-5-2</v>
      </c>
      <c r="G42" t="str">
        <f>SmtRes!K36</f>
        <v>Катки самоходные вибрационные, масса до 8 т</v>
      </c>
      <c r="H42" t="str">
        <f>SmtRes!O36</f>
        <v>маш.-ч</v>
      </c>
      <c r="I42">
        <f>SmtRes!Y36*Source!I32</f>
        <v>4.0535999999999996E-2</v>
      </c>
      <c r="J42">
        <f>SmtRes!AO36</f>
        <v>1</v>
      </c>
      <c r="K42">
        <f>SmtRes!AF36</f>
        <v>1591.69</v>
      </c>
      <c r="L42">
        <f>SmtRes!DB36</f>
        <v>17922.43</v>
      </c>
      <c r="M42">
        <f>ROUND(ROUND(L42*Source!I32, 6)*1, 2)</f>
        <v>64.52</v>
      </c>
      <c r="N42">
        <f>SmtRes!AB36</f>
        <v>1591.69</v>
      </c>
      <c r="O42">
        <f>ROUND(ROUND(L42*Source!I32, 6)*SmtRes!DA36, 2)</f>
        <v>64.52</v>
      </c>
      <c r="P42">
        <f>SmtRes!AG36</f>
        <v>856.07</v>
      </c>
      <c r="Q42">
        <f>SmtRes!DC36</f>
        <v>9639.35</v>
      </c>
      <c r="R42">
        <f>ROUND(ROUND(Q42*Source!I32, 6)*1, 2)</f>
        <v>34.700000000000003</v>
      </c>
      <c r="S42">
        <f>SmtRes!AC36</f>
        <v>856.07</v>
      </c>
      <c r="T42">
        <f>ROUND(ROUND(Q42*Source!I32, 6)*SmtRes!AK36, 2)</f>
        <v>34.700000000000003</v>
      </c>
      <c r="U42">
        <v>2</v>
      </c>
      <c r="Z42">
        <f>SmtRes!X36</f>
        <v>-1547220326</v>
      </c>
      <c r="AA42">
        <v>756454566</v>
      </c>
      <c r="AB42">
        <v>294319744</v>
      </c>
    </row>
    <row r="43" spans="1:28" x14ac:dyDescent="0.2">
      <c r="A43">
        <v>20</v>
      </c>
      <c r="B43">
        <v>35</v>
      </c>
      <c r="C43">
        <v>2</v>
      </c>
      <c r="D43">
        <v>0</v>
      </c>
      <c r="E43">
        <f>SmtRes!AV35</f>
        <v>0</v>
      </c>
      <c r="F43" t="str">
        <f>SmtRes!I35</f>
        <v>22.1-5-17</v>
      </c>
      <c r="G43" t="str">
        <f>SmtRes!K35</f>
        <v>Поливомоечные машины, емкость цистерны до 5000 л</v>
      </c>
      <c r="H43" t="str">
        <f>SmtRes!O35</f>
        <v>маш.-ч</v>
      </c>
      <c r="I43">
        <f>SmtRes!Y35*Source!I32</f>
        <v>1.8540000000000001E-2</v>
      </c>
      <c r="J43">
        <f>SmtRes!AO35</f>
        <v>1</v>
      </c>
      <c r="K43">
        <f>SmtRes!AF35</f>
        <v>2251.6</v>
      </c>
      <c r="L43">
        <f>SmtRes!DB35</f>
        <v>11595.74</v>
      </c>
      <c r="M43">
        <f>ROUND(ROUND(L43*Source!I32, 6)*1, 2)</f>
        <v>41.74</v>
      </c>
      <c r="N43">
        <f>SmtRes!AB35</f>
        <v>2251.6</v>
      </c>
      <c r="O43">
        <f>ROUND(ROUND(L43*Source!I32, 6)*SmtRes!DA35, 2)</f>
        <v>41.74</v>
      </c>
      <c r="P43">
        <f>SmtRes!AG35</f>
        <v>797.66</v>
      </c>
      <c r="Q43">
        <f>SmtRes!DC35</f>
        <v>4107.95</v>
      </c>
      <c r="R43">
        <f>ROUND(ROUND(Q43*Source!I32, 6)*1, 2)</f>
        <v>14.79</v>
      </c>
      <c r="S43">
        <f>SmtRes!AC35</f>
        <v>797.66</v>
      </c>
      <c r="T43">
        <f>ROUND(ROUND(Q43*Source!I32, 6)*SmtRes!AK35, 2)</f>
        <v>14.79</v>
      </c>
      <c r="U43">
        <v>2</v>
      </c>
      <c r="Z43">
        <f>SmtRes!X35</f>
        <v>886480239</v>
      </c>
      <c r="AA43">
        <v>-1899336200</v>
      </c>
      <c r="AB43">
        <v>789505470</v>
      </c>
    </row>
    <row r="44" spans="1:28" x14ac:dyDescent="0.2">
      <c r="A44">
        <v>20</v>
      </c>
      <c r="B44">
        <v>34</v>
      </c>
      <c r="C44">
        <v>2</v>
      </c>
      <c r="D44">
        <v>0</v>
      </c>
      <c r="E44">
        <f>SmtRes!AV34</f>
        <v>0</v>
      </c>
      <c r="F44" t="str">
        <f>SmtRes!I34</f>
        <v>22.1-2-1</v>
      </c>
      <c r="G44" t="str">
        <f>SmtRes!K34</f>
        <v>Тракторы на гусеничном ходу, мощность до 60 (81) кВт (л.с.)</v>
      </c>
      <c r="H44" t="str">
        <f>SmtRes!O34</f>
        <v>маш.-ч</v>
      </c>
      <c r="I44">
        <f>SmtRes!Y34*Source!I32</f>
        <v>5.7239999999999999E-3</v>
      </c>
      <c r="J44">
        <f>SmtRes!AO34</f>
        <v>1</v>
      </c>
      <c r="K44">
        <f>SmtRes!AF34</f>
        <v>1112.05</v>
      </c>
      <c r="L44">
        <f>SmtRes!DB34</f>
        <v>1768.16</v>
      </c>
      <c r="M44">
        <f>ROUND(ROUND(L44*Source!I32, 6)*1, 2)</f>
        <v>6.37</v>
      </c>
      <c r="N44">
        <f>SmtRes!AB34</f>
        <v>1112.05</v>
      </c>
      <c r="O44">
        <f>ROUND(ROUND(L44*Source!I32, 6)*SmtRes!DA34, 2)</f>
        <v>6.37</v>
      </c>
      <c r="P44">
        <f>SmtRes!AG34</f>
        <v>667.4</v>
      </c>
      <c r="Q44">
        <f>SmtRes!DC34</f>
        <v>1061.17</v>
      </c>
      <c r="R44">
        <f>ROUND(ROUND(Q44*Source!I32, 6)*1, 2)</f>
        <v>3.82</v>
      </c>
      <c r="S44">
        <f>SmtRes!AC34</f>
        <v>667.4</v>
      </c>
      <c r="T44">
        <f>ROUND(ROUND(Q44*Source!I32, 6)*SmtRes!AK34, 2)</f>
        <v>3.82</v>
      </c>
      <c r="U44">
        <v>2</v>
      </c>
      <c r="Z44">
        <f>SmtRes!X34</f>
        <v>-432311974</v>
      </c>
      <c r="AA44">
        <v>819370083</v>
      </c>
      <c r="AB44">
        <v>1787128314</v>
      </c>
    </row>
    <row r="45" spans="1:28" x14ac:dyDescent="0.2">
      <c r="A45">
        <v>20</v>
      </c>
      <c r="B45">
        <v>45</v>
      </c>
      <c r="C45">
        <v>3</v>
      </c>
      <c r="D45">
        <v>0</v>
      </c>
      <c r="E45">
        <f>SmtRes!AV45</f>
        <v>0</v>
      </c>
      <c r="F45" t="str">
        <f>SmtRes!I45</f>
        <v>21.3-3-18</v>
      </c>
      <c r="G45" t="str">
        <f>SmtRes!K45</f>
        <v>Смеси асфальтобетонные дорожные горячие мелкозернистые, марка I, тип Б</v>
      </c>
      <c r="H45" t="str">
        <f>SmtRes!O45</f>
        <v>т</v>
      </c>
      <c r="I45">
        <f>SmtRes!Y45*Source!I33</f>
        <v>3.4487999999999999</v>
      </c>
      <c r="J45">
        <f>SmtRes!AO45</f>
        <v>1</v>
      </c>
      <c r="K45">
        <f>SmtRes!AE45</f>
        <v>4597.8500000000004</v>
      </c>
      <c r="L45">
        <f>SmtRes!DB45</f>
        <v>44047.4</v>
      </c>
      <c r="M45">
        <f>ROUND(ROUND(L45*Source!I33, 6)*1, 2)</f>
        <v>15857.06</v>
      </c>
      <c r="N45">
        <f>SmtRes!AA45</f>
        <v>4597.8500000000004</v>
      </c>
      <c r="O45">
        <f>ROUND(ROUND(L45*Source!I33, 6)*SmtRes!DA45, 2)</f>
        <v>15857.06</v>
      </c>
      <c r="P45">
        <f>SmtRes!AG45</f>
        <v>0</v>
      </c>
      <c r="Q45">
        <f>SmtRes!DC45</f>
        <v>0</v>
      </c>
      <c r="R45">
        <f>ROUND(ROUND(Q45*Source!I33, 6)*1, 2)</f>
        <v>0</v>
      </c>
      <c r="S45">
        <f>SmtRes!AC45</f>
        <v>0</v>
      </c>
      <c r="T45">
        <f>ROUND(ROUND(Q45*Source!I33, 6)*SmtRes!AK45, 2)</f>
        <v>0</v>
      </c>
      <c r="U45">
        <v>3</v>
      </c>
      <c r="Z45">
        <f>SmtRes!X45</f>
        <v>717644448</v>
      </c>
      <c r="AA45">
        <v>1106043430</v>
      </c>
      <c r="AB45">
        <v>-639275500</v>
      </c>
    </row>
    <row r="46" spans="1:28" x14ac:dyDescent="0.2">
      <c r="A46">
        <v>20</v>
      </c>
      <c r="B46">
        <v>44</v>
      </c>
      <c r="C46">
        <v>2</v>
      </c>
      <c r="D46">
        <v>0</v>
      </c>
      <c r="E46">
        <f>SmtRes!AV44</f>
        <v>0</v>
      </c>
      <c r="F46" t="str">
        <f>SmtRes!I44</f>
        <v>22.1-5-5</v>
      </c>
      <c r="G46" t="str">
        <f>SmtRes!K44</f>
        <v>Катки дорожные самоходные статические, масса до 10 т</v>
      </c>
      <c r="H46" t="str">
        <f>SmtRes!O44</f>
        <v>маш.-ч</v>
      </c>
      <c r="I46">
        <f>SmtRes!Y44*Source!I33</f>
        <v>0.50039999999999996</v>
      </c>
      <c r="J46">
        <f>SmtRes!AO44</f>
        <v>1</v>
      </c>
      <c r="K46">
        <f>SmtRes!AF44</f>
        <v>1304.04</v>
      </c>
      <c r="L46">
        <f>SmtRes!DB44</f>
        <v>1812.62</v>
      </c>
      <c r="M46">
        <f>ROUND(ROUND(L46*Source!I33, 6)*1, 2)</f>
        <v>652.54</v>
      </c>
      <c r="N46">
        <f>SmtRes!AB44</f>
        <v>1304.04</v>
      </c>
      <c r="O46">
        <f>ROUND(ROUND(L46*Source!I33, 6)*SmtRes!DA44, 2)</f>
        <v>652.54</v>
      </c>
      <c r="P46">
        <f>SmtRes!AG44</f>
        <v>862.54</v>
      </c>
      <c r="Q46">
        <f>SmtRes!DC44</f>
        <v>1198.93</v>
      </c>
      <c r="R46">
        <f>ROUND(ROUND(Q46*Source!I33, 6)*1, 2)</f>
        <v>431.61</v>
      </c>
      <c r="S46">
        <f>SmtRes!AC44</f>
        <v>862.54</v>
      </c>
      <c r="T46">
        <f>ROUND(ROUND(Q46*Source!I33, 6)*SmtRes!AK44, 2)</f>
        <v>431.61</v>
      </c>
      <c r="U46">
        <v>2</v>
      </c>
      <c r="Z46">
        <f>SmtRes!X44</f>
        <v>-1986679427</v>
      </c>
      <c r="AA46">
        <v>1751118094</v>
      </c>
      <c r="AB46">
        <v>-939019148</v>
      </c>
    </row>
    <row r="47" spans="1:28" x14ac:dyDescent="0.2">
      <c r="A47">
        <v>20</v>
      </c>
      <c r="B47">
        <v>43</v>
      </c>
      <c r="C47">
        <v>2</v>
      </c>
      <c r="D47">
        <v>0</v>
      </c>
      <c r="E47">
        <f>SmtRes!AV43</f>
        <v>0</v>
      </c>
      <c r="F47" t="str">
        <f>SmtRes!I43</f>
        <v>22.1-5-4</v>
      </c>
      <c r="G47" t="str">
        <f>SmtRes!K43</f>
        <v>Катки дорожные самоходные статические, масса до 5 т</v>
      </c>
      <c r="H47" t="str">
        <f>SmtRes!O43</f>
        <v>маш.-ч</v>
      </c>
      <c r="I47">
        <f>SmtRes!Y43*Source!I33</f>
        <v>0.1656</v>
      </c>
      <c r="J47">
        <f>SmtRes!AO43</f>
        <v>1</v>
      </c>
      <c r="K47">
        <f>SmtRes!AF43</f>
        <v>1284.44</v>
      </c>
      <c r="L47">
        <f>SmtRes!DB43</f>
        <v>590.84</v>
      </c>
      <c r="M47">
        <f>ROUND(ROUND(L47*Source!I33, 6)*1, 2)</f>
        <v>212.7</v>
      </c>
      <c r="N47">
        <f>SmtRes!AB43</f>
        <v>1284.44</v>
      </c>
      <c r="O47">
        <f>ROUND(ROUND(L47*Source!I33, 6)*SmtRes!DA43, 2)</f>
        <v>212.7</v>
      </c>
      <c r="P47">
        <f>SmtRes!AG43</f>
        <v>640.79999999999995</v>
      </c>
      <c r="Q47">
        <f>SmtRes!DC43</f>
        <v>294.77</v>
      </c>
      <c r="R47">
        <f>ROUND(ROUND(Q47*Source!I33, 6)*1, 2)</f>
        <v>106.12</v>
      </c>
      <c r="S47">
        <f>SmtRes!AC43</f>
        <v>640.79999999999995</v>
      </c>
      <c r="T47">
        <f>ROUND(ROUND(Q47*Source!I33, 6)*SmtRes!AK43, 2)</f>
        <v>106.12</v>
      </c>
      <c r="U47">
        <v>2</v>
      </c>
      <c r="Z47">
        <f>SmtRes!X43</f>
        <v>1769674977</v>
      </c>
      <c r="AA47">
        <v>-702428949</v>
      </c>
      <c r="AB47">
        <v>-1785725583</v>
      </c>
    </row>
    <row r="48" spans="1:28" x14ac:dyDescent="0.2">
      <c r="A48">
        <v>20</v>
      </c>
      <c r="B48">
        <v>48</v>
      </c>
      <c r="C48">
        <v>3</v>
      </c>
      <c r="D48">
        <v>0</v>
      </c>
      <c r="E48">
        <f>SmtRes!AV48</f>
        <v>0</v>
      </c>
      <c r="F48" t="str">
        <f>SmtRes!I48</f>
        <v>21.1-6-90</v>
      </c>
      <c r="G48" t="str">
        <f>SmtRes!K48</f>
        <v>Олифа для окраски комбинированная оксоль</v>
      </c>
      <c r="H48" t="str">
        <f>SmtRes!O48</f>
        <v>кг</v>
      </c>
      <c r="I48">
        <f>SmtRes!Y48*Source!I34</f>
        <v>1.2511999999999999</v>
      </c>
      <c r="J48">
        <f>SmtRes!AO48</f>
        <v>1</v>
      </c>
      <c r="K48">
        <f>SmtRes!AE48</f>
        <v>92.85</v>
      </c>
      <c r="L48">
        <f>SmtRes!DB48</f>
        <v>631.38</v>
      </c>
      <c r="M48">
        <f>ROUND(ROUND(L48*Source!I34, 6)*1, 2)</f>
        <v>116.17</v>
      </c>
      <c r="N48">
        <f>SmtRes!AA48</f>
        <v>92.85</v>
      </c>
      <c r="O48">
        <f>ROUND(ROUND(L48*Source!I34, 6)*SmtRes!DA48, 2)</f>
        <v>116.17</v>
      </c>
      <c r="P48">
        <f>SmtRes!AG48</f>
        <v>0</v>
      </c>
      <c r="Q48">
        <f>SmtRes!DC48</f>
        <v>0</v>
      </c>
      <c r="R48">
        <f>ROUND(ROUND(Q48*Source!I34, 6)*1, 2)</f>
        <v>0</v>
      </c>
      <c r="S48">
        <f>SmtRes!AC48</f>
        <v>0</v>
      </c>
      <c r="T48">
        <f>ROUND(ROUND(Q48*Source!I34, 6)*SmtRes!AK48, 2)</f>
        <v>0</v>
      </c>
      <c r="U48">
        <v>3</v>
      </c>
      <c r="Z48">
        <f>SmtRes!X48</f>
        <v>-911552969</v>
      </c>
      <c r="AA48">
        <v>1670237040</v>
      </c>
      <c r="AB48">
        <v>-1715327862</v>
      </c>
    </row>
    <row r="49" spans="1:28" x14ac:dyDescent="0.2">
      <c r="A49">
        <v>20</v>
      </c>
      <c r="B49">
        <v>47</v>
      </c>
      <c r="C49">
        <v>3</v>
      </c>
      <c r="D49">
        <v>0</v>
      </c>
      <c r="E49">
        <f>SmtRes!AV47</f>
        <v>0</v>
      </c>
      <c r="F49" t="str">
        <f>SmtRes!I47</f>
        <v>21.1-6-44</v>
      </c>
      <c r="G49" t="str">
        <f>SmtRes!K47</f>
        <v>Краски масляные жидкотертые цветные (готовые к употреблению) для наружных и внутренних работ, марка МА-15</v>
      </c>
      <c r="H49" t="str">
        <f>SmtRes!O47</f>
        <v>т</v>
      </c>
      <c r="I49">
        <f>SmtRes!Y47*Source!I34</f>
        <v>2.0791999999999998E-3</v>
      </c>
      <c r="J49">
        <f>SmtRes!AO47</f>
        <v>1</v>
      </c>
      <c r="K49">
        <f>SmtRes!AE47</f>
        <v>120287.76</v>
      </c>
      <c r="L49">
        <f>SmtRes!DB47</f>
        <v>1359.25</v>
      </c>
      <c r="M49">
        <f>ROUND(ROUND(L49*Source!I34, 6)*1, 2)</f>
        <v>250.1</v>
      </c>
      <c r="N49">
        <f>SmtRes!AA47</f>
        <v>120287.76</v>
      </c>
      <c r="O49">
        <f>ROUND(ROUND(L49*Source!I34, 6)*SmtRes!DA47, 2)</f>
        <v>250.1</v>
      </c>
      <c r="P49">
        <f>SmtRes!AG47</f>
        <v>0</v>
      </c>
      <c r="Q49">
        <f>SmtRes!DC47</f>
        <v>0</v>
      </c>
      <c r="R49">
        <f>ROUND(ROUND(Q49*Source!I34, 6)*1, 2)</f>
        <v>0</v>
      </c>
      <c r="S49">
        <f>SmtRes!AC47</f>
        <v>0</v>
      </c>
      <c r="T49">
        <f>ROUND(ROUND(Q49*Source!I34, 6)*SmtRes!AK47, 2)</f>
        <v>0</v>
      </c>
      <c r="U49">
        <v>3</v>
      </c>
      <c r="Z49">
        <f>SmtRes!X47</f>
        <v>906229719</v>
      </c>
      <c r="AA49">
        <v>2043434724</v>
      </c>
      <c r="AB49">
        <v>1708754497</v>
      </c>
    </row>
    <row r="50" spans="1:28" x14ac:dyDescent="0.2">
      <c r="A50">
        <f>Source!A66</f>
        <v>4</v>
      </c>
      <c r="B50">
        <v>66</v>
      </c>
      <c r="G50" t="str">
        <f>Source!G66</f>
        <v>Мусор</v>
      </c>
    </row>
    <row r="51" spans="1:28" x14ac:dyDescent="0.2">
      <c r="A51">
        <v>20</v>
      </c>
      <c r="B51">
        <v>49</v>
      </c>
      <c r="C51">
        <v>2</v>
      </c>
      <c r="D51">
        <v>0</v>
      </c>
      <c r="E51">
        <f>SmtRes!AV49</f>
        <v>0</v>
      </c>
      <c r="F51" t="str">
        <f>SmtRes!I49</f>
        <v>22.1-1-5</v>
      </c>
      <c r="G51" t="str">
        <f>SmtRes!K49</f>
        <v>Экскаваторы на гусеничном ходу гидравлические, объем ковша до 0,65 м3</v>
      </c>
      <c r="H51" t="str">
        <f>SmtRes!O49</f>
        <v>маш.-ч</v>
      </c>
      <c r="I51">
        <f>SmtRes!Y49*Source!I70</f>
        <v>0.11315664</v>
      </c>
      <c r="J51">
        <f>SmtRes!AO49</f>
        <v>1</v>
      </c>
      <c r="K51">
        <f>SmtRes!AF49</f>
        <v>2006.63</v>
      </c>
      <c r="L51">
        <f>SmtRes!DB49</f>
        <v>107.76</v>
      </c>
      <c r="M51">
        <f>ROUND(ROUND(L51*Source!I70, 6)*1, 2)</f>
        <v>227.07</v>
      </c>
      <c r="N51">
        <f>SmtRes!AB49</f>
        <v>2006.63</v>
      </c>
      <c r="O51">
        <f>ROUND(ROUND(L51*Source!I70, 6)*SmtRes!DA49, 2)</f>
        <v>227.07</v>
      </c>
      <c r="P51">
        <f>SmtRes!AG49</f>
        <v>777.22</v>
      </c>
      <c r="Q51">
        <f>SmtRes!DC49</f>
        <v>41.74</v>
      </c>
      <c r="R51">
        <f>ROUND(ROUND(Q51*Source!I70, 6)*1, 2)</f>
        <v>87.95</v>
      </c>
      <c r="S51">
        <f>SmtRes!AC49</f>
        <v>777.22</v>
      </c>
      <c r="T51">
        <f>ROUND(ROUND(Q51*Source!I70, 6)*SmtRes!AK49, 2)</f>
        <v>87.95</v>
      </c>
      <c r="U51">
        <v>2</v>
      </c>
      <c r="Z51">
        <f>SmtRes!X49</f>
        <v>337782330</v>
      </c>
      <c r="AA51">
        <v>-1373351307</v>
      </c>
      <c r="AB51">
        <v>-313318629</v>
      </c>
    </row>
    <row r="52" spans="1:28" x14ac:dyDescent="0.2">
      <c r="A52">
        <v>20</v>
      </c>
      <c r="B52">
        <v>51</v>
      </c>
      <c r="C52">
        <v>2</v>
      </c>
      <c r="D52">
        <v>0</v>
      </c>
      <c r="E52">
        <f>SmtRes!AV51</f>
        <v>0</v>
      </c>
      <c r="F52" t="str">
        <f>SmtRes!I51</f>
        <v>22.1-18-13</v>
      </c>
      <c r="G52" t="str">
        <f>SmtRes!K51</f>
        <v>Автомобили-самосвалы, грузоподъемность до 10 т</v>
      </c>
      <c r="H52" t="str">
        <f>SmtRes!O51</f>
        <v>маш.-ч</v>
      </c>
      <c r="I52">
        <f>SmtRes!Y51*Source!I71</f>
        <v>3.7929600000000001E-2</v>
      </c>
      <c r="J52">
        <f>SmtRes!AO51</f>
        <v>1</v>
      </c>
      <c r="K52">
        <f>SmtRes!AF51</f>
        <v>1437.02</v>
      </c>
      <c r="L52">
        <f>SmtRes!DB51</f>
        <v>25.87</v>
      </c>
      <c r="M52">
        <f>ROUND(ROUND(L52*Source!I71, 6)*1, 2)</f>
        <v>54.51</v>
      </c>
      <c r="N52">
        <f>SmtRes!AB51</f>
        <v>1437.02</v>
      </c>
      <c r="O52">
        <f>ROUND(ROUND(L52*Source!I71, 6)*SmtRes!DA51, 2)</f>
        <v>54.51</v>
      </c>
      <c r="P52">
        <f>SmtRes!AG51</f>
        <v>512.22</v>
      </c>
      <c r="Q52">
        <f>SmtRes!DC51</f>
        <v>9.2200000000000006</v>
      </c>
      <c r="R52">
        <f>ROUND(ROUND(Q52*Source!I71, 6)*1, 2)</f>
        <v>19.43</v>
      </c>
      <c r="S52">
        <f>SmtRes!AC51</f>
        <v>512.22</v>
      </c>
      <c r="T52">
        <f>ROUND(ROUND(Q52*Source!I71, 6)*SmtRes!AK51, 2)</f>
        <v>19.43</v>
      </c>
      <c r="U52">
        <v>2</v>
      </c>
      <c r="Z52">
        <f>SmtRes!X51</f>
        <v>-1141814917</v>
      </c>
      <c r="AA52">
        <v>-2139609534</v>
      </c>
      <c r="AB52">
        <v>-929170795</v>
      </c>
    </row>
    <row r="53" spans="1:28" x14ac:dyDescent="0.2">
      <c r="A53">
        <v>20</v>
      </c>
      <c r="B53">
        <v>50</v>
      </c>
      <c r="C53">
        <v>2</v>
      </c>
      <c r="D53">
        <v>0</v>
      </c>
      <c r="E53">
        <f>SmtRes!AV50</f>
        <v>0</v>
      </c>
      <c r="F53" t="str">
        <f>SmtRes!I50</f>
        <v>22.1-18-12</v>
      </c>
      <c r="G53" t="str">
        <f>SmtRes!K50</f>
        <v>Автомобили-самосвалы, грузоподъемность до 7 т</v>
      </c>
      <c r="H53" t="str">
        <f>SmtRes!O50</f>
        <v>маш.-ч</v>
      </c>
      <c r="I53">
        <f>SmtRes!Y50*Source!I71</f>
        <v>4.2144000000000008E-2</v>
      </c>
      <c r="J53">
        <f>SmtRes!AO50</f>
        <v>1</v>
      </c>
      <c r="K53">
        <f>SmtRes!AF50</f>
        <v>1422.91</v>
      </c>
      <c r="L53">
        <f>SmtRes!DB50</f>
        <v>28.46</v>
      </c>
      <c r="M53">
        <f>ROUND(ROUND(L53*Source!I71, 6)*1, 2)</f>
        <v>59.97</v>
      </c>
      <c r="N53">
        <f>SmtRes!AB50</f>
        <v>1422.91</v>
      </c>
      <c r="O53">
        <f>ROUND(ROUND(L53*Source!I71, 6)*SmtRes!DA50, 2)</f>
        <v>59.97</v>
      </c>
      <c r="P53">
        <f>SmtRes!AG50</f>
        <v>511.7</v>
      </c>
      <c r="Q53">
        <f>SmtRes!DC50</f>
        <v>10.23</v>
      </c>
      <c r="R53">
        <f>ROUND(ROUND(Q53*Source!I71, 6)*1, 2)</f>
        <v>21.56</v>
      </c>
      <c r="S53">
        <f>SmtRes!AC50</f>
        <v>511.7</v>
      </c>
      <c r="T53">
        <f>ROUND(ROUND(Q53*Source!I71, 6)*SmtRes!AK50, 2)</f>
        <v>21.56</v>
      </c>
      <c r="U53">
        <v>2</v>
      </c>
      <c r="Z53">
        <f>SmtRes!X50</f>
        <v>-1971507261</v>
      </c>
      <c r="AA53">
        <v>762294167</v>
      </c>
      <c r="AB53">
        <v>1435512250</v>
      </c>
    </row>
    <row r="54" spans="1:28" x14ac:dyDescent="0.2">
      <c r="A54">
        <v>20</v>
      </c>
      <c r="B54">
        <v>53</v>
      </c>
      <c r="C54">
        <v>2</v>
      </c>
      <c r="D54">
        <v>0</v>
      </c>
      <c r="E54">
        <f>SmtRes!AV53</f>
        <v>0</v>
      </c>
      <c r="F54" t="str">
        <f>SmtRes!I53</f>
        <v>22.1-18-13</v>
      </c>
      <c r="G54" t="str">
        <f>SmtRes!K53</f>
        <v>Автомобили-самосвалы, грузоподъемность до 10 т</v>
      </c>
      <c r="H54" t="str">
        <f>SmtRes!O53</f>
        <v>маш.-ч</v>
      </c>
      <c r="I54">
        <f>SmtRes!Y53*Source!I72</f>
        <v>0.82602240000000016</v>
      </c>
      <c r="J54">
        <f>SmtRes!AO53</f>
        <v>1</v>
      </c>
      <c r="K54">
        <f>SmtRes!AF53</f>
        <v>1437.02</v>
      </c>
      <c r="L54">
        <f>SmtRes!DB53</f>
        <v>563.5</v>
      </c>
      <c r="M54">
        <f>ROUND(ROUND(L54*Source!I72, 6)*1, 2)</f>
        <v>1187.4100000000001</v>
      </c>
      <c r="N54">
        <f>SmtRes!AB53</f>
        <v>1437.02</v>
      </c>
      <c r="O54">
        <f>ROUND(ROUND(L54*Source!I72, 6)*SmtRes!DA53, 2)</f>
        <v>1187.4100000000001</v>
      </c>
      <c r="P54">
        <f>SmtRes!AG53</f>
        <v>512.22</v>
      </c>
      <c r="Q54">
        <f>SmtRes!DC53</f>
        <v>200.9</v>
      </c>
      <c r="R54">
        <f>ROUND(ROUND(Q54*Source!I72, 6)*1, 2)</f>
        <v>423.34</v>
      </c>
      <c r="S54">
        <f>SmtRes!AC53</f>
        <v>512.22</v>
      </c>
      <c r="T54">
        <f>ROUND(ROUND(Q54*Source!I72, 6)*SmtRes!AK53, 2)</f>
        <v>423.34</v>
      </c>
      <c r="U54">
        <v>2</v>
      </c>
      <c r="Z54">
        <f>SmtRes!X53</f>
        <v>-1141814917</v>
      </c>
      <c r="AA54">
        <v>-2139609534</v>
      </c>
      <c r="AB54">
        <v>-929170795</v>
      </c>
    </row>
    <row r="55" spans="1:28" x14ac:dyDescent="0.2">
      <c r="A55">
        <v>20</v>
      </c>
      <c r="B55">
        <v>52</v>
      </c>
      <c r="C55">
        <v>2</v>
      </c>
      <c r="D55">
        <v>0</v>
      </c>
      <c r="E55">
        <f>SmtRes!AV52</f>
        <v>0</v>
      </c>
      <c r="F55" t="str">
        <f>SmtRes!I52</f>
        <v>22.1-18-12</v>
      </c>
      <c r="G55" t="str">
        <f>SmtRes!K52</f>
        <v>Автомобили-самосвалы, грузоподъемность до 7 т</v>
      </c>
      <c r="H55" t="str">
        <f>SmtRes!O52</f>
        <v>маш.-ч</v>
      </c>
      <c r="I55">
        <f>SmtRes!Y52*Source!I72</f>
        <v>1.0325280000000001</v>
      </c>
      <c r="J55">
        <f>SmtRes!AO52</f>
        <v>1</v>
      </c>
      <c r="K55">
        <f>SmtRes!AF52</f>
        <v>1422.91</v>
      </c>
      <c r="L55">
        <f>SmtRes!DB52</f>
        <v>697.27</v>
      </c>
      <c r="M55">
        <f>ROUND(ROUND(L55*Source!I72, 6)*1, 2)</f>
        <v>1469.29</v>
      </c>
      <c r="N55">
        <f>SmtRes!AB52</f>
        <v>1422.91</v>
      </c>
      <c r="O55">
        <f>ROUND(ROUND(L55*Source!I72, 6)*SmtRes!DA52, 2)</f>
        <v>1469.29</v>
      </c>
      <c r="P55">
        <f>SmtRes!AG52</f>
        <v>511.7</v>
      </c>
      <c r="Q55">
        <f>SmtRes!DC52</f>
        <v>250.88</v>
      </c>
      <c r="R55">
        <f>ROUND(ROUND(Q55*Source!I72, 6)*1, 2)</f>
        <v>528.65</v>
      </c>
      <c r="S55">
        <f>SmtRes!AC52</f>
        <v>511.7</v>
      </c>
      <c r="T55">
        <f>ROUND(ROUND(Q55*Source!I72, 6)*SmtRes!AK52, 2)</f>
        <v>528.65</v>
      </c>
      <c r="U55">
        <v>2</v>
      </c>
      <c r="Z55">
        <f>SmtRes!X52</f>
        <v>-1971507261</v>
      </c>
      <c r="AA55">
        <v>762294167</v>
      </c>
      <c r="AB55">
        <v>1435512250</v>
      </c>
    </row>
    <row r="56" spans="1:28" x14ac:dyDescent="0.2">
      <c r="A56">
        <v>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8"/>
  <sheetViews>
    <sheetView workbookViewId="0"/>
  </sheetViews>
  <sheetFormatPr defaultRowHeight="12.75" x14ac:dyDescent="0.2"/>
  <cols>
    <col min="1" max="1" width="18.7109375" customWidth="1"/>
    <col min="2" max="2" width="40.7109375" customWidth="1"/>
    <col min="3" max="7" width="12.7109375" customWidth="1"/>
    <col min="15" max="15" width="60.5703125" hidden="1" customWidth="1"/>
    <col min="16" max="18" width="0" hidden="1" customWidth="1"/>
  </cols>
  <sheetData>
    <row r="2" spans="1:17" ht="16.5" x14ac:dyDescent="0.2">
      <c r="A2" s="81" t="s">
        <v>344</v>
      </c>
      <c r="B2" s="82"/>
      <c r="C2" s="82"/>
      <c r="D2" s="82"/>
      <c r="E2" s="82"/>
      <c r="F2" s="82"/>
      <c r="G2" s="82"/>
    </row>
    <row r="3" spans="1:17" ht="49.5" x14ac:dyDescent="0.2">
      <c r="A3" s="81" t="str">
        <f>CONCATENATE("Объект: ",IF(Source!G137&lt;&gt;"Новый объект", Source!G137, ""))</f>
        <v>Объект: ГБОУ Школа 920. ул. Перовская, д. 24 Пандус (СН-2012 Выпуск №2 (в ценах на 01.01.2025 г))</v>
      </c>
      <c r="B3" s="82"/>
      <c r="C3" s="82"/>
      <c r="D3" s="82"/>
      <c r="E3" s="82"/>
      <c r="F3" s="82"/>
      <c r="G3" s="82"/>
      <c r="O3" s="46" t="s">
        <v>345</v>
      </c>
    </row>
    <row r="4" spans="1:17" x14ac:dyDescent="0.2">
      <c r="A4" s="62" t="s">
        <v>346</v>
      </c>
      <c r="B4" s="62" t="s">
        <v>347</v>
      </c>
      <c r="C4" s="62" t="s">
        <v>266</v>
      </c>
      <c r="D4" s="62" t="s">
        <v>348</v>
      </c>
      <c r="E4" s="86" t="s">
        <v>349</v>
      </c>
      <c r="F4" s="87"/>
      <c r="G4" s="62" t="s">
        <v>352</v>
      </c>
    </row>
    <row r="5" spans="1:17" x14ac:dyDescent="0.2">
      <c r="A5" s="63"/>
      <c r="B5" s="63"/>
      <c r="C5" s="63"/>
      <c r="D5" s="63"/>
      <c r="E5" s="88"/>
      <c r="F5" s="89"/>
      <c r="G5" s="63"/>
    </row>
    <row r="6" spans="1:17" ht="14.25" x14ac:dyDescent="0.2">
      <c r="A6" s="85"/>
      <c r="B6" s="85"/>
      <c r="C6" s="85"/>
      <c r="D6" s="85"/>
      <c r="E6" s="19" t="s">
        <v>350</v>
      </c>
      <c r="F6" s="19" t="s">
        <v>351</v>
      </c>
      <c r="G6" s="85"/>
    </row>
    <row r="7" spans="1:17" ht="14.25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</row>
    <row r="8" spans="1:17" ht="16.5" x14ac:dyDescent="0.2">
      <c r="A8" s="81" t="str">
        <f>CONCATENATE("Локальная смета: ",IF(Source!G22&lt;&gt;"Новая локальная смета", Source!G22, ""))</f>
        <v>Локальная смета: ГБОУ Школа 920. ул. Перовская, д. 24 Пандус</v>
      </c>
      <c r="B8" s="82"/>
      <c r="C8" s="82"/>
      <c r="D8" s="82"/>
      <c r="E8" s="82"/>
      <c r="F8" s="82"/>
      <c r="G8" s="82"/>
    </row>
    <row r="9" spans="1:17" ht="16.5" x14ac:dyDescent="0.2">
      <c r="A9" s="81" t="str">
        <f>CONCATENATE("Раздел: ",IF(Source!G26&lt;&gt;"Новый раздел", Source!G26, ""))</f>
        <v xml:space="preserve">Раздел: </v>
      </c>
      <c r="B9" s="82"/>
      <c r="C9" s="82"/>
      <c r="D9" s="82"/>
      <c r="E9" s="82"/>
      <c r="F9" s="82"/>
      <c r="G9" s="82"/>
    </row>
    <row r="10" spans="1:17" ht="14.25" x14ac:dyDescent="0.2">
      <c r="A10" s="83" t="s">
        <v>353</v>
      </c>
      <c r="B10" s="84"/>
      <c r="C10" s="84"/>
      <c r="D10" s="84"/>
      <c r="E10" s="84"/>
      <c r="F10" s="84"/>
      <c r="G10" s="84"/>
    </row>
    <row r="11" spans="1:17" ht="28.5" x14ac:dyDescent="0.2">
      <c r="A11" s="47" t="s">
        <v>155</v>
      </c>
      <c r="B11" s="39" t="s">
        <v>157</v>
      </c>
      <c r="C11" s="39" t="s">
        <v>136</v>
      </c>
      <c r="D11" s="40">
        <f>ROUND(SUMIF(RV_DATA!AB8:AB49, -239416640, RV_DATA!I8:I49), 6)</f>
        <v>10.75238</v>
      </c>
      <c r="E11" s="48">
        <f>ROUND(RV_DATA!K36, 6)</f>
        <v>34.270000000000003</v>
      </c>
      <c r="F11" s="48">
        <f>ROUND(SUMIF(RV_DATA!AB8:AB49, -239416640, RV_DATA!M8:M49), 6)</f>
        <v>368.47</v>
      </c>
      <c r="G11" s="48">
        <f>ROUND(SUMIF(RV_DATA!AB8:AB49, -239416640, RV_DATA!O8:O49), 6)</f>
        <v>368.47</v>
      </c>
      <c r="Q11">
        <v>2</v>
      </c>
    </row>
    <row r="12" spans="1:17" ht="57" x14ac:dyDescent="0.2">
      <c r="A12" s="47" t="s">
        <v>133</v>
      </c>
      <c r="B12" s="39" t="s">
        <v>135</v>
      </c>
      <c r="C12" s="39" t="s">
        <v>136</v>
      </c>
      <c r="D12" s="40">
        <f>ROUND(SUMIF(RV_DATA!AB8:AB49, -695259573, RV_DATA!I8:I49), 6)</f>
        <v>1.0620289999999999</v>
      </c>
      <c r="E12" s="48">
        <f>ROUND(RV_DATA!K14, 6)</f>
        <v>60.72</v>
      </c>
      <c r="F12" s="48">
        <f>ROUND(SUMIF(RV_DATA!AB8:AB49, -695259573, RV_DATA!M8:M49), 6)</f>
        <v>64.48</v>
      </c>
      <c r="G12" s="48">
        <f>ROUND(SUMIF(RV_DATA!AB8:AB49, -695259573, RV_DATA!O8:O49), 6)</f>
        <v>64.48</v>
      </c>
      <c r="Q12">
        <v>2</v>
      </c>
    </row>
    <row r="13" spans="1:17" ht="28.5" x14ac:dyDescent="0.2">
      <c r="A13" s="47" t="s">
        <v>158</v>
      </c>
      <c r="B13" s="39" t="s">
        <v>160</v>
      </c>
      <c r="C13" s="39" t="s">
        <v>136</v>
      </c>
      <c r="D13" s="40">
        <f>ROUND(SUMIF(RV_DATA!AB8:AB49, 1979946849, RV_DATA!I8:I49), 6)</f>
        <v>9.1380000000000003E-2</v>
      </c>
      <c r="E13" s="48">
        <f>ROUND(RV_DATA!K35, 6)</f>
        <v>1335.8</v>
      </c>
      <c r="F13" s="48">
        <f>ROUND(SUMIF(RV_DATA!AB8:AB49, 1979946849, RV_DATA!M8:M49), 6)</f>
        <v>122.05</v>
      </c>
      <c r="G13" s="48">
        <f>ROUND(SUMIF(RV_DATA!AB8:AB49, 1979946849, RV_DATA!O8:O49), 6)</f>
        <v>122.05</v>
      </c>
      <c r="Q13">
        <v>2</v>
      </c>
    </row>
    <row r="14" spans="1:17" ht="28.5" x14ac:dyDescent="0.2">
      <c r="A14" s="47" t="s">
        <v>201</v>
      </c>
      <c r="B14" s="39" t="s">
        <v>203</v>
      </c>
      <c r="C14" s="39" t="s">
        <v>136</v>
      </c>
      <c r="D14" s="40">
        <f>ROUND(SUMIF(RV_DATA!AB8:AB49, 1787128314, RV_DATA!I8:I49), 6)</f>
        <v>5.7239999999999999E-3</v>
      </c>
      <c r="E14" s="48">
        <f>ROUND(RV_DATA!K44, 6)</f>
        <v>1112.05</v>
      </c>
      <c r="F14" s="48">
        <f>ROUND(SUMIF(RV_DATA!AB8:AB49, 1787128314, RV_DATA!M8:M49), 6)</f>
        <v>6.37</v>
      </c>
      <c r="G14" s="48">
        <f>ROUND(SUMIF(RV_DATA!AB8:AB49, 1787128314, RV_DATA!O8:O49), 6)</f>
        <v>6.37</v>
      </c>
      <c r="Q14">
        <v>2</v>
      </c>
    </row>
    <row r="15" spans="1:17" ht="28.5" x14ac:dyDescent="0.2">
      <c r="A15" s="47" t="s">
        <v>161</v>
      </c>
      <c r="B15" s="39" t="s">
        <v>163</v>
      </c>
      <c r="C15" s="39" t="s">
        <v>136</v>
      </c>
      <c r="D15" s="40">
        <f>ROUND(SUMIF(RV_DATA!AB8:AB49, 1572749127, RV_DATA!I8:I49), 6)</f>
        <v>65.367159999999998</v>
      </c>
      <c r="E15" s="48">
        <f>ROUND(RV_DATA!K34, 6)</f>
        <v>4.74</v>
      </c>
      <c r="F15" s="48">
        <f>ROUND(SUMIF(RV_DATA!AB8:AB49, 1572749127, RV_DATA!M8:M49), 6)</f>
        <v>309.83999999999997</v>
      </c>
      <c r="G15" s="48">
        <f>ROUND(SUMIF(RV_DATA!AB8:AB49, 1572749127, RV_DATA!O8:O49), 6)</f>
        <v>309.83999999999997</v>
      </c>
      <c r="Q15">
        <v>2</v>
      </c>
    </row>
    <row r="16" spans="1:17" ht="28.5" x14ac:dyDescent="0.2">
      <c r="A16" s="47" t="s">
        <v>164</v>
      </c>
      <c r="B16" s="39" t="s">
        <v>166</v>
      </c>
      <c r="C16" s="39" t="s">
        <v>136</v>
      </c>
      <c r="D16" s="40">
        <f>ROUND(SUMIF(RV_DATA!AB8:AB49, 927868654, RV_DATA!I8:I49), 6)</f>
        <v>0.57874000000000003</v>
      </c>
      <c r="E16" s="48">
        <f>ROUND(RV_DATA!K33, 6)</f>
        <v>17.14</v>
      </c>
      <c r="F16" s="48">
        <f>ROUND(SUMIF(RV_DATA!AB8:AB49, 927868654, RV_DATA!M8:M49), 6)</f>
        <v>9.93</v>
      </c>
      <c r="G16" s="48">
        <f>ROUND(SUMIF(RV_DATA!AB8:AB49, 927868654, RV_DATA!O8:O49), 6)</f>
        <v>9.93</v>
      </c>
      <c r="Q16">
        <v>2</v>
      </c>
    </row>
    <row r="17" spans="1:17" ht="28.5" x14ac:dyDescent="0.2">
      <c r="A17" s="47" t="s">
        <v>167</v>
      </c>
      <c r="B17" s="39" t="s">
        <v>169</v>
      </c>
      <c r="C17" s="39" t="s">
        <v>136</v>
      </c>
      <c r="D17" s="40">
        <f>ROUND(SUMIF(RV_DATA!AB8:AB49, 136459195, RV_DATA!I8:I49), 6)</f>
        <v>1.0356399999999999</v>
      </c>
      <c r="E17" s="48">
        <f>ROUND(RV_DATA!K32, 6)</f>
        <v>763.41</v>
      </c>
      <c r="F17" s="48">
        <f>ROUND(SUMIF(RV_DATA!AB8:AB49, 136459195, RV_DATA!M8:M49), 6)</f>
        <v>790.62</v>
      </c>
      <c r="G17" s="48">
        <f>ROUND(SUMIF(RV_DATA!AB8:AB49, 136459195, RV_DATA!O8:O49), 6)</f>
        <v>790.62</v>
      </c>
      <c r="Q17">
        <v>2</v>
      </c>
    </row>
    <row r="18" spans="1:17" ht="28.5" x14ac:dyDescent="0.2">
      <c r="A18" s="47" t="s">
        <v>137</v>
      </c>
      <c r="B18" s="39" t="s">
        <v>139</v>
      </c>
      <c r="C18" s="39" t="s">
        <v>136</v>
      </c>
      <c r="D18" s="40">
        <f>ROUND(SUMIF(RV_DATA!AB8:AB49, 294932672, RV_DATA!I8:I49), 6)</f>
        <v>19.470528000000002</v>
      </c>
      <c r="E18" s="48">
        <f>ROUND(RV_DATA!K13, 6)</f>
        <v>33.69</v>
      </c>
      <c r="F18" s="48">
        <f>ROUND(SUMIF(RV_DATA!AB8:AB49, 294932672, RV_DATA!M8:M49), 6)</f>
        <v>655.96</v>
      </c>
      <c r="G18" s="48">
        <f>ROUND(SUMIF(RV_DATA!AB8:AB49, 294932672, RV_DATA!O8:O49), 6)</f>
        <v>655.96</v>
      </c>
      <c r="Q18">
        <v>2</v>
      </c>
    </row>
    <row r="19" spans="1:17" ht="28.5" x14ac:dyDescent="0.2">
      <c r="A19" s="47" t="s">
        <v>140</v>
      </c>
      <c r="B19" s="39" t="s">
        <v>142</v>
      </c>
      <c r="C19" s="39" t="s">
        <v>136</v>
      </c>
      <c r="D19" s="40">
        <f>ROUND(SUMIF(RV_DATA!AB8:AB49, 489777694, RV_DATA!I8:I49), 6)</f>
        <v>10.013413999999999</v>
      </c>
      <c r="E19" s="48">
        <f>ROUND(RV_DATA!K12, 6)</f>
        <v>14.52</v>
      </c>
      <c r="F19" s="48">
        <f>ROUND(SUMIF(RV_DATA!AB8:AB49, 489777694, RV_DATA!M8:M49), 6)</f>
        <v>145.38999999999999</v>
      </c>
      <c r="G19" s="48">
        <f>ROUND(SUMIF(RV_DATA!AB8:AB49, 489777694, RV_DATA!O8:O49), 6)</f>
        <v>145.38999999999999</v>
      </c>
      <c r="Q19">
        <v>2</v>
      </c>
    </row>
    <row r="20" spans="1:17" ht="28.5" x14ac:dyDescent="0.2">
      <c r="A20" s="47" t="s">
        <v>204</v>
      </c>
      <c r="B20" s="39" t="s">
        <v>206</v>
      </c>
      <c r="C20" s="39" t="s">
        <v>136</v>
      </c>
      <c r="D20" s="40">
        <f>ROUND(SUMIF(RV_DATA!AB8:AB49, 789505470, RV_DATA!I8:I49), 6)</f>
        <v>1.8540000000000001E-2</v>
      </c>
      <c r="E20" s="48">
        <f>ROUND(RV_DATA!K43, 6)</f>
        <v>2251.6</v>
      </c>
      <c r="F20" s="48">
        <f>ROUND(SUMIF(RV_DATA!AB8:AB49, 789505470, RV_DATA!M8:M49), 6)</f>
        <v>41.74</v>
      </c>
      <c r="G20" s="48">
        <f>ROUND(SUMIF(RV_DATA!AB8:AB49, 789505470, RV_DATA!O8:O49), 6)</f>
        <v>41.74</v>
      </c>
      <c r="Q20">
        <v>2</v>
      </c>
    </row>
    <row r="21" spans="1:17" ht="28.5" x14ac:dyDescent="0.2">
      <c r="A21" s="47" t="s">
        <v>207</v>
      </c>
      <c r="B21" s="39" t="s">
        <v>209</v>
      </c>
      <c r="C21" s="39" t="s">
        <v>136</v>
      </c>
      <c r="D21" s="40">
        <f>ROUND(SUMIF(RV_DATA!AB8:AB49, 294319744, RV_DATA!I8:I49), 6)</f>
        <v>4.0536000000000003E-2</v>
      </c>
      <c r="E21" s="48">
        <f>ROUND(RV_DATA!K42, 6)</f>
        <v>1591.69</v>
      </c>
      <c r="F21" s="48">
        <f>ROUND(SUMIF(RV_DATA!AB8:AB49, 294319744, RV_DATA!M8:M49), 6)</f>
        <v>64.52</v>
      </c>
      <c r="G21" s="48">
        <f>ROUND(SUMIF(RV_DATA!AB8:AB49, 294319744, RV_DATA!O8:O49), 6)</f>
        <v>64.52</v>
      </c>
      <c r="Q21">
        <v>2</v>
      </c>
    </row>
    <row r="22" spans="1:17" ht="28.5" x14ac:dyDescent="0.2">
      <c r="A22" s="47" t="s">
        <v>210</v>
      </c>
      <c r="B22" s="39" t="s">
        <v>212</v>
      </c>
      <c r="C22" s="39" t="s">
        <v>136</v>
      </c>
      <c r="D22" s="40">
        <f>ROUND(SUMIF(RV_DATA!AB8:AB49, 120016971, RV_DATA!I8:I49), 6)</f>
        <v>0.115884</v>
      </c>
      <c r="E22" s="48">
        <f>ROUND(RV_DATA!K41, 6)</f>
        <v>2245.2600000000002</v>
      </c>
      <c r="F22" s="48">
        <f>ROUND(SUMIF(RV_DATA!AB8:AB49, 120016971, RV_DATA!M8:M49), 6)</f>
        <v>260.19</v>
      </c>
      <c r="G22" s="48">
        <f>ROUND(SUMIF(RV_DATA!AB8:AB49, 120016971, RV_DATA!O8:O49), 6)</f>
        <v>260.19</v>
      </c>
      <c r="Q22">
        <v>2</v>
      </c>
    </row>
    <row r="23" spans="1:17" ht="28.5" x14ac:dyDescent="0.2">
      <c r="A23" s="47" t="s">
        <v>225</v>
      </c>
      <c r="B23" s="39" t="s">
        <v>227</v>
      </c>
      <c r="C23" s="39" t="s">
        <v>136</v>
      </c>
      <c r="D23" s="40">
        <f>ROUND(SUMIF(RV_DATA!AB8:AB49, -1785725583, RV_DATA!I8:I49), 6)</f>
        <v>0.1656</v>
      </c>
      <c r="E23" s="48">
        <f>ROUND(RV_DATA!K47, 6)</f>
        <v>1284.44</v>
      </c>
      <c r="F23" s="48">
        <f>ROUND(SUMIF(RV_DATA!AB8:AB49, -1785725583, RV_DATA!M8:M49), 6)</f>
        <v>212.7</v>
      </c>
      <c r="G23" s="48">
        <f>ROUND(SUMIF(RV_DATA!AB8:AB49, -1785725583, RV_DATA!O8:O49), 6)</f>
        <v>212.7</v>
      </c>
      <c r="Q23">
        <v>2</v>
      </c>
    </row>
    <row r="24" spans="1:17" ht="28.5" x14ac:dyDescent="0.2">
      <c r="A24" s="47" t="s">
        <v>213</v>
      </c>
      <c r="B24" s="39" t="s">
        <v>215</v>
      </c>
      <c r="C24" s="39" t="s">
        <v>136</v>
      </c>
      <c r="D24" s="40">
        <f>ROUND(SUMIF(RV_DATA!AB8:AB49, -1124491470, RV_DATA!I8:I49), 6)</f>
        <v>2.0916000000000001E-2</v>
      </c>
      <c r="E24" s="48">
        <f>ROUND(RV_DATA!K40, 6)</f>
        <v>2156.7800000000002</v>
      </c>
      <c r="F24" s="48">
        <f>ROUND(SUMIF(RV_DATA!AB8:AB49, -1124491470, RV_DATA!M8:M49), 6)</f>
        <v>45.11</v>
      </c>
      <c r="G24" s="48">
        <f>ROUND(SUMIF(RV_DATA!AB8:AB49, -1124491470, RV_DATA!O8:O49), 6)</f>
        <v>45.11</v>
      </c>
      <c r="Q24">
        <v>2</v>
      </c>
    </row>
    <row r="25" spans="1:17" ht="28.5" x14ac:dyDescent="0.2">
      <c r="A25" s="47" t="s">
        <v>228</v>
      </c>
      <c r="B25" s="39" t="s">
        <v>230</v>
      </c>
      <c r="C25" s="39" t="s">
        <v>136</v>
      </c>
      <c r="D25" s="40">
        <f>ROUND(SUMIF(RV_DATA!AB8:AB49, -939019148, RV_DATA!I8:I49), 6)</f>
        <v>0.50039999999999996</v>
      </c>
      <c r="E25" s="48">
        <f>ROUND(RV_DATA!K46, 6)</f>
        <v>1304.04</v>
      </c>
      <c r="F25" s="48">
        <f>ROUND(SUMIF(RV_DATA!AB8:AB49, -939019148, RV_DATA!M8:M49), 6)</f>
        <v>652.54</v>
      </c>
      <c r="G25" s="48">
        <f>ROUND(SUMIF(RV_DATA!AB8:AB49, -939019148, RV_DATA!O8:O49), 6)</f>
        <v>652.54</v>
      </c>
      <c r="Q25">
        <v>2</v>
      </c>
    </row>
    <row r="26" spans="1:17" ht="15" x14ac:dyDescent="0.25">
      <c r="A26" s="79" t="s">
        <v>354</v>
      </c>
      <c r="B26" s="79"/>
      <c r="C26" s="79"/>
      <c r="D26" s="79"/>
      <c r="E26" s="80">
        <f>SUMIF(Q11:Q25, 2, F11:F25)</f>
        <v>3749.91</v>
      </c>
      <c r="F26" s="80"/>
      <c r="G26" s="49"/>
    </row>
    <row r="27" spans="1:17" ht="14.25" x14ac:dyDescent="0.2">
      <c r="A27" s="83" t="s">
        <v>355</v>
      </c>
      <c r="B27" s="84"/>
      <c r="C27" s="84"/>
      <c r="D27" s="84"/>
      <c r="E27" s="84"/>
      <c r="F27" s="84"/>
      <c r="G27" s="84"/>
    </row>
    <row r="28" spans="1:17" ht="57" x14ac:dyDescent="0.2">
      <c r="A28" s="47" t="s">
        <v>28</v>
      </c>
      <c r="B28" s="39" t="s">
        <v>29</v>
      </c>
      <c r="C28" s="39" t="s">
        <v>17</v>
      </c>
      <c r="D28" s="40">
        <f>ROUND(SUMIF(RV_DATA!AB8:AB49, -477714316, RV_DATA!I8:I49), 6)</f>
        <v>0.141625</v>
      </c>
      <c r="E28" s="48">
        <f>ROUND(RV_DATA!K22, 6)</f>
        <v>52726.39</v>
      </c>
      <c r="F28" s="48">
        <f>ROUND(SUMIF(RV_DATA!AB8:AB49, -477714316, RV_DATA!M8:M49), 6)</f>
        <v>7467.37</v>
      </c>
      <c r="G28" s="48">
        <f>ROUND(SUMIF(RV_DATA!AB8:AB49, -477714316, RV_DATA!O8:O49), 6)</f>
        <v>7467.37</v>
      </c>
      <c r="Q28">
        <v>3</v>
      </c>
    </row>
    <row r="29" spans="1:17" ht="28.5" x14ac:dyDescent="0.2">
      <c r="A29" s="47" t="s">
        <v>170</v>
      </c>
      <c r="B29" s="39" t="s">
        <v>172</v>
      </c>
      <c r="C29" s="39" t="s">
        <v>17</v>
      </c>
      <c r="D29" s="40">
        <f>ROUND(SUMIF(RV_DATA!AB8:AB49, 1490383787, RV_DATA!I8:I49), 6)</f>
        <v>5.4828000000000002E-2</v>
      </c>
      <c r="E29" s="48">
        <f>ROUND(RV_DATA!K31, 6)</f>
        <v>313897.40999999997</v>
      </c>
      <c r="F29" s="48">
        <f>ROUND(SUMIF(RV_DATA!AB8:AB49, 1490383787, RV_DATA!M8:M49), 6)</f>
        <v>17210.36</v>
      </c>
      <c r="G29" s="48">
        <f>ROUND(SUMIF(RV_DATA!AB8:AB49, 1490383787, RV_DATA!O8:O49), 6)</f>
        <v>17210.36</v>
      </c>
      <c r="Q29">
        <v>3</v>
      </c>
    </row>
    <row r="30" spans="1:17" ht="28.5" x14ac:dyDescent="0.2">
      <c r="A30" s="47" t="s">
        <v>143</v>
      </c>
      <c r="B30" s="39" t="s">
        <v>145</v>
      </c>
      <c r="C30" s="39" t="s">
        <v>17</v>
      </c>
      <c r="D30" s="40">
        <f>ROUND(SUMIF(RV_DATA!AB8:AB49, -94436779, RV_DATA!I8:I49), 6)</f>
        <v>0</v>
      </c>
      <c r="E30" s="48">
        <f>ROUND(RV_DATA!K11, 6)</f>
        <v>173260.69</v>
      </c>
      <c r="F30" s="48">
        <f>ROUND(SUMIF(RV_DATA!AB8:AB49, -94436779, RV_DATA!M8:M49), 6)</f>
        <v>0</v>
      </c>
      <c r="G30" s="48">
        <f>ROUND(SUMIF(RV_DATA!AB8:AB49, -94436779, RV_DATA!O8:O49), 6)</f>
        <v>0</v>
      </c>
      <c r="Q30">
        <v>3</v>
      </c>
    </row>
    <row r="31" spans="1:17" ht="28.5" x14ac:dyDescent="0.2">
      <c r="A31" s="47" t="s">
        <v>143</v>
      </c>
      <c r="B31" s="39" t="s">
        <v>145</v>
      </c>
      <c r="C31" s="39" t="s">
        <v>17</v>
      </c>
      <c r="D31" s="40">
        <f>ROUND(SUMIF(RV_DATA!AB8:AB49, -826166257, RV_DATA!I8:I49), 6)</f>
        <v>2.2126E-2</v>
      </c>
      <c r="E31" s="48">
        <f>ROUND(RV_DATA!K18, 6)</f>
        <v>173260.69</v>
      </c>
      <c r="F31" s="48">
        <f>ROUND(SUMIF(RV_DATA!AB8:AB49, -826166257, RV_DATA!M8:M49), 6)</f>
        <v>3833.5</v>
      </c>
      <c r="G31" s="48">
        <f>ROUND(SUMIF(RV_DATA!AB8:AB49, -826166257, RV_DATA!O8:O49), 6)</f>
        <v>3833.5</v>
      </c>
      <c r="Q31">
        <v>3</v>
      </c>
    </row>
    <row r="32" spans="1:17" ht="42.75" x14ac:dyDescent="0.2">
      <c r="A32" s="47" t="s">
        <v>216</v>
      </c>
      <c r="B32" s="39" t="s">
        <v>218</v>
      </c>
      <c r="C32" s="39" t="s">
        <v>191</v>
      </c>
      <c r="D32" s="40">
        <f>ROUND(SUMIF(RV_DATA!AB8:AB49, 1987014704, RV_DATA!I8:I49), 6)</f>
        <v>4.1399999999999999E-2</v>
      </c>
      <c r="E32" s="48">
        <f>ROUND(RV_DATA!K39, 6)</f>
        <v>2971.32</v>
      </c>
      <c r="F32" s="48">
        <f>ROUND(SUMIF(RV_DATA!AB8:AB49, 1987014704, RV_DATA!M8:M49), 6)</f>
        <v>123.01</v>
      </c>
      <c r="G32" s="48">
        <f>ROUND(SUMIF(RV_DATA!AB8:AB49, 1987014704, RV_DATA!O8:O49), 6)</f>
        <v>123.01</v>
      </c>
      <c r="Q32">
        <v>3</v>
      </c>
    </row>
    <row r="33" spans="1:17" ht="42.75" x14ac:dyDescent="0.2">
      <c r="A33" s="47" t="s">
        <v>219</v>
      </c>
      <c r="B33" s="39" t="s">
        <v>221</v>
      </c>
      <c r="C33" s="39" t="s">
        <v>191</v>
      </c>
      <c r="D33" s="40">
        <f>ROUND(SUMIF(RV_DATA!AB8:AB49, 74696637, RV_DATA!I8:I49), 6)</f>
        <v>0.19800000000000001</v>
      </c>
      <c r="E33" s="48">
        <f>ROUND(RV_DATA!K38, 6)</f>
        <v>2861.1</v>
      </c>
      <c r="F33" s="48">
        <f>ROUND(SUMIF(RV_DATA!AB8:AB49, 74696637, RV_DATA!M8:M49), 6)</f>
        <v>566.5</v>
      </c>
      <c r="G33" s="48">
        <f>ROUND(SUMIF(RV_DATA!AB8:AB49, 74696637, RV_DATA!O8:O49), 6)</f>
        <v>566.5</v>
      </c>
      <c r="Q33">
        <v>3</v>
      </c>
    </row>
    <row r="34" spans="1:17" ht="28.5" x14ac:dyDescent="0.2">
      <c r="A34" s="47" t="s">
        <v>173</v>
      </c>
      <c r="B34" s="39" t="s">
        <v>175</v>
      </c>
      <c r="C34" s="39" t="s">
        <v>176</v>
      </c>
      <c r="D34" s="40">
        <f>ROUND(SUMIF(RV_DATA!AB8:AB49, 2084596214, RV_DATA!I8:I49), 6)</f>
        <v>1.337194</v>
      </c>
      <c r="E34" s="48">
        <f>ROUND(RV_DATA!K30, 6)</f>
        <v>168.83</v>
      </c>
      <c r="F34" s="48">
        <f>ROUND(SUMIF(RV_DATA!AB8:AB49, 2084596214, RV_DATA!M8:M49), 6)</f>
        <v>225.77</v>
      </c>
      <c r="G34" s="48">
        <f>ROUND(SUMIF(RV_DATA!AB8:AB49, 2084596214, RV_DATA!O8:O49), 6)</f>
        <v>225.77</v>
      </c>
      <c r="Q34">
        <v>3</v>
      </c>
    </row>
    <row r="35" spans="1:17" ht="28.5" x14ac:dyDescent="0.2">
      <c r="A35" s="47" t="s">
        <v>146</v>
      </c>
      <c r="B35" s="39" t="s">
        <v>148</v>
      </c>
      <c r="C35" s="39" t="s">
        <v>17</v>
      </c>
      <c r="D35" s="40">
        <f>ROUND(SUMIF(RV_DATA!AB8:AB49, -1022481529, RV_DATA!I8:I49), 6)</f>
        <v>0</v>
      </c>
      <c r="E35" s="48">
        <f>ROUND(RV_DATA!K10, 6)</f>
        <v>106831.32</v>
      </c>
      <c r="F35" s="48">
        <f>ROUND(SUMIF(RV_DATA!AB8:AB49, -1022481529, RV_DATA!M8:M49), 6)</f>
        <v>0</v>
      </c>
      <c r="G35" s="48">
        <f>ROUND(SUMIF(RV_DATA!AB8:AB49, -1022481529, RV_DATA!O8:O49), 6)</f>
        <v>0</v>
      </c>
      <c r="Q35">
        <v>3</v>
      </c>
    </row>
    <row r="36" spans="1:17" ht="28.5" x14ac:dyDescent="0.2">
      <c r="A36" s="47" t="s">
        <v>146</v>
      </c>
      <c r="B36" s="39" t="s">
        <v>148</v>
      </c>
      <c r="C36" s="39" t="s">
        <v>17</v>
      </c>
      <c r="D36" s="40">
        <f>ROUND(SUMIF(RV_DATA!AB8:AB49, -1276368308, RV_DATA!I8:I49), 6)</f>
        <v>8.4290000000000007E-3</v>
      </c>
      <c r="E36" s="48">
        <f>ROUND(RV_DATA!K17, 6)</f>
        <v>106831.32</v>
      </c>
      <c r="F36" s="48">
        <f>ROUND(SUMIF(RV_DATA!AB8:AB49, -1276368308, RV_DATA!M8:M49), 6)</f>
        <v>900.47</v>
      </c>
      <c r="G36" s="48">
        <f>ROUND(SUMIF(RV_DATA!AB8:AB49, -1276368308, RV_DATA!O8:O49), 6)</f>
        <v>900.47</v>
      </c>
      <c r="Q36">
        <v>3</v>
      </c>
    </row>
    <row r="37" spans="1:17" ht="28.5" x14ac:dyDescent="0.2">
      <c r="A37" s="47" t="s">
        <v>177</v>
      </c>
      <c r="B37" s="39" t="s">
        <v>179</v>
      </c>
      <c r="C37" s="39" t="s">
        <v>180</v>
      </c>
      <c r="D37" s="40">
        <f>ROUND(SUMIF(RV_DATA!AB8:AB49, 844328232, RV_DATA!I8:I49), 6)</f>
        <v>129.85097999999999</v>
      </c>
      <c r="E37" s="48">
        <f>ROUND(RV_DATA!K29, 6)</f>
        <v>30.05</v>
      </c>
      <c r="F37" s="48">
        <f>ROUND(SUMIF(RV_DATA!AB8:AB49, 844328232, RV_DATA!M8:M49), 6)</f>
        <v>3902.02</v>
      </c>
      <c r="G37" s="48">
        <f>ROUND(SUMIF(RV_DATA!AB8:AB49, 844328232, RV_DATA!O8:O49), 6)</f>
        <v>3902.02</v>
      </c>
      <c r="Q37">
        <v>3</v>
      </c>
    </row>
    <row r="38" spans="1:17" ht="14.25" x14ac:dyDescent="0.2">
      <c r="A38" s="47" t="s">
        <v>222</v>
      </c>
      <c r="B38" s="39" t="s">
        <v>224</v>
      </c>
      <c r="C38" s="39" t="s">
        <v>191</v>
      </c>
      <c r="D38" s="40">
        <f>ROUND(SUMIF(RV_DATA!AB8:AB49, -1097784124, RV_DATA!I8:I49), 6)</f>
        <v>0.09</v>
      </c>
      <c r="E38" s="48">
        <f>ROUND(RV_DATA!K37, 6)</f>
        <v>49.83</v>
      </c>
      <c r="F38" s="48">
        <f>ROUND(SUMIF(RV_DATA!AB8:AB49, -1097784124, RV_DATA!M8:M49), 6)</f>
        <v>4.4800000000000004</v>
      </c>
      <c r="G38" s="48">
        <f>ROUND(SUMIF(RV_DATA!AB8:AB49, -1097784124, RV_DATA!O8:O49), 6)</f>
        <v>4.4800000000000004</v>
      </c>
      <c r="Q38">
        <v>3</v>
      </c>
    </row>
    <row r="39" spans="1:17" ht="42.75" x14ac:dyDescent="0.2">
      <c r="A39" s="47" t="s">
        <v>181</v>
      </c>
      <c r="B39" s="39" t="s">
        <v>183</v>
      </c>
      <c r="C39" s="39" t="s">
        <v>180</v>
      </c>
      <c r="D39" s="40">
        <f>ROUND(SUMIF(RV_DATA!AB8:AB49, -453202312, RV_DATA!I8:I49), 6)</f>
        <v>0.67621200000000004</v>
      </c>
      <c r="E39" s="48">
        <f>ROUND(RV_DATA!K28, 6)</f>
        <v>80.48</v>
      </c>
      <c r="F39" s="48">
        <f>ROUND(SUMIF(RV_DATA!AB8:AB49, -453202312, RV_DATA!M8:M49), 6)</f>
        <v>54.43</v>
      </c>
      <c r="G39" s="48">
        <f>ROUND(SUMIF(RV_DATA!AB8:AB49, -453202312, RV_DATA!O8:O49), 6)</f>
        <v>54.43</v>
      </c>
      <c r="Q39">
        <v>3</v>
      </c>
    </row>
    <row r="40" spans="1:17" ht="57" x14ac:dyDescent="0.2">
      <c r="A40" s="47" t="s">
        <v>184</v>
      </c>
      <c r="B40" s="39" t="s">
        <v>186</v>
      </c>
      <c r="C40" s="39" t="s">
        <v>187</v>
      </c>
      <c r="D40" s="40">
        <f>ROUND(SUMIF(RV_DATA!AB8:AB49, -1091420962, RV_DATA!I8:I49), 6)</f>
        <v>67.682119999999998</v>
      </c>
      <c r="E40" s="48">
        <f>ROUND(RV_DATA!K27, 6)</f>
        <v>481.95</v>
      </c>
      <c r="F40" s="48">
        <f>ROUND(SUMIF(RV_DATA!AB8:AB49, -1091420962, RV_DATA!M8:M49), 6)</f>
        <v>32619.4</v>
      </c>
      <c r="G40" s="48">
        <f>ROUND(SUMIF(RV_DATA!AB8:AB49, -1091420962, RV_DATA!O8:O49), 6)</f>
        <v>32619.4</v>
      </c>
      <c r="Q40">
        <v>3</v>
      </c>
    </row>
    <row r="41" spans="1:17" ht="14.25" x14ac:dyDescent="0.2">
      <c r="A41" s="47" t="s">
        <v>188</v>
      </c>
      <c r="B41" s="39" t="s">
        <v>190</v>
      </c>
      <c r="C41" s="39" t="s">
        <v>191</v>
      </c>
      <c r="D41" s="40">
        <f>ROUND(SUMIF(RV_DATA!AB8:AB49, -1101868586, RV_DATA!I8:I49), 6)</f>
        <v>1.9372560000000001</v>
      </c>
      <c r="E41" s="48">
        <f>ROUND(RV_DATA!K26, 6)</f>
        <v>479.86</v>
      </c>
      <c r="F41" s="48">
        <f>ROUND(SUMIF(RV_DATA!AB8:AB49, -1101868586, RV_DATA!M8:M49), 6)</f>
        <v>929.61</v>
      </c>
      <c r="G41" s="48">
        <f>ROUND(SUMIF(RV_DATA!AB8:AB49, -1101868586, RV_DATA!O8:O49), 6)</f>
        <v>929.61</v>
      </c>
      <c r="Q41">
        <v>3</v>
      </c>
    </row>
    <row r="42" spans="1:17" ht="57" x14ac:dyDescent="0.2">
      <c r="A42" s="47" t="s">
        <v>234</v>
      </c>
      <c r="B42" s="39" t="s">
        <v>236</v>
      </c>
      <c r="C42" s="39" t="s">
        <v>17</v>
      </c>
      <c r="D42" s="40">
        <f>ROUND(SUMIF(RV_DATA!AB8:AB49, 1708754497, RV_DATA!I8:I49), 6)</f>
        <v>2.0790000000000001E-3</v>
      </c>
      <c r="E42" s="48">
        <f>ROUND(RV_DATA!K49, 6)</f>
        <v>120287.76</v>
      </c>
      <c r="F42" s="48">
        <f>ROUND(SUMIF(RV_DATA!AB8:AB49, 1708754497, RV_DATA!M8:M49), 6)</f>
        <v>250.1</v>
      </c>
      <c r="G42" s="48">
        <f>ROUND(SUMIF(RV_DATA!AB8:AB49, 1708754497, RV_DATA!O8:O49), 6)</f>
        <v>250.1</v>
      </c>
      <c r="Q42">
        <v>3</v>
      </c>
    </row>
    <row r="43" spans="1:17" ht="28.5" x14ac:dyDescent="0.2">
      <c r="A43" s="47" t="s">
        <v>237</v>
      </c>
      <c r="B43" s="39" t="s">
        <v>239</v>
      </c>
      <c r="C43" s="39" t="s">
        <v>176</v>
      </c>
      <c r="D43" s="40">
        <f>ROUND(SUMIF(RV_DATA!AB8:AB49, -1715327862, RV_DATA!I8:I49), 6)</f>
        <v>1.2512000000000001</v>
      </c>
      <c r="E43" s="48">
        <f>ROUND(RV_DATA!K48, 6)</f>
        <v>92.85</v>
      </c>
      <c r="F43" s="48">
        <f>ROUND(SUMIF(RV_DATA!AB8:AB49, -1715327862, RV_DATA!M8:M49), 6)</f>
        <v>116.17</v>
      </c>
      <c r="G43" s="48">
        <f>ROUND(SUMIF(RV_DATA!AB8:AB49, -1715327862, RV_DATA!O8:O49), 6)</f>
        <v>116.17</v>
      </c>
      <c r="Q43">
        <v>3</v>
      </c>
    </row>
    <row r="44" spans="1:17" ht="42.75" x14ac:dyDescent="0.2">
      <c r="A44" s="47" t="s">
        <v>231</v>
      </c>
      <c r="B44" s="39" t="s">
        <v>233</v>
      </c>
      <c r="C44" s="39" t="s">
        <v>17</v>
      </c>
      <c r="D44" s="40">
        <f>ROUND(SUMIF(RV_DATA!AB8:AB49, -639275500, RV_DATA!I8:I49), 6)</f>
        <v>3.4487999999999999</v>
      </c>
      <c r="E44" s="48">
        <f>ROUND(RV_DATA!K45, 6)</f>
        <v>4597.8500000000004</v>
      </c>
      <c r="F44" s="48">
        <f>ROUND(SUMIF(RV_DATA!AB8:AB49, -639275500, RV_DATA!M8:M49), 6)</f>
        <v>15857.06</v>
      </c>
      <c r="G44" s="48">
        <f>ROUND(SUMIF(RV_DATA!AB8:AB49, -639275500, RV_DATA!O8:O49), 6)</f>
        <v>15857.06</v>
      </c>
      <c r="Q44">
        <v>3</v>
      </c>
    </row>
    <row r="45" spans="1:17" ht="57" x14ac:dyDescent="0.2">
      <c r="A45" s="47" t="s">
        <v>149</v>
      </c>
      <c r="B45" s="39" t="s">
        <v>151</v>
      </c>
      <c r="C45" s="39" t="s">
        <v>17</v>
      </c>
      <c r="D45" s="40">
        <f>ROUND(SUMIF(RV_DATA!AB8:AB49, 1257451237, RV_DATA!I8:I49), 6)</f>
        <v>0</v>
      </c>
      <c r="E45" s="48">
        <f>ROUND(RV_DATA!K9, 6)</f>
        <v>160649.89000000001</v>
      </c>
      <c r="F45" s="48">
        <f>ROUND(SUMIF(RV_DATA!AB8:AB49, 1257451237, RV_DATA!M8:M49), 6)</f>
        <v>0</v>
      </c>
      <c r="G45" s="48">
        <f>ROUND(SUMIF(RV_DATA!AB8:AB49, 1257451237, RV_DATA!O8:O49), 6)</f>
        <v>0</v>
      </c>
      <c r="Q45">
        <v>3</v>
      </c>
    </row>
    <row r="46" spans="1:17" ht="57" x14ac:dyDescent="0.2">
      <c r="A46" s="47" t="s">
        <v>149</v>
      </c>
      <c r="B46" s="39" t="s">
        <v>151</v>
      </c>
      <c r="C46" s="39" t="s">
        <v>17</v>
      </c>
      <c r="D46" s="40">
        <f>ROUND(SUMIF(RV_DATA!AB8:AB49, -722722953, RV_DATA!I8:I49), 6)</f>
        <v>2.1069999999999999E-3</v>
      </c>
      <c r="E46" s="48">
        <f>ROUND(RV_DATA!K16, 6)</f>
        <v>160649.89000000001</v>
      </c>
      <c r="F46" s="48">
        <f>ROUND(SUMIF(RV_DATA!AB8:AB49, -722722953, RV_DATA!M8:M49), 6)</f>
        <v>338.52</v>
      </c>
      <c r="G46" s="48">
        <f>ROUND(SUMIF(RV_DATA!AB8:AB49, -722722953, RV_DATA!O8:O49), 6)</f>
        <v>338.52</v>
      </c>
      <c r="Q46">
        <v>3</v>
      </c>
    </row>
    <row r="47" spans="1:17" ht="85.5" x14ac:dyDescent="0.2">
      <c r="A47" s="47" t="s">
        <v>152</v>
      </c>
      <c r="B47" s="39" t="s">
        <v>154</v>
      </c>
      <c r="C47" s="39" t="s">
        <v>17</v>
      </c>
      <c r="D47" s="40">
        <f>ROUND(SUMIF(RV_DATA!AB8:AB49, -1356429330, RV_DATA!I8:I49), 6)</f>
        <v>0</v>
      </c>
      <c r="E47" s="48">
        <f>ROUND(RV_DATA!K8, 6)</f>
        <v>153505.48000000001</v>
      </c>
      <c r="F47" s="48">
        <f>ROUND(SUMIF(RV_DATA!AB8:AB49, -1356429330, RV_DATA!M8:M49), 6)</f>
        <v>0</v>
      </c>
      <c r="G47" s="48">
        <f>ROUND(SUMIF(RV_DATA!AB8:AB49, -1356429330, RV_DATA!O8:O49), 6)</f>
        <v>0</v>
      </c>
      <c r="Q47">
        <v>3</v>
      </c>
    </row>
    <row r="48" spans="1:17" ht="85.5" x14ac:dyDescent="0.2">
      <c r="A48" s="47" t="s">
        <v>152</v>
      </c>
      <c r="B48" s="39" t="s">
        <v>154</v>
      </c>
      <c r="C48" s="39" t="s">
        <v>17</v>
      </c>
      <c r="D48" s="40">
        <f>ROUND(SUMIF(RV_DATA!AB8:AB49, -888753509, RV_DATA!I8:I49), 6)</f>
        <v>2.1072000000000002</v>
      </c>
      <c r="E48" s="48">
        <f>ROUND(RV_DATA!K15, 6)</f>
        <v>153505.48000000001</v>
      </c>
      <c r="F48" s="48">
        <f>ROUND(SUMIF(RV_DATA!AB8:AB49, -888753509, RV_DATA!M8:M49), 6)</f>
        <v>323466.75</v>
      </c>
      <c r="G48" s="48">
        <f>ROUND(SUMIF(RV_DATA!AB8:AB49, -888753509, RV_DATA!O8:O49), 6)</f>
        <v>323466.75</v>
      </c>
      <c r="Q48">
        <v>3</v>
      </c>
    </row>
    <row r="49" spans="1:17" ht="71.25" x14ac:dyDescent="0.2">
      <c r="A49" s="47" t="s">
        <v>192</v>
      </c>
      <c r="B49" s="39" t="s">
        <v>194</v>
      </c>
      <c r="C49" s="39" t="s">
        <v>180</v>
      </c>
      <c r="D49" s="40">
        <f>ROUND(SUMIF(RV_DATA!AB8:AB49, 1070193733, RV_DATA!I8:I49), 6)</f>
        <v>33.506</v>
      </c>
      <c r="E49" s="48">
        <f>ROUND(RV_DATA!K25, 6)</f>
        <v>979.95</v>
      </c>
      <c r="F49" s="48">
        <f>ROUND(SUMIF(RV_DATA!AB8:AB49, 1070193733, RV_DATA!M8:M49), 6)</f>
        <v>32834.199999999997</v>
      </c>
      <c r="G49" s="48">
        <f>ROUND(SUMIF(RV_DATA!AB8:AB49, 1070193733, RV_DATA!O8:O49), 6)</f>
        <v>32834.199999999997</v>
      </c>
      <c r="Q49">
        <v>3</v>
      </c>
    </row>
    <row r="50" spans="1:17" ht="57" x14ac:dyDescent="0.2">
      <c r="A50" s="47" t="s">
        <v>195</v>
      </c>
      <c r="B50" s="39" t="s">
        <v>197</v>
      </c>
      <c r="C50" s="39" t="s">
        <v>180</v>
      </c>
      <c r="D50" s="40">
        <f>ROUND(SUMIF(RV_DATA!AB8:AB49, -435208069, RV_DATA!I8:I49), 6)</f>
        <v>33.506</v>
      </c>
      <c r="E50" s="48">
        <f>ROUND(RV_DATA!K24, 6)</f>
        <v>622.54999999999995</v>
      </c>
      <c r="F50" s="48">
        <f>ROUND(SUMIF(RV_DATA!AB8:AB49, -435208069, RV_DATA!M8:M49), 6)</f>
        <v>20859.16</v>
      </c>
      <c r="G50" s="48">
        <f>ROUND(SUMIF(RV_DATA!AB8:AB49, -435208069, RV_DATA!O8:O49), 6)</f>
        <v>20859.16</v>
      </c>
      <c r="Q50">
        <v>3</v>
      </c>
    </row>
    <row r="51" spans="1:17" ht="57" x14ac:dyDescent="0.2">
      <c r="A51" s="47" t="s">
        <v>198</v>
      </c>
      <c r="B51" s="39" t="s">
        <v>200</v>
      </c>
      <c r="C51" s="39" t="s">
        <v>180</v>
      </c>
      <c r="D51" s="40">
        <f>ROUND(SUMIF(RV_DATA!AB8:AB49, 1092985665, RV_DATA!I8:I49), 6)</f>
        <v>67.012</v>
      </c>
      <c r="E51" s="48">
        <f>ROUND(RV_DATA!K23, 6)</f>
        <v>514.42999999999995</v>
      </c>
      <c r="F51" s="48">
        <f>ROUND(SUMIF(RV_DATA!AB8:AB49, 1092985665, RV_DATA!M8:M49), 6)</f>
        <v>34472.980000000003</v>
      </c>
      <c r="G51" s="48">
        <f>ROUND(SUMIF(RV_DATA!AB8:AB49, 1092985665, RV_DATA!O8:O49), 6)</f>
        <v>34472.980000000003</v>
      </c>
      <c r="Q51">
        <v>3</v>
      </c>
    </row>
    <row r="52" spans="1:17" ht="15" x14ac:dyDescent="0.25">
      <c r="A52" s="79" t="s">
        <v>356</v>
      </c>
      <c r="B52" s="79"/>
      <c r="C52" s="79"/>
      <c r="D52" s="79"/>
      <c r="E52" s="80">
        <f>SUMIF(Q28:Q51, 3, F28:F51)</f>
        <v>496031.86</v>
      </c>
      <c r="F52" s="80"/>
      <c r="G52" s="49"/>
    </row>
    <row r="53" spans="1:17" ht="16.5" x14ac:dyDescent="0.2">
      <c r="A53" s="81" t="str">
        <f>CONCATENATE("Раздел: ",IF(Source!G68&lt;&gt;"Новый раздел", Source!G68, ""))</f>
        <v>Раздел: Мусор</v>
      </c>
      <c r="B53" s="82"/>
      <c r="C53" s="82"/>
      <c r="D53" s="82"/>
      <c r="E53" s="82"/>
      <c r="F53" s="82"/>
      <c r="G53" s="82"/>
    </row>
    <row r="54" spans="1:17" ht="14.25" x14ac:dyDescent="0.2">
      <c r="A54" s="83" t="s">
        <v>353</v>
      </c>
      <c r="B54" s="84"/>
      <c r="C54" s="84"/>
      <c r="D54" s="84"/>
      <c r="E54" s="84"/>
      <c r="F54" s="84"/>
      <c r="G54" s="84"/>
    </row>
    <row r="55" spans="1:17" ht="42.75" x14ac:dyDescent="0.2">
      <c r="A55" s="47" t="s">
        <v>240</v>
      </c>
      <c r="B55" s="39" t="s">
        <v>242</v>
      </c>
      <c r="C55" s="39" t="s">
        <v>136</v>
      </c>
      <c r="D55" s="40">
        <f>ROUND(SUMIF(RV_DATA!AB51:AB55, -313318629, RV_DATA!I51:I55), 6)</f>
        <v>0.11315699999999999</v>
      </c>
      <c r="E55" s="48">
        <f>ROUND(RV_DATA!K51, 6)</f>
        <v>2006.63</v>
      </c>
      <c r="F55" s="48">
        <f>ROUND(SUMIF(RV_DATA!AB51:AB55, -313318629, RV_DATA!M51:M55), 6)</f>
        <v>227.07</v>
      </c>
      <c r="G55" s="48">
        <f>ROUND(SUMIF(RV_DATA!AB51:AB55, -313318629, RV_DATA!O51:O55), 6)</f>
        <v>227.07</v>
      </c>
      <c r="Q55">
        <v>2</v>
      </c>
    </row>
    <row r="56" spans="1:17" ht="28.5" x14ac:dyDescent="0.2">
      <c r="A56" s="47" t="s">
        <v>243</v>
      </c>
      <c r="B56" s="39" t="s">
        <v>245</v>
      </c>
      <c r="C56" s="39" t="s">
        <v>136</v>
      </c>
      <c r="D56" s="40">
        <f>ROUND(SUMIF(RV_DATA!AB51:AB55, 1435512250, RV_DATA!I51:I55), 6)</f>
        <v>1.0746720000000001</v>
      </c>
      <c r="E56" s="48">
        <f>ROUND(RV_DATA!K53, 6)</f>
        <v>1422.91</v>
      </c>
      <c r="F56" s="48">
        <f>ROUND(SUMIF(RV_DATA!AB51:AB55, 1435512250, RV_DATA!M51:M55), 6)</f>
        <v>1529.26</v>
      </c>
      <c r="G56" s="48">
        <f>ROUND(SUMIF(RV_DATA!AB51:AB55, 1435512250, RV_DATA!O51:O55), 6)</f>
        <v>1529.26</v>
      </c>
      <c r="Q56">
        <v>2</v>
      </c>
    </row>
    <row r="57" spans="1:17" ht="28.5" x14ac:dyDescent="0.2">
      <c r="A57" s="47" t="s">
        <v>246</v>
      </c>
      <c r="B57" s="39" t="s">
        <v>248</v>
      </c>
      <c r="C57" s="39" t="s">
        <v>136</v>
      </c>
      <c r="D57" s="40">
        <f>ROUND(SUMIF(RV_DATA!AB51:AB55, -929170795, RV_DATA!I51:I55), 6)</f>
        <v>0.86395200000000005</v>
      </c>
      <c r="E57" s="48">
        <f>ROUND(RV_DATA!K52, 6)</f>
        <v>1437.02</v>
      </c>
      <c r="F57" s="48">
        <f>ROUND(SUMIF(RV_DATA!AB51:AB55, -929170795, RV_DATA!M51:M55), 6)</f>
        <v>1241.92</v>
      </c>
      <c r="G57" s="48">
        <f>ROUND(SUMIF(RV_DATA!AB51:AB55, -929170795, RV_DATA!O51:O55), 6)</f>
        <v>1241.92</v>
      </c>
      <c r="Q57">
        <v>2</v>
      </c>
    </row>
    <row r="58" spans="1:17" ht="15" x14ac:dyDescent="0.25">
      <c r="A58" s="79" t="s">
        <v>354</v>
      </c>
      <c r="B58" s="79"/>
      <c r="C58" s="79"/>
      <c r="D58" s="79"/>
      <c r="E58" s="80">
        <f>SUMIF(Q55:Q57, 2, F55:F57)</f>
        <v>2998.25</v>
      </c>
      <c r="F58" s="80"/>
      <c r="G58" s="49"/>
    </row>
  </sheetData>
  <sortState ref="A55:R57">
    <sortCondition ref="A55"/>
  </sortState>
  <mergeCells count="20">
    <mergeCell ref="A27:G27"/>
    <mergeCell ref="A2:G2"/>
    <mergeCell ref="A3:G3"/>
    <mergeCell ref="A4:A6"/>
    <mergeCell ref="B4:B6"/>
    <mergeCell ref="C4:C6"/>
    <mergeCell ref="D4:D6"/>
    <mergeCell ref="E4:F5"/>
    <mergeCell ref="G4:G6"/>
    <mergeCell ref="A8:G8"/>
    <mergeCell ref="A9:G9"/>
    <mergeCell ref="A10:G10"/>
    <mergeCell ref="A26:D26"/>
    <mergeCell ref="E26:F26"/>
    <mergeCell ref="A52:D52"/>
    <mergeCell ref="E52:F52"/>
    <mergeCell ref="A53:G53"/>
    <mergeCell ref="A54:G54"/>
    <mergeCell ref="A58:D58"/>
    <mergeCell ref="E58:F58"/>
  </mergeCells>
  <pageMargins left="0.6" right="0.4" top="0.65" bottom="0.4" header="0.4" footer="0.4"/>
  <pageSetup paperSize="9" scale="76" fitToHeight="0" orientation="portrait" horizontalDpi="0" verticalDpi="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80"/>
  <sheetViews>
    <sheetView workbookViewId="0">
      <selection activeCell="A176" sqref="A176:O176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33" x14ac:dyDescent="0.2">
      <c r="A12" s="1">
        <v>1</v>
      </c>
      <c r="B12" s="1">
        <v>176</v>
      </c>
      <c r="C12" s="1">
        <v>0</v>
      </c>
      <c r="D12" s="1">
        <f>ROW(A137)</f>
        <v>137</v>
      </c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B137</f>
        <v>176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ГБОУ Школа 920. ул. Перовская, д. 24 Пандус (СН-2012 Выпуск №2 (в ценах на 01.01.2025 г))</v>
      </c>
      <c r="H18" s="2"/>
      <c r="I18" s="2"/>
      <c r="J18" s="2"/>
      <c r="K18" s="2"/>
      <c r="L18" s="2"/>
      <c r="M18" s="2"/>
      <c r="N18" s="2"/>
      <c r="O18" s="2">
        <f t="shared" ref="O18:AT18" si="1">O137</f>
        <v>598987.32999999996</v>
      </c>
      <c r="P18" s="2">
        <f t="shared" si="1"/>
        <v>496031.86</v>
      </c>
      <c r="Q18" s="2">
        <f t="shared" si="1"/>
        <v>8345.42</v>
      </c>
      <c r="R18" s="2">
        <f t="shared" si="1"/>
        <v>4205.1000000000004</v>
      </c>
      <c r="S18" s="2">
        <f t="shared" si="1"/>
        <v>94610.05</v>
      </c>
      <c r="T18" s="2">
        <f t="shared" si="1"/>
        <v>0</v>
      </c>
      <c r="U18" s="2">
        <f t="shared" si="1"/>
        <v>210.36788319999999</v>
      </c>
      <c r="V18" s="2">
        <f t="shared" si="1"/>
        <v>0</v>
      </c>
      <c r="W18" s="2">
        <f t="shared" si="1"/>
        <v>0</v>
      </c>
      <c r="X18" s="2">
        <f t="shared" si="1"/>
        <v>66227.03</v>
      </c>
      <c r="Y18" s="2">
        <f t="shared" si="1"/>
        <v>9461.01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677259.19</v>
      </c>
      <c r="AS18" s="2">
        <f t="shared" si="1"/>
        <v>0</v>
      </c>
      <c r="AT18" s="2">
        <f t="shared" si="1"/>
        <v>0</v>
      </c>
      <c r="AU18" s="2">
        <f t="shared" ref="AU18:BZ18" si="2">AU137</f>
        <v>677259.19</v>
      </c>
      <c r="AV18" s="2">
        <f t="shared" si="2"/>
        <v>496031.86</v>
      </c>
      <c r="AW18" s="2">
        <f t="shared" si="2"/>
        <v>496031.86</v>
      </c>
      <c r="AX18" s="2">
        <f t="shared" si="2"/>
        <v>0</v>
      </c>
      <c r="AY18" s="2">
        <f t="shared" si="2"/>
        <v>496031.86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CA137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DG137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EM137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FS137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ROW(A104)</f>
        <v>104</v>
      </c>
      <c r="E20" s="1"/>
      <c r="F20" s="1" t="s">
        <v>11</v>
      </c>
      <c r="G20" s="1" t="s">
        <v>12</v>
      </c>
      <c r="H20" s="1" t="s">
        <v>3</v>
      </c>
      <c r="I20" s="1">
        <v>0</v>
      </c>
      <c r="J20" s="1" t="s">
        <v>3</v>
      </c>
      <c r="K20" s="1">
        <v>-1</v>
      </c>
      <c r="L20" s="1" t="s">
        <v>11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B104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Новая локальная смета</v>
      </c>
      <c r="G22" s="2" t="str">
        <f t="shared" si="7"/>
        <v>ГБОУ Школа 920. ул. Перовская, д. 24 Пандус</v>
      </c>
      <c r="H22" s="2"/>
      <c r="I22" s="2"/>
      <c r="J22" s="2"/>
      <c r="K22" s="2"/>
      <c r="L22" s="2"/>
      <c r="M22" s="2"/>
      <c r="N22" s="2"/>
      <c r="O22" s="2">
        <f t="shared" ref="O22:AT22" si="8">O104</f>
        <v>598987.32999999996</v>
      </c>
      <c r="P22" s="2">
        <f t="shared" si="8"/>
        <v>496031.86</v>
      </c>
      <c r="Q22" s="2">
        <f t="shared" si="8"/>
        <v>8345.42</v>
      </c>
      <c r="R22" s="2">
        <f t="shared" si="8"/>
        <v>4205.1000000000004</v>
      </c>
      <c r="S22" s="2">
        <f t="shared" si="8"/>
        <v>94610.05</v>
      </c>
      <c r="T22" s="2">
        <f t="shared" si="8"/>
        <v>0</v>
      </c>
      <c r="U22" s="2">
        <f t="shared" si="8"/>
        <v>210.36788319999999</v>
      </c>
      <c r="V22" s="2">
        <f t="shared" si="8"/>
        <v>0</v>
      </c>
      <c r="W22" s="2">
        <f t="shared" si="8"/>
        <v>0</v>
      </c>
      <c r="X22" s="2">
        <f t="shared" si="8"/>
        <v>66227.03</v>
      </c>
      <c r="Y22" s="2">
        <f t="shared" si="8"/>
        <v>9461.01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677259.19</v>
      </c>
      <c r="AS22" s="2">
        <f t="shared" si="8"/>
        <v>0</v>
      </c>
      <c r="AT22" s="2">
        <f t="shared" si="8"/>
        <v>0</v>
      </c>
      <c r="AU22" s="2">
        <f t="shared" ref="AU22:BZ22" si="9">AU104</f>
        <v>677259.19</v>
      </c>
      <c r="AV22" s="2">
        <f t="shared" si="9"/>
        <v>496031.86</v>
      </c>
      <c r="AW22" s="2">
        <f t="shared" si="9"/>
        <v>496031.86</v>
      </c>
      <c r="AX22" s="2">
        <f t="shared" si="9"/>
        <v>0</v>
      </c>
      <c r="AY22" s="2">
        <f t="shared" si="9"/>
        <v>496031.86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CA104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DG104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EM104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FS104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ROW(A36)</f>
        <v>36</v>
      </c>
      <c r="E24" s="1"/>
      <c r="F24" s="1" t="s">
        <v>13</v>
      </c>
      <c r="G24" s="1" t="s">
        <v>13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B36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Новый раздел</v>
      </c>
      <c r="H26" s="2"/>
      <c r="I26" s="2"/>
      <c r="J26" s="2"/>
      <c r="K26" s="2"/>
      <c r="L26" s="2"/>
      <c r="M26" s="2"/>
      <c r="N26" s="2"/>
      <c r="O26" s="2">
        <f t="shared" ref="O26:AT26" si="15">O36</f>
        <v>594391.85</v>
      </c>
      <c r="P26" s="2">
        <f t="shared" si="15"/>
        <v>496031.86</v>
      </c>
      <c r="Q26" s="2">
        <f t="shared" si="15"/>
        <v>3749.94</v>
      </c>
      <c r="R26" s="2">
        <f t="shared" si="15"/>
        <v>1526.94</v>
      </c>
      <c r="S26" s="2">
        <f t="shared" si="15"/>
        <v>94610.05</v>
      </c>
      <c r="T26" s="2">
        <f t="shared" si="15"/>
        <v>0</v>
      </c>
      <c r="U26" s="2">
        <f t="shared" si="15"/>
        <v>210.36788319999999</v>
      </c>
      <c r="V26" s="2">
        <f t="shared" si="15"/>
        <v>0</v>
      </c>
      <c r="W26" s="2">
        <f t="shared" si="15"/>
        <v>0</v>
      </c>
      <c r="X26" s="2">
        <f t="shared" si="15"/>
        <v>66227.03</v>
      </c>
      <c r="Y26" s="2">
        <f t="shared" si="15"/>
        <v>9461.01</v>
      </c>
      <c r="Z26" s="2">
        <f t="shared" si="15"/>
        <v>0</v>
      </c>
      <c r="AA26" s="2">
        <f t="shared" si="15"/>
        <v>0</v>
      </c>
      <c r="AB26" s="2">
        <f t="shared" si="15"/>
        <v>594391.85</v>
      </c>
      <c r="AC26" s="2">
        <f t="shared" si="15"/>
        <v>496031.86</v>
      </c>
      <c r="AD26" s="2">
        <f t="shared" si="15"/>
        <v>3749.94</v>
      </c>
      <c r="AE26" s="2">
        <f t="shared" si="15"/>
        <v>1526.94</v>
      </c>
      <c r="AF26" s="2">
        <f t="shared" si="15"/>
        <v>94610.05</v>
      </c>
      <c r="AG26" s="2">
        <f t="shared" si="15"/>
        <v>0</v>
      </c>
      <c r="AH26" s="2">
        <f t="shared" si="15"/>
        <v>210.36788319999999</v>
      </c>
      <c r="AI26" s="2">
        <f t="shared" si="15"/>
        <v>0</v>
      </c>
      <c r="AJ26" s="2">
        <f t="shared" si="15"/>
        <v>0</v>
      </c>
      <c r="AK26" s="2">
        <f t="shared" si="15"/>
        <v>66227.03</v>
      </c>
      <c r="AL26" s="2">
        <f t="shared" si="15"/>
        <v>9461.01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672522.99</v>
      </c>
      <c r="AS26" s="2">
        <f t="shared" si="15"/>
        <v>0</v>
      </c>
      <c r="AT26" s="2">
        <f t="shared" si="15"/>
        <v>0</v>
      </c>
      <c r="AU26" s="2">
        <f t="shared" ref="AU26:BZ26" si="16">AU36</f>
        <v>672522.99</v>
      </c>
      <c r="AV26" s="2">
        <f t="shared" si="16"/>
        <v>496031.86</v>
      </c>
      <c r="AW26" s="2">
        <f t="shared" si="16"/>
        <v>496031.86</v>
      </c>
      <c r="AX26" s="2">
        <f t="shared" si="16"/>
        <v>0</v>
      </c>
      <c r="AY26" s="2">
        <f t="shared" si="16"/>
        <v>496031.86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CA36</f>
        <v>672522.99</v>
      </c>
      <c r="CB26" s="2">
        <f t="shared" si="17"/>
        <v>0</v>
      </c>
      <c r="CC26" s="2">
        <f t="shared" si="17"/>
        <v>0</v>
      </c>
      <c r="CD26" s="2">
        <f t="shared" si="17"/>
        <v>672522.99</v>
      </c>
      <c r="CE26" s="2">
        <f t="shared" si="17"/>
        <v>496031.86</v>
      </c>
      <c r="CF26" s="2">
        <f t="shared" si="17"/>
        <v>496031.86</v>
      </c>
      <c r="CG26" s="2">
        <f t="shared" si="17"/>
        <v>0</v>
      </c>
      <c r="CH26" s="2">
        <f t="shared" si="17"/>
        <v>496031.86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DG36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EM36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FS36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ROW(SmtRes!A8)</f>
        <v>8</v>
      </c>
      <c r="D28">
        <f>ROW(EtalonRes!A8)</f>
        <v>8</v>
      </c>
      <c r="E28" t="s">
        <v>14</v>
      </c>
      <c r="F28" t="s">
        <v>15</v>
      </c>
      <c r="G28" t="s">
        <v>16</v>
      </c>
      <c r="H28" t="s">
        <v>17</v>
      </c>
      <c r="I28">
        <f>ROUND((5.22+4.02+8.32)*120/1000,9)</f>
        <v>2.1072000000000002</v>
      </c>
      <c r="J28">
        <v>0</v>
      </c>
      <c r="K28">
        <f>ROUND((5.22+4.02+8.32)*120/1000,9)</f>
        <v>2.1072000000000002</v>
      </c>
      <c r="O28">
        <f t="shared" ref="O28:O34" si="21">ROUND(CP28,2)</f>
        <v>8066.23</v>
      </c>
      <c r="P28">
        <f t="shared" ref="P28:P34" si="22">ROUND(CQ28*I28,2)</f>
        <v>0</v>
      </c>
      <c r="Q28">
        <f t="shared" ref="Q28:Q34" si="23">ROUND(CR28*I28,2)</f>
        <v>144.31</v>
      </c>
      <c r="R28">
        <f t="shared" ref="R28:R34" si="24">ROUND(CS28*I28,2)</f>
        <v>0.24</v>
      </c>
      <c r="S28">
        <f t="shared" ref="S28:S34" si="25">ROUND(CT28*I28,2)</f>
        <v>7921.92</v>
      </c>
      <c r="T28">
        <f t="shared" ref="T28:T34" si="26">ROUND(CU28*I28,2)</f>
        <v>0</v>
      </c>
      <c r="U28">
        <f t="shared" ref="U28:U34" si="27">CV28*I28</f>
        <v>17.397043200000002</v>
      </c>
      <c r="V28">
        <f t="shared" ref="V28:V34" si="28">CW28*I28</f>
        <v>0</v>
      </c>
      <c r="W28">
        <f t="shared" ref="W28:W34" si="29">ROUND(CX28*I28,2)</f>
        <v>0</v>
      </c>
      <c r="X28">
        <f t="shared" ref="X28:Y34" si="30">ROUND(CY28,2)</f>
        <v>5545.34</v>
      </c>
      <c r="Y28">
        <f t="shared" si="30"/>
        <v>792.19</v>
      </c>
      <c r="AA28">
        <v>78163571</v>
      </c>
      <c r="AB28">
        <f t="shared" ref="AB28:AB34" si="31">ROUND((AC28+AD28+AF28),6)</f>
        <v>3827.9340000000002</v>
      </c>
      <c r="AC28">
        <f>ROUND(((ES28*0)),6)</f>
        <v>0</v>
      </c>
      <c r="AD28">
        <f>ROUND(((((ET28*0.2))-((EU28*0.2)))+AE28),6)</f>
        <v>68.481999999999999</v>
      </c>
      <c r="AE28">
        <f>ROUND(((EU28*0.2)),6)</f>
        <v>0.11600000000000001</v>
      </c>
      <c r="AF28">
        <f>ROUND(((EV28*0.2)),6)</f>
        <v>3759.4520000000002</v>
      </c>
      <c r="AG28">
        <f t="shared" ref="AG28:AG34" si="32">ROUND((AP28),6)</f>
        <v>0</v>
      </c>
      <c r="AH28">
        <f>((EW28*0.2))</f>
        <v>8.2560000000000002</v>
      </c>
      <c r="AI28">
        <f>((EX28*0.2))</f>
        <v>0</v>
      </c>
      <c r="AJ28">
        <f t="shared" ref="AJ28:AJ34" si="33">(AS28)</f>
        <v>0</v>
      </c>
      <c r="AK28">
        <v>175052.36</v>
      </c>
      <c r="AL28">
        <v>155912.69</v>
      </c>
      <c r="AM28">
        <v>342.41</v>
      </c>
      <c r="AN28">
        <v>0.57999999999999996</v>
      </c>
      <c r="AO28">
        <v>18797.259999999998</v>
      </c>
      <c r="AP28">
        <v>0</v>
      </c>
      <c r="AQ28">
        <v>41.28</v>
      </c>
      <c r="AR28">
        <v>0</v>
      </c>
      <c r="AS28">
        <v>0</v>
      </c>
      <c r="AT28">
        <v>70</v>
      </c>
      <c r="AU28">
        <v>10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18</v>
      </c>
      <c r="BM28">
        <v>0</v>
      </c>
      <c r="BN28">
        <v>77790596</v>
      </c>
      <c r="BO28" t="s">
        <v>3</v>
      </c>
      <c r="BP28">
        <v>0</v>
      </c>
      <c r="BQ28">
        <v>1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70</v>
      </c>
      <c r="CA28">
        <v>10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249</v>
      </c>
      <c r="CO28">
        <v>0</v>
      </c>
      <c r="CP28">
        <f t="shared" ref="CP28:CP34" si="34">(P28+Q28+S28)</f>
        <v>8066.2300000000005</v>
      </c>
      <c r="CQ28">
        <f t="shared" ref="CQ28:CQ34" si="35">(AC28*BC28*AW28)</f>
        <v>0</v>
      </c>
      <c r="CR28">
        <f>(((((ET28*0.2))*BB28-((EU28*0.2))*BS28)+AE28*BS28)*AV28)</f>
        <v>68.482000000000014</v>
      </c>
      <c r="CS28">
        <f t="shared" ref="CS28:CS34" si="36">(AE28*BS28*AV28)</f>
        <v>0.11600000000000001</v>
      </c>
      <c r="CT28">
        <f t="shared" ref="CT28:CT34" si="37">(AF28*BA28*AV28)</f>
        <v>3759.4520000000002</v>
      </c>
      <c r="CU28">
        <f t="shared" ref="CU28:CU34" si="38">AG28</f>
        <v>0</v>
      </c>
      <c r="CV28">
        <f t="shared" ref="CV28:CV34" si="39">(AH28*AV28)</f>
        <v>8.2560000000000002</v>
      </c>
      <c r="CW28">
        <f t="shared" ref="CW28:CX34" si="40">AI28</f>
        <v>0</v>
      </c>
      <c r="CX28">
        <f t="shared" si="40"/>
        <v>0</v>
      </c>
      <c r="CY28">
        <f t="shared" ref="CY28:CY34" si="41">((S28*BZ28)/100)</f>
        <v>5545.3440000000001</v>
      </c>
      <c r="CZ28">
        <f t="shared" ref="CZ28:CZ34" si="42">((S28*CA28)/100)</f>
        <v>792.19200000000001</v>
      </c>
      <c r="DC28" t="s">
        <v>3</v>
      </c>
      <c r="DD28" t="s">
        <v>19</v>
      </c>
      <c r="DE28" t="s">
        <v>20</v>
      </c>
      <c r="DF28" t="s">
        <v>20</v>
      </c>
      <c r="DG28" t="s">
        <v>20</v>
      </c>
      <c r="DH28" t="s">
        <v>3</v>
      </c>
      <c r="DI28" t="s">
        <v>20</v>
      </c>
      <c r="DJ28" t="s">
        <v>20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1009</v>
      </c>
      <c r="DV28" t="s">
        <v>17</v>
      </c>
      <c r="DW28" t="s">
        <v>17</v>
      </c>
      <c r="DX28">
        <v>1000</v>
      </c>
      <c r="DZ28" t="s">
        <v>3</v>
      </c>
      <c r="EA28" t="s">
        <v>3</v>
      </c>
      <c r="EB28" t="s">
        <v>3</v>
      </c>
      <c r="EC28" t="s">
        <v>3</v>
      </c>
      <c r="EE28">
        <v>77790599</v>
      </c>
      <c r="EF28">
        <v>1</v>
      </c>
      <c r="EG28" t="s">
        <v>21</v>
      </c>
      <c r="EH28">
        <v>0</v>
      </c>
      <c r="EI28" t="s">
        <v>3</v>
      </c>
      <c r="EJ28">
        <v>4</v>
      </c>
      <c r="EK28">
        <v>0</v>
      </c>
      <c r="EL28" t="s">
        <v>22</v>
      </c>
      <c r="EM28" t="s">
        <v>23</v>
      </c>
      <c r="EO28" t="s">
        <v>24</v>
      </c>
      <c r="EQ28">
        <v>131072</v>
      </c>
      <c r="ER28">
        <v>175052.36</v>
      </c>
      <c r="ES28">
        <v>155912.69</v>
      </c>
      <c r="ET28">
        <v>342.41</v>
      </c>
      <c r="EU28">
        <v>0.57999999999999996</v>
      </c>
      <c r="EV28">
        <v>18797.259999999998</v>
      </c>
      <c r="EW28">
        <v>41.28</v>
      </c>
      <c r="EX28">
        <v>0</v>
      </c>
      <c r="EY28">
        <v>0</v>
      </c>
      <c r="FQ28">
        <v>0</v>
      </c>
      <c r="FR28">
        <f t="shared" ref="FR28:FR34" si="43">ROUND(IF(BI28=3,GM28,0),2)</f>
        <v>0</v>
      </c>
      <c r="FS28">
        <v>0</v>
      </c>
      <c r="FX28">
        <v>70</v>
      </c>
      <c r="FY28">
        <v>10</v>
      </c>
      <c r="GA28" t="s">
        <v>3</v>
      </c>
      <c r="GD28">
        <v>0</v>
      </c>
      <c r="GF28">
        <v>594113042</v>
      </c>
      <c r="GG28">
        <v>2</v>
      </c>
      <c r="GH28">
        <v>1</v>
      </c>
      <c r="GI28">
        <v>-2</v>
      </c>
      <c r="GJ28">
        <v>0</v>
      </c>
      <c r="GK28">
        <f>ROUND(R28*(R12)/100,2)</f>
        <v>0.38</v>
      </c>
      <c r="GL28">
        <f t="shared" ref="GL28:GL34" si="44">ROUND(IF(AND(BH28=3,BI28=3,FS28&lt;&gt;0),P28,0),2)</f>
        <v>0</v>
      </c>
      <c r="GM28">
        <f t="shared" ref="GM28:GM34" si="45">ROUND(O28+X28+Y28+GK28,2)+GX28</f>
        <v>14404.14</v>
      </c>
      <c r="GN28">
        <f t="shared" ref="GN28:GN34" si="46">IF(OR(BI28=0,BI28=1),GM28-GX28,0)</f>
        <v>0</v>
      </c>
      <c r="GO28">
        <f t="shared" ref="GO28:GO34" si="47">IF(BI28=2,GM28-GX28,0)</f>
        <v>0</v>
      </c>
      <c r="GP28">
        <f t="shared" ref="GP28:GP34" si="48">IF(BI28=4,GM28-GX28,0)</f>
        <v>14404.14</v>
      </c>
      <c r="GR28">
        <v>0</v>
      </c>
      <c r="GS28">
        <v>3</v>
      </c>
      <c r="GT28">
        <v>0</v>
      </c>
      <c r="GU28" t="s">
        <v>3</v>
      </c>
      <c r="GV28">
        <f t="shared" ref="GV28:GV34" si="49">ROUND((GT28),6)</f>
        <v>0</v>
      </c>
      <c r="GW28">
        <v>1</v>
      </c>
      <c r="GX28">
        <f t="shared" ref="GX28:GX34" si="50">ROUND(HC28*I28,2)</f>
        <v>0</v>
      </c>
      <c r="HA28">
        <v>0</v>
      </c>
      <c r="HB28">
        <v>0</v>
      </c>
      <c r="HC28">
        <f t="shared" ref="HC28:HC34" si="51">GV28*GW28</f>
        <v>0</v>
      </c>
      <c r="HE28" t="s">
        <v>3</v>
      </c>
      <c r="HF28" t="s">
        <v>3</v>
      </c>
      <c r="HM28" t="s">
        <v>3</v>
      </c>
      <c r="HN28" t="s">
        <v>3</v>
      </c>
      <c r="HO28" t="s">
        <v>3</v>
      </c>
      <c r="HP28" t="s">
        <v>3</v>
      </c>
      <c r="HQ28" t="s">
        <v>3</v>
      </c>
      <c r="IK28">
        <v>0</v>
      </c>
    </row>
    <row r="29" spans="1:245" x14ac:dyDescent="0.2">
      <c r="A29">
        <v>17</v>
      </c>
      <c r="B29">
        <v>1</v>
      </c>
      <c r="C29">
        <f>ROW(SmtRes!A17)</f>
        <v>17</v>
      </c>
      <c r="D29">
        <f>ROW(EtalonRes!A16)</f>
        <v>16</v>
      </c>
      <c r="E29" t="s">
        <v>25</v>
      </c>
      <c r="F29" t="s">
        <v>15</v>
      </c>
      <c r="G29" t="s">
        <v>26</v>
      </c>
      <c r="H29" t="s">
        <v>17</v>
      </c>
      <c r="I29">
        <f>ROUND(I28,9)</f>
        <v>2.1072000000000002</v>
      </c>
      <c r="J29">
        <v>0</v>
      </c>
      <c r="K29">
        <f>ROUND(I28,9)</f>
        <v>2.1072000000000002</v>
      </c>
      <c r="O29">
        <f t="shared" si="21"/>
        <v>368870.34</v>
      </c>
      <c r="P29">
        <f t="shared" si="22"/>
        <v>328539.21999999997</v>
      </c>
      <c r="Q29">
        <f t="shared" si="23"/>
        <v>721.53</v>
      </c>
      <c r="R29">
        <f t="shared" si="24"/>
        <v>1.22</v>
      </c>
      <c r="S29">
        <f t="shared" si="25"/>
        <v>39609.589999999997</v>
      </c>
      <c r="T29">
        <f t="shared" si="26"/>
        <v>0</v>
      </c>
      <c r="U29">
        <f t="shared" si="27"/>
        <v>86.985216000000008</v>
      </c>
      <c r="V29">
        <f t="shared" si="28"/>
        <v>0</v>
      </c>
      <c r="W29">
        <f t="shared" si="29"/>
        <v>0</v>
      </c>
      <c r="X29">
        <f t="shared" si="30"/>
        <v>27726.71</v>
      </c>
      <c r="Y29">
        <f t="shared" si="30"/>
        <v>3960.96</v>
      </c>
      <c r="AA29">
        <v>78163571</v>
      </c>
      <c r="AB29">
        <f t="shared" si="31"/>
        <v>175052.36</v>
      </c>
      <c r="AC29">
        <f t="shared" ref="AC29:AC34" si="52">ROUND((ES29),6)</f>
        <v>155912.69</v>
      </c>
      <c r="AD29">
        <f t="shared" ref="AD29:AD34" si="53">ROUND((((ET29)-(EU29))+AE29),6)</f>
        <v>342.41</v>
      </c>
      <c r="AE29">
        <f t="shared" ref="AE29:AF34" si="54">ROUND((EU29),6)</f>
        <v>0.57999999999999996</v>
      </c>
      <c r="AF29">
        <f t="shared" si="54"/>
        <v>18797.259999999998</v>
      </c>
      <c r="AG29">
        <f t="shared" si="32"/>
        <v>0</v>
      </c>
      <c r="AH29">
        <f t="shared" ref="AH29:AI34" si="55">(EW29)</f>
        <v>41.28</v>
      </c>
      <c r="AI29">
        <f t="shared" si="55"/>
        <v>0</v>
      </c>
      <c r="AJ29">
        <f t="shared" si="33"/>
        <v>0</v>
      </c>
      <c r="AK29">
        <v>175052.36</v>
      </c>
      <c r="AL29">
        <v>155912.69</v>
      </c>
      <c r="AM29">
        <v>342.41</v>
      </c>
      <c r="AN29">
        <v>0.57999999999999996</v>
      </c>
      <c r="AO29">
        <v>18797.259999999998</v>
      </c>
      <c r="AP29">
        <v>0</v>
      </c>
      <c r="AQ29">
        <v>41.28</v>
      </c>
      <c r="AR29">
        <v>0</v>
      </c>
      <c r="AS29">
        <v>0</v>
      </c>
      <c r="AT29">
        <v>70</v>
      </c>
      <c r="AU29">
        <v>10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18</v>
      </c>
      <c r="BM29">
        <v>0</v>
      </c>
      <c r="BN29">
        <v>77790596</v>
      </c>
      <c r="BO29" t="s">
        <v>3</v>
      </c>
      <c r="BP29">
        <v>0</v>
      </c>
      <c r="BQ29">
        <v>1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70</v>
      </c>
      <c r="CA29">
        <v>10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34"/>
        <v>368870.33999999997</v>
      </c>
      <c r="CQ29">
        <f t="shared" si="35"/>
        <v>155912.69</v>
      </c>
      <c r="CR29">
        <f t="shared" ref="CR29:CR34" si="56">((((ET29)*BB29-(EU29)*BS29)+AE29*BS29)*AV29)</f>
        <v>342.41</v>
      </c>
      <c r="CS29">
        <f t="shared" si="36"/>
        <v>0.57999999999999996</v>
      </c>
      <c r="CT29">
        <f t="shared" si="37"/>
        <v>18797.259999999998</v>
      </c>
      <c r="CU29">
        <f t="shared" si="38"/>
        <v>0</v>
      </c>
      <c r="CV29">
        <f t="shared" si="39"/>
        <v>41.28</v>
      </c>
      <c r="CW29">
        <f t="shared" si="40"/>
        <v>0</v>
      </c>
      <c r="CX29">
        <f t="shared" si="40"/>
        <v>0</v>
      </c>
      <c r="CY29">
        <f t="shared" si="41"/>
        <v>27726.713</v>
      </c>
      <c r="CZ29">
        <f t="shared" si="42"/>
        <v>3960.9589999999998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1009</v>
      </c>
      <c r="DV29" t="s">
        <v>17</v>
      </c>
      <c r="DW29" t="s">
        <v>17</v>
      </c>
      <c r="DX29">
        <v>1000</v>
      </c>
      <c r="DZ29" t="s">
        <v>3</v>
      </c>
      <c r="EA29" t="s">
        <v>3</v>
      </c>
      <c r="EB29" t="s">
        <v>3</v>
      </c>
      <c r="EC29" t="s">
        <v>3</v>
      </c>
      <c r="EE29">
        <v>77790599</v>
      </c>
      <c r="EF29">
        <v>1</v>
      </c>
      <c r="EG29" t="s">
        <v>21</v>
      </c>
      <c r="EH29">
        <v>0</v>
      </c>
      <c r="EI29" t="s">
        <v>3</v>
      </c>
      <c r="EJ29">
        <v>4</v>
      </c>
      <c r="EK29">
        <v>0</v>
      </c>
      <c r="EL29" t="s">
        <v>22</v>
      </c>
      <c r="EM29" t="s">
        <v>23</v>
      </c>
      <c r="EO29" t="s">
        <v>3</v>
      </c>
      <c r="EQ29">
        <v>131072</v>
      </c>
      <c r="ER29">
        <v>175052.36</v>
      </c>
      <c r="ES29">
        <v>155912.69</v>
      </c>
      <c r="ET29">
        <v>342.41</v>
      </c>
      <c r="EU29">
        <v>0.57999999999999996</v>
      </c>
      <c r="EV29">
        <v>18797.259999999998</v>
      </c>
      <c r="EW29">
        <v>41.28</v>
      </c>
      <c r="EX29">
        <v>0</v>
      </c>
      <c r="EY29">
        <v>0</v>
      </c>
      <c r="FQ29">
        <v>0</v>
      </c>
      <c r="FR29">
        <f t="shared" si="43"/>
        <v>0</v>
      </c>
      <c r="FS29">
        <v>0</v>
      </c>
      <c r="FX29">
        <v>70</v>
      </c>
      <c r="FY29">
        <v>10</v>
      </c>
      <c r="GA29" t="s">
        <v>3</v>
      </c>
      <c r="GD29">
        <v>0</v>
      </c>
      <c r="GF29">
        <v>-1920353862</v>
      </c>
      <c r="GG29">
        <v>2</v>
      </c>
      <c r="GH29">
        <v>1</v>
      </c>
      <c r="GI29">
        <v>-2</v>
      </c>
      <c r="GJ29">
        <v>0</v>
      </c>
      <c r="GK29">
        <f>ROUND(R29*(R12)/100,2)</f>
        <v>1.95</v>
      </c>
      <c r="GL29">
        <f t="shared" si="44"/>
        <v>0</v>
      </c>
      <c r="GM29">
        <f t="shared" si="45"/>
        <v>400559.96</v>
      </c>
      <c r="GN29">
        <f t="shared" si="46"/>
        <v>0</v>
      </c>
      <c r="GO29">
        <f t="shared" si="47"/>
        <v>0</v>
      </c>
      <c r="GP29">
        <f t="shared" si="48"/>
        <v>400559.96</v>
      </c>
      <c r="GR29">
        <v>0</v>
      </c>
      <c r="GS29">
        <v>3</v>
      </c>
      <c r="GT29">
        <v>0</v>
      </c>
      <c r="GU29" t="s">
        <v>3</v>
      </c>
      <c r="GV29">
        <f t="shared" si="49"/>
        <v>0</v>
      </c>
      <c r="GW29">
        <v>1</v>
      </c>
      <c r="GX29">
        <f t="shared" si="50"/>
        <v>0</v>
      </c>
      <c r="HA29">
        <v>0</v>
      </c>
      <c r="HB29">
        <v>0</v>
      </c>
      <c r="HC29">
        <f t="shared" si="51"/>
        <v>0</v>
      </c>
      <c r="HE29" t="s">
        <v>3</v>
      </c>
      <c r="HF29" t="s">
        <v>3</v>
      </c>
      <c r="HM29" t="s">
        <v>3</v>
      </c>
      <c r="HN29" t="s">
        <v>3</v>
      </c>
      <c r="HO29" t="s">
        <v>3</v>
      </c>
      <c r="HP29" t="s">
        <v>3</v>
      </c>
      <c r="HQ29" t="s">
        <v>3</v>
      </c>
      <c r="IK29">
        <v>0</v>
      </c>
    </row>
    <row r="30" spans="1:245" x14ac:dyDescent="0.2">
      <c r="A30">
        <v>18</v>
      </c>
      <c r="B30">
        <v>1</v>
      </c>
      <c r="C30">
        <v>13</v>
      </c>
      <c r="E30" t="s">
        <v>27</v>
      </c>
      <c r="F30" t="s">
        <v>28</v>
      </c>
      <c r="G30" t="s">
        <v>29</v>
      </c>
      <c r="H30" t="s">
        <v>17</v>
      </c>
      <c r="I30">
        <f>I29*J30</f>
        <v>0.14162500000000003</v>
      </c>
      <c r="J30">
        <v>6.7210041761579353E-2</v>
      </c>
      <c r="K30">
        <v>6.7210000000000006E-2</v>
      </c>
      <c r="O30">
        <f t="shared" si="21"/>
        <v>7467.37</v>
      </c>
      <c r="P30">
        <f t="shared" si="22"/>
        <v>7467.37</v>
      </c>
      <c r="Q30">
        <f t="shared" si="23"/>
        <v>0</v>
      </c>
      <c r="R30">
        <f t="shared" si="24"/>
        <v>0</v>
      </c>
      <c r="S30">
        <f t="shared" si="25"/>
        <v>0</v>
      </c>
      <c r="T30">
        <f t="shared" si="26"/>
        <v>0</v>
      </c>
      <c r="U30">
        <f t="shared" si="27"/>
        <v>0</v>
      </c>
      <c r="V30">
        <f t="shared" si="28"/>
        <v>0</v>
      </c>
      <c r="W30">
        <f t="shared" si="29"/>
        <v>0</v>
      </c>
      <c r="X30">
        <f t="shared" si="30"/>
        <v>0</v>
      </c>
      <c r="Y30">
        <f t="shared" si="30"/>
        <v>0</v>
      </c>
      <c r="AA30">
        <v>78163571</v>
      </c>
      <c r="AB30">
        <f t="shared" si="31"/>
        <v>52726.39</v>
      </c>
      <c r="AC30">
        <f t="shared" si="52"/>
        <v>52726.39</v>
      </c>
      <c r="AD30">
        <f t="shared" si="53"/>
        <v>0</v>
      </c>
      <c r="AE30">
        <f t="shared" si="54"/>
        <v>0</v>
      </c>
      <c r="AF30">
        <f t="shared" si="54"/>
        <v>0</v>
      </c>
      <c r="AG30">
        <f t="shared" si="32"/>
        <v>0</v>
      </c>
      <c r="AH30">
        <f t="shared" si="55"/>
        <v>0</v>
      </c>
      <c r="AI30">
        <f t="shared" si="55"/>
        <v>0</v>
      </c>
      <c r="AJ30">
        <f t="shared" si="33"/>
        <v>0</v>
      </c>
      <c r="AK30">
        <v>52726.39</v>
      </c>
      <c r="AL30">
        <v>52726.39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70</v>
      </c>
      <c r="AU30">
        <v>10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4</v>
      </c>
      <c r="BJ30" t="s">
        <v>30</v>
      </c>
      <c r="BM30">
        <v>0</v>
      </c>
      <c r="BN30">
        <v>77790596</v>
      </c>
      <c r="BO30" t="s">
        <v>3</v>
      </c>
      <c r="BP30">
        <v>0</v>
      </c>
      <c r="BQ30">
        <v>1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70</v>
      </c>
      <c r="CA30">
        <v>10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34"/>
        <v>7467.37</v>
      </c>
      <c r="CQ30">
        <f t="shared" si="35"/>
        <v>52726.39</v>
      </c>
      <c r="CR30">
        <f t="shared" si="56"/>
        <v>0</v>
      </c>
      <c r="CS30">
        <f t="shared" si="36"/>
        <v>0</v>
      </c>
      <c r="CT30">
        <f t="shared" si="37"/>
        <v>0</v>
      </c>
      <c r="CU30">
        <f t="shared" si="38"/>
        <v>0</v>
      </c>
      <c r="CV30">
        <f t="shared" si="39"/>
        <v>0</v>
      </c>
      <c r="CW30">
        <f t="shared" si="40"/>
        <v>0</v>
      </c>
      <c r="CX30">
        <f t="shared" si="40"/>
        <v>0</v>
      </c>
      <c r="CY30">
        <f t="shared" si="41"/>
        <v>0</v>
      </c>
      <c r="CZ30">
        <f t="shared" si="42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17</v>
      </c>
      <c r="DW30" t="s">
        <v>17</v>
      </c>
      <c r="DX30">
        <v>1000</v>
      </c>
      <c r="DZ30" t="s">
        <v>3</v>
      </c>
      <c r="EA30" t="s">
        <v>3</v>
      </c>
      <c r="EB30" t="s">
        <v>3</v>
      </c>
      <c r="EC30" t="s">
        <v>3</v>
      </c>
      <c r="EE30">
        <v>77790599</v>
      </c>
      <c r="EF30">
        <v>1</v>
      </c>
      <c r="EG30" t="s">
        <v>21</v>
      </c>
      <c r="EH30">
        <v>0</v>
      </c>
      <c r="EI30" t="s">
        <v>3</v>
      </c>
      <c r="EJ30">
        <v>4</v>
      </c>
      <c r="EK30">
        <v>0</v>
      </c>
      <c r="EL30" t="s">
        <v>22</v>
      </c>
      <c r="EM30" t="s">
        <v>23</v>
      </c>
      <c r="EO30" t="s">
        <v>3</v>
      </c>
      <c r="EQ30">
        <v>0</v>
      </c>
      <c r="ER30">
        <v>52726.39</v>
      </c>
      <c r="ES30">
        <v>52726.39</v>
      </c>
      <c r="ET30">
        <v>0</v>
      </c>
      <c r="EU30">
        <v>0</v>
      </c>
      <c r="EV30">
        <v>0</v>
      </c>
      <c r="EW30">
        <v>0</v>
      </c>
      <c r="EX30">
        <v>0</v>
      </c>
      <c r="FQ30">
        <v>0</v>
      </c>
      <c r="FR30">
        <f t="shared" si="43"/>
        <v>0</v>
      </c>
      <c r="FS30">
        <v>0</v>
      </c>
      <c r="FX30">
        <v>70</v>
      </c>
      <c r="FY30">
        <v>10</v>
      </c>
      <c r="GA30" t="s">
        <v>3</v>
      </c>
      <c r="GD30">
        <v>0</v>
      </c>
      <c r="GF30">
        <v>1059393972</v>
      </c>
      <c r="GG30">
        <v>2</v>
      </c>
      <c r="GH30">
        <v>1</v>
      </c>
      <c r="GI30">
        <v>-2</v>
      </c>
      <c r="GJ30">
        <v>0</v>
      </c>
      <c r="GK30">
        <f>ROUND(R30*(R12)/100,2)</f>
        <v>0</v>
      </c>
      <c r="GL30">
        <f t="shared" si="44"/>
        <v>0</v>
      </c>
      <c r="GM30">
        <f t="shared" si="45"/>
        <v>7467.37</v>
      </c>
      <c r="GN30">
        <f t="shared" si="46"/>
        <v>0</v>
      </c>
      <c r="GO30">
        <f t="shared" si="47"/>
        <v>0</v>
      </c>
      <c r="GP30">
        <f t="shared" si="48"/>
        <v>7467.37</v>
      </c>
      <c r="GR30">
        <v>0</v>
      </c>
      <c r="GS30">
        <v>3</v>
      </c>
      <c r="GT30">
        <v>0</v>
      </c>
      <c r="GU30" t="s">
        <v>3</v>
      </c>
      <c r="GV30">
        <f t="shared" si="49"/>
        <v>0</v>
      </c>
      <c r="GW30">
        <v>1</v>
      </c>
      <c r="GX30">
        <f t="shared" si="50"/>
        <v>0</v>
      </c>
      <c r="HA30">
        <v>0</v>
      </c>
      <c r="HB30">
        <v>0</v>
      </c>
      <c r="HC30">
        <f t="shared" si="51"/>
        <v>0</v>
      </c>
      <c r="HE30" t="s">
        <v>3</v>
      </c>
      <c r="HF30" t="s">
        <v>3</v>
      </c>
      <c r="HM30" t="s">
        <v>3</v>
      </c>
      <c r="HN30" t="s">
        <v>3</v>
      </c>
      <c r="HO30" t="s">
        <v>3</v>
      </c>
      <c r="HP30" t="s">
        <v>3</v>
      </c>
      <c r="HQ30" t="s">
        <v>3</v>
      </c>
      <c r="IK30">
        <v>0</v>
      </c>
    </row>
    <row r="31" spans="1:245" x14ac:dyDescent="0.2">
      <c r="A31">
        <v>17</v>
      </c>
      <c r="B31">
        <v>1</v>
      </c>
      <c r="C31">
        <f>ROW(SmtRes!A32)</f>
        <v>32</v>
      </c>
      <c r="D31">
        <f>ROW(EtalonRes!A31)</f>
        <v>31</v>
      </c>
      <c r="E31" t="s">
        <v>31</v>
      </c>
      <c r="F31" t="s">
        <v>32</v>
      </c>
      <c r="G31" t="s">
        <v>33</v>
      </c>
      <c r="H31" t="s">
        <v>34</v>
      </c>
      <c r="I31">
        <f>ROUND((5.22+4.02+8.32)/10+(4.2+1.9+6.8)/10,9)</f>
        <v>3.0459999999999998</v>
      </c>
      <c r="J31">
        <v>0</v>
      </c>
      <c r="K31">
        <f>ROUND((5.22+4.02+8.32)/10+(4.2+1.9+6.8)/10,9)</f>
        <v>3.0459999999999998</v>
      </c>
      <c r="O31">
        <f t="shared" si="21"/>
        <v>184635.64</v>
      </c>
      <c r="P31">
        <f t="shared" si="22"/>
        <v>143107.93</v>
      </c>
      <c r="Q31">
        <f t="shared" si="23"/>
        <v>1600.92</v>
      </c>
      <c r="R31">
        <f t="shared" si="24"/>
        <v>775.36</v>
      </c>
      <c r="S31">
        <f t="shared" si="25"/>
        <v>39926.79</v>
      </c>
      <c r="T31">
        <f t="shared" si="26"/>
        <v>0</v>
      </c>
      <c r="U31">
        <f t="shared" si="27"/>
        <v>87.206979999999987</v>
      </c>
      <c r="V31">
        <f t="shared" si="28"/>
        <v>0</v>
      </c>
      <c r="W31">
        <f t="shared" si="29"/>
        <v>0</v>
      </c>
      <c r="X31">
        <f t="shared" si="30"/>
        <v>27948.75</v>
      </c>
      <c r="Y31">
        <f t="shared" si="30"/>
        <v>3992.68</v>
      </c>
      <c r="AA31">
        <v>78163571</v>
      </c>
      <c r="AB31">
        <f t="shared" si="31"/>
        <v>60615.77</v>
      </c>
      <c r="AC31">
        <f t="shared" si="52"/>
        <v>46982.25</v>
      </c>
      <c r="AD31">
        <f t="shared" si="53"/>
        <v>525.58000000000004</v>
      </c>
      <c r="AE31">
        <f t="shared" si="54"/>
        <v>254.55</v>
      </c>
      <c r="AF31">
        <f t="shared" si="54"/>
        <v>13107.94</v>
      </c>
      <c r="AG31">
        <f t="shared" si="32"/>
        <v>0</v>
      </c>
      <c r="AH31">
        <f t="shared" si="55"/>
        <v>28.63</v>
      </c>
      <c r="AI31">
        <f t="shared" si="55"/>
        <v>0</v>
      </c>
      <c r="AJ31">
        <f t="shared" si="33"/>
        <v>0</v>
      </c>
      <c r="AK31">
        <v>60615.77</v>
      </c>
      <c r="AL31">
        <v>46982.25</v>
      </c>
      <c r="AM31">
        <v>525.58000000000004</v>
      </c>
      <c r="AN31">
        <v>254.55</v>
      </c>
      <c r="AO31">
        <v>13107.94</v>
      </c>
      <c r="AP31">
        <v>0</v>
      </c>
      <c r="AQ31">
        <v>28.63</v>
      </c>
      <c r="AR31">
        <v>0</v>
      </c>
      <c r="AS31">
        <v>0</v>
      </c>
      <c r="AT31">
        <v>70</v>
      </c>
      <c r="AU31">
        <v>10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35</v>
      </c>
      <c r="BM31">
        <v>0</v>
      </c>
      <c r="BN31">
        <v>77790596</v>
      </c>
      <c r="BO31" t="s">
        <v>3</v>
      </c>
      <c r="BP31">
        <v>0</v>
      </c>
      <c r="BQ31">
        <v>1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70</v>
      </c>
      <c r="CA31">
        <v>10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4"/>
        <v>184635.64</v>
      </c>
      <c r="CQ31">
        <f t="shared" si="35"/>
        <v>46982.25</v>
      </c>
      <c r="CR31">
        <f t="shared" si="56"/>
        <v>525.58000000000004</v>
      </c>
      <c r="CS31">
        <f t="shared" si="36"/>
        <v>254.55</v>
      </c>
      <c r="CT31">
        <f t="shared" si="37"/>
        <v>13107.94</v>
      </c>
      <c r="CU31">
        <f t="shared" si="38"/>
        <v>0</v>
      </c>
      <c r="CV31">
        <f t="shared" si="39"/>
        <v>28.63</v>
      </c>
      <c r="CW31">
        <f t="shared" si="40"/>
        <v>0</v>
      </c>
      <c r="CX31">
        <f t="shared" si="40"/>
        <v>0</v>
      </c>
      <c r="CY31">
        <f t="shared" si="41"/>
        <v>27948.753000000004</v>
      </c>
      <c r="CZ31">
        <f t="shared" si="42"/>
        <v>3992.6790000000001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1003</v>
      </c>
      <c r="DV31" t="s">
        <v>34</v>
      </c>
      <c r="DW31" t="s">
        <v>34</v>
      </c>
      <c r="DX31">
        <v>10</v>
      </c>
      <c r="DZ31" t="s">
        <v>3</v>
      </c>
      <c r="EA31" t="s">
        <v>3</v>
      </c>
      <c r="EB31" t="s">
        <v>3</v>
      </c>
      <c r="EC31" t="s">
        <v>3</v>
      </c>
      <c r="EE31">
        <v>77790599</v>
      </c>
      <c r="EF31">
        <v>1</v>
      </c>
      <c r="EG31" t="s">
        <v>21</v>
      </c>
      <c r="EH31">
        <v>0</v>
      </c>
      <c r="EI31" t="s">
        <v>3</v>
      </c>
      <c r="EJ31">
        <v>4</v>
      </c>
      <c r="EK31">
        <v>0</v>
      </c>
      <c r="EL31" t="s">
        <v>22</v>
      </c>
      <c r="EM31" t="s">
        <v>23</v>
      </c>
      <c r="EO31" t="s">
        <v>3</v>
      </c>
      <c r="EQ31">
        <v>131072</v>
      </c>
      <c r="ER31">
        <v>60615.77</v>
      </c>
      <c r="ES31">
        <v>46982.25</v>
      </c>
      <c r="ET31">
        <v>525.58000000000004</v>
      </c>
      <c r="EU31">
        <v>254.55</v>
      </c>
      <c r="EV31">
        <v>13107.94</v>
      </c>
      <c r="EW31">
        <v>28.63</v>
      </c>
      <c r="EX31">
        <v>0</v>
      </c>
      <c r="EY31">
        <v>0</v>
      </c>
      <c r="FQ31">
        <v>0</v>
      </c>
      <c r="FR31">
        <f t="shared" si="43"/>
        <v>0</v>
      </c>
      <c r="FS31">
        <v>0</v>
      </c>
      <c r="FX31">
        <v>70</v>
      </c>
      <c r="FY31">
        <v>10</v>
      </c>
      <c r="GA31" t="s">
        <v>3</v>
      </c>
      <c r="GD31">
        <v>0</v>
      </c>
      <c r="GF31">
        <v>1802491252</v>
      </c>
      <c r="GG31">
        <v>2</v>
      </c>
      <c r="GH31">
        <v>1</v>
      </c>
      <c r="GI31">
        <v>-2</v>
      </c>
      <c r="GJ31">
        <v>0</v>
      </c>
      <c r="GK31">
        <f>ROUND(R31*(R12)/100,2)</f>
        <v>1240.58</v>
      </c>
      <c r="GL31">
        <f t="shared" si="44"/>
        <v>0</v>
      </c>
      <c r="GM31">
        <f t="shared" si="45"/>
        <v>217817.65</v>
      </c>
      <c r="GN31">
        <f t="shared" si="46"/>
        <v>0</v>
      </c>
      <c r="GO31">
        <f t="shared" si="47"/>
        <v>0</v>
      </c>
      <c r="GP31">
        <f t="shared" si="48"/>
        <v>217817.65</v>
      </c>
      <c r="GR31">
        <v>0</v>
      </c>
      <c r="GS31">
        <v>3</v>
      </c>
      <c r="GT31">
        <v>0</v>
      </c>
      <c r="GU31" t="s">
        <v>3</v>
      </c>
      <c r="GV31">
        <f t="shared" si="49"/>
        <v>0</v>
      </c>
      <c r="GW31">
        <v>1</v>
      </c>
      <c r="GX31">
        <f t="shared" si="50"/>
        <v>0</v>
      </c>
      <c r="HA31">
        <v>0</v>
      </c>
      <c r="HB31">
        <v>0</v>
      </c>
      <c r="HC31">
        <f t="shared" si="51"/>
        <v>0</v>
      </c>
      <c r="HE31" t="s">
        <v>3</v>
      </c>
      <c r="HF31" t="s">
        <v>3</v>
      </c>
      <c r="HM31" t="s">
        <v>3</v>
      </c>
      <c r="HN31" t="s">
        <v>3</v>
      </c>
      <c r="HO31" t="s">
        <v>3</v>
      </c>
      <c r="HP31" t="s">
        <v>3</v>
      </c>
      <c r="HQ31" t="s">
        <v>3</v>
      </c>
      <c r="IK31">
        <v>0</v>
      </c>
    </row>
    <row r="32" spans="1:245" x14ac:dyDescent="0.2">
      <c r="A32">
        <v>17</v>
      </c>
      <c r="B32">
        <v>1</v>
      </c>
      <c r="C32">
        <f>ROW(SmtRes!A41)</f>
        <v>41</v>
      </c>
      <c r="D32">
        <f>ROW(EtalonRes!A40)</f>
        <v>40</v>
      </c>
      <c r="E32" t="s">
        <v>36</v>
      </c>
      <c r="F32" t="s">
        <v>37</v>
      </c>
      <c r="G32" t="s">
        <v>38</v>
      </c>
      <c r="H32" t="s">
        <v>39</v>
      </c>
      <c r="I32">
        <v>3.5999999999999999E-3</v>
      </c>
      <c r="J32">
        <v>0</v>
      </c>
      <c r="K32">
        <v>3.5999999999999999E-3</v>
      </c>
      <c r="O32">
        <f t="shared" si="21"/>
        <v>1217.2</v>
      </c>
      <c r="P32">
        <f t="shared" si="22"/>
        <v>694</v>
      </c>
      <c r="Q32">
        <f t="shared" si="23"/>
        <v>417.93</v>
      </c>
      <c r="R32">
        <f t="shared" si="24"/>
        <v>212.39</v>
      </c>
      <c r="S32">
        <f t="shared" si="25"/>
        <v>105.27</v>
      </c>
      <c r="T32">
        <f t="shared" si="26"/>
        <v>0</v>
      </c>
      <c r="U32">
        <f t="shared" si="27"/>
        <v>0.31424400000000002</v>
      </c>
      <c r="V32">
        <f t="shared" si="28"/>
        <v>0</v>
      </c>
      <c r="W32">
        <f t="shared" si="29"/>
        <v>0</v>
      </c>
      <c r="X32">
        <f t="shared" si="30"/>
        <v>73.69</v>
      </c>
      <c r="Y32">
        <f t="shared" si="30"/>
        <v>10.53</v>
      </c>
      <c r="AA32">
        <v>78163571</v>
      </c>
      <c r="AB32">
        <f t="shared" si="31"/>
        <v>338110.71999999997</v>
      </c>
      <c r="AC32">
        <f t="shared" si="52"/>
        <v>192776.43</v>
      </c>
      <c r="AD32">
        <f t="shared" si="53"/>
        <v>116092.14</v>
      </c>
      <c r="AE32">
        <f t="shared" si="54"/>
        <v>58996.959999999999</v>
      </c>
      <c r="AF32">
        <f t="shared" si="54"/>
        <v>29242.15</v>
      </c>
      <c r="AG32">
        <f t="shared" si="32"/>
        <v>0</v>
      </c>
      <c r="AH32">
        <f t="shared" si="55"/>
        <v>87.29</v>
      </c>
      <c r="AI32">
        <f t="shared" si="55"/>
        <v>0</v>
      </c>
      <c r="AJ32">
        <f t="shared" si="33"/>
        <v>0</v>
      </c>
      <c r="AK32">
        <v>338110.71999999997</v>
      </c>
      <c r="AL32">
        <v>192776.43</v>
      </c>
      <c r="AM32">
        <v>116092.14</v>
      </c>
      <c r="AN32">
        <v>58996.959999999999</v>
      </c>
      <c r="AO32">
        <v>29242.15</v>
      </c>
      <c r="AP32">
        <v>0</v>
      </c>
      <c r="AQ32">
        <v>87.29</v>
      </c>
      <c r="AR32">
        <v>0</v>
      </c>
      <c r="AS32">
        <v>0</v>
      </c>
      <c r="AT32">
        <v>70</v>
      </c>
      <c r="AU32">
        <v>10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40</v>
      </c>
      <c r="BM32">
        <v>0</v>
      </c>
      <c r="BN32">
        <v>77790596</v>
      </c>
      <c r="BO32" t="s">
        <v>3</v>
      </c>
      <c r="BP32">
        <v>0</v>
      </c>
      <c r="BQ32">
        <v>1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70</v>
      </c>
      <c r="CA32">
        <v>10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34"/>
        <v>1217.2</v>
      </c>
      <c r="CQ32">
        <f t="shared" si="35"/>
        <v>192776.43</v>
      </c>
      <c r="CR32">
        <f t="shared" si="56"/>
        <v>116092.14</v>
      </c>
      <c r="CS32">
        <f t="shared" si="36"/>
        <v>58996.959999999999</v>
      </c>
      <c r="CT32">
        <f t="shared" si="37"/>
        <v>29242.15</v>
      </c>
      <c r="CU32">
        <f t="shared" si="38"/>
        <v>0</v>
      </c>
      <c r="CV32">
        <f t="shared" si="39"/>
        <v>87.29</v>
      </c>
      <c r="CW32">
        <f t="shared" si="40"/>
        <v>0</v>
      </c>
      <c r="CX32">
        <f t="shared" si="40"/>
        <v>0</v>
      </c>
      <c r="CY32">
        <f t="shared" si="41"/>
        <v>73.688999999999993</v>
      </c>
      <c r="CZ32">
        <f t="shared" si="42"/>
        <v>10.527000000000001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1005</v>
      </c>
      <c r="DV32" t="s">
        <v>39</v>
      </c>
      <c r="DW32" t="s">
        <v>39</v>
      </c>
      <c r="DX32">
        <v>1000</v>
      </c>
      <c r="DZ32" t="s">
        <v>3</v>
      </c>
      <c r="EA32" t="s">
        <v>3</v>
      </c>
      <c r="EB32" t="s">
        <v>3</v>
      </c>
      <c r="EC32" t="s">
        <v>3</v>
      </c>
      <c r="EE32">
        <v>77790599</v>
      </c>
      <c r="EF32">
        <v>1</v>
      </c>
      <c r="EG32" t="s">
        <v>21</v>
      </c>
      <c r="EH32">
        <v>0</v>
      </c>
      <c r="EI32" t="s">
        <v>3</v>
      </c>
      <c r="EJ32">
        <v>4</v>
      </c>
      <c r="EK32">
        <v>0</v>
      </c>
      <c r="EL32" t="s">
        <v>22</v>
      </c>
      <c r="EM32" t="s">
        <v>23</v>
      </c>
      <c r="EO32" t="s">
        <v>3</v>
      </c>
      <c r="EQ32">
        <v>131072</v>
      </c>
      <c r="ER32">
        <v>338110.71999999997</v>
      </c>
      <c r="ES32">
        <v>192776.43</v>
      </c>
      <c r="ET32">
        <v>116092.14</v>
      </c>
      <c r="EU32">
        <v>58996.959999999999</v>
      </c>
      <c r="EV32">
        <v>29242.15</v>
      </c>
      <c r="EW32">
        <v>87.29</v>
      </c>
      <c r="EX32">
        <v>0</v>
      </c>
      <c r="EY32">
        <v>0</v>
      </c>
      <c r="FQ32">
        <v>0</v>
      </c>
      <c r="FR32">
        <f t="shared" si="43"/>
        <v>0</v>
      </c>
      <c r="FS32">
        <v>0</v>
      </c>
      <c r="FX32">
        <v>70</v>
      </c>
      <c r="FY32">
        <v>10</v>
      </c>
      <c r="GA32" t="s">
        <v>3</v>
      </c>
      <c r="GD32">
        <v>0</v>
      </c>
      <c r="GF32">
        <v>-1228527501</v>
      </c>
      <c r="GG32">
        <v>2</v>
      </c>
      <c r="GH32">
        <v>1</v>
      </c>
      <c r="GI32">
        <v>-2</v>
      </c>
      <c r="GJ32">
        <v>0</v>
      </c>
      <c r="GK32">
        <f>ROUND(R32*(R12)/100,2)</f>
        <v>339.82</v>
      </c>
      <c r="GL32">
        <f t="shared" si="44"/>
        <v>0</v>
      </c>
      <c r="GM32">
        <f t="shared" si="45"/>
        <v>1641.24</v>
      </c>
      <c r="GN32">
        <f t="shared" si="46"/>
        <v>0</v>
      </c>
      <c r="GO32">
        <f t="shared" si="47"/>
        <v>0</v>
      </c>
      <c r="GP32">
        <f t="shared" si="48"/>
        <v>1641.24</v>
      </c>
      <c r="GR32">
        <v>0</v>
      </c>
      <c r="GS32">
        <v>3</v>
      </c>
      <c r="GT32">
        <v>0</v>
      </c>
      <c r="GU32" t="s">
        <v>3</v>
      </c>
      <c r="GV32">
        <f t="shared" si="49"/>
        <v>0</v>
      </c>
      <c r="GW32">
        <v>1</v>
      </c>
      <c r="GX32">
        <f t="shared" si="50"/>
        <v>0</v>
      </c>
      <c r="HA32">
        <v>0</v>
      </c>
      <c r="HB32">
        <v>0</v>
      </c>
      <c r="HC32">
        <f t="shared" si="51"/>
        <v>0</v>
      </c>
      <c r="HE32" t="s">
        <v>3</v>
      </c>
      <c r="HF32" t="s">
        <v>3</v>
      </c>
      <c r="HM32" t="s">
        <v>3</v>
      </c>
      <c r="HN32" t="s">
        <v>3</v>
      </c>
      <c r="HO32" t="s">
        <v>3</v>
      </c>
      <c r="HP32" t="s">
        <v>3</v>
      </c>
      <c r="HQ32" t="s">
        <v>3</v>
      </c>
      <c r="IK32">
        <v>0</v>
      </c>
    </row>
    <row r="33" spans="1:245" x14ac:dyDescent="0.2">
      <c r="A33">
        <v>17</v>
      </c>
      <c r="B33">
        <v>1</v>
      </c>
      <c r="C33">
        <f>ROW(SmtRes!A45)</f>
        <v>45</v>
      </c>
      <c r="D33">
        <f>ROW(EtalonRes!A44)</f>
        <v>44</v>
      </c>
      <c r="E33" t="s">
        <v>41</v>
      </c>
      <c r="F33" t="s">
        <v>42</v>
      </c>
      <c r="G33" t="s">
        <v>43</v>
      </c>
      <c r="H33" t="s">
        <v>44</v>
      </c>
      <c r="I33">
        <v>0.36</v>
      </c>
      <c r="J33">
        <v>0</v>
      </c>
      <c r="K33">
        <v>0.36</v>
      </c>
      <c r="O33">
        <f t="shared" si="21"/>
        <v>18698.86</v>
      </c>
      <c r="P33">
        <f t="shared" si="22"/>
        <v>15857.06</v>
      </c>
      <c r="Q33">
        <f t="shared" si="23"/>
        <v>865.25</v>
      </c>
      <c r="R33">
        <f t="shared" si="24"/>
        <v>537.73</v>
      </c>
      <c r="S33">
        <f t="shared" si="25"/>
        <v>1976.55</v>
      </c>
      <c r="T33">
        <f t="shared" si="26"/>
        <v>0</v>
      </c>
      <c r="U33">
        <f t="shared" si="27"/>
        <v>4.8852000000000002</v>
      </c>
      <c r="V33">
        <f t="shared" si="28"/>
        <v>0</v>
      </c>
      <c r="W33">
        <f t="shared" si="29"/>
        <v>0</v>
      </c>
      <c r="X33">
        <f t="shared" si="30"/>
        <v>1383.59</v>
      </c>
      <c r="Y33">
        <f t="shared" si="30"/>
        <v>197.66</v>
      </c>
      <c r="AA33">
        <v>78163571</v>
      </c>
      <c r="AB33">
        <f t="shared" si="31"/>
        <v>51941.279999999999</v>
      </c>
      <c r="AC33">
        <f t="shared" si="52"/>
        <v>44047.4</v>
      </c>
      <c r="AD33">
        <f t="shared" si="53"/>
        <v>2403.46</v>
      </c>
      <c r="AE33">
        <f t="shared" si="54"/>
        <v>1493.7</v>
      </c>
      <c r="AF33">
        <f t="shared" si="54"/>
        <v>5490.42</v>
      </c>
      <c r="AG33">
        <f t="shared" si="32"/>
        <v>0</v>
      </c>
      <c r="AH33">
        <f t="shared" si="55"/>
        <v>13.57</v>
      </c>
      <c r="AI33">
        <f t="shared" si="55"/>
        <v>0</v>
      </c>
      <c r="AJ33">
        <f t="shared" si="33"/>
        <v>0</v>
      </c>
      <c r="AK33">
        <v>51941.279999999999</v>
      </c>
      <c r="AL33">
        <v>44047.4</v>
      </c>
      <c r="AM33">
        <v>2403.46</v>
      </c>
      <c r="AN33">
        <v>1493.7</v>
      </c>
      <c r="AO33">
        <v>5490.42</v>
      </c>
      <c r="AP33">
        <v>0</v>
      </c>
      <c r="AQ33">
        <v>13.57</v>
      </c>
      <c r="AR33">
        <v>0</v>
      </c>
      <c r="AS33">
        <v>0</v>
      </c>
      <c r="AT33">
        <v>70</v>
      </c>
      <c r="AU33">
        <v>10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45</v>
      </c>
      <c r="BM33">
        <v>0</v>
      </c>
      <c r="BN33">
        <v>77790596</v>
      </c>
      <c r="BO33" t="s">
        <v>3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70</v>
      </c>
      <c r="CA33">
        <v>10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4"/>
        <v>18698.859999999997</v>
      </c>
      <c r="CQ33">
        <f t="shared" si="35"/>
        <v>44047.4</v>
      </c>
      <c r="CR33">
        <f t="shared" si="56"/>
        <v>2403.46</v>
      </c>
      <c r="CS33">
        <f t="shared" si="36"/>
        <v>1493.7</v>
      </c>
      <c r="CT33">
        <f t="shared" si="37"/>
        <v>5490.42</v>
      </c>
      <c r="CU33">
        <f t="shared" si="38"/>
        <v>0</v>
      </c>
      <c r="CV33">
        <f t="shared" si="39"/>
        <v>13.57</v>
      </c>
      <c r="CW33">
        <f t="shared" si="40"/>
        <v>0</v>
      </c>
      <c r="CX33">
        <f t="shared" si="40"/>
        <v>0</v>
      </c>
      <c r="CY33">
        <f t="shared" si="41"/>
        <v>1383.585</v>
      </c>
      <c r="CZ33">
        <f t="shared" si="42"/>
        <v>197.655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1005</v>
      </c>
      <c r="DV33" t="s">
        <v>44</v>
      </c>
      <c r="DW33" t="s">
        <v>44</v>
      </c>
      <c r="DX33">
        <v>100</v>
      </c>
      <c r="DZ33" t="s">
        <v>3</v>
      </c>
      <c r="EA33" t="s">
        <v>3</v>
      </c>
      <c r="EB33" t="s">
        <v>3</v>
      </c>
      <c r="EC33" t="s">
        <v>3</v>
      </c>
      <c r="EE33">
        <v>77790599</v>
      </c>
      <c r="EF33">
        <v>1</v>
      </c>
      <c r="EG33" t="s">
        <v>21</v>
      </c>
      <c r="EH33">
        <v>0</v>
      </c>
      <c r="EI33" t="s">
        <v>3</v>
      </c>
      <c r="EJ33">
        <v>4</v>
      </c>
      <c r="EK33">
        <v>0</v>
      </c>
      <c r="EL33" t="s">
        <v>22</v>
      </c>
      <c r="EM33" t="s">
        <v>23</v>
      </c>
      <c r="EO33" t="s">
        <v>3</v>
      </c>
      <c r="EQ33">
        <v>131072</v>
      </c>
      <c r="ER33">
        <v>51941.279999999999</v>
      </c>
      <c r="ES33">
        <v>44047.4</v>
      </c>
      <c r="ET33">
        <v>2403.46</v>
      </c>
      <c r="EU33">
        <v>1493.7</v>
      </c>
      <c r="EV33">
        <v>5490.42</v>
      </c>
      <c r="EW33">
        <v>13.57</v>
      </c>
      <c r="EX33">
        <v>0</v>
      </c>
      <c r="EY33">
        <v>0</v>
      </c>
      <c r="FQ33">
        <v>0</v>
      </c>
      <c r="FR33">
        <f t="shared" si="43"/>
        <v>0</v>
      </c>
      <c r="FS33">
        <v>0</v>
      </c>
      <c r="FX33">
        <v>70</v>
      </c>
      <c r="FY33">
        <v>10</v>
      </c>
      <c r="GA33" t="s">
        <v>3</v>
      </c>
      <c r="GD33">
        <v>0</v>
      </c>
      <c r="GF33">
        <v>-84546647</v>
      </c>
      <c r="GG33">
        <v>2</v>
      </c>
      <c r="GH33">
        <v>1</v>
      </c>
      <c r="GI33">
        <v>-2</v>
      </c>
      <c r="GJ33">
        <v>0</v>
      </c>
      <c r="GK33">
        <f>ROUND(R33*(R12)/100,2)</f>
        <v>860.37</v>
      </c>
      <c r="GL33">
        <f t="shared" si="44"/>
        <v>0</v>
      </c>
      <c r="GM33">
        <f t="shared" si="45"/>
        <v>21140.48</v>
      </c>
      <c r="GN33">
        <f t="shared" si="46"/>
        <v>0</v>
      </c>
      <c r="GO33">
        <f t="shared" si="47"/>
        <v>0</v>
      </c>
      <c r="GP33">
        <f t="shared" si="48"/>
        <v>21140.48</v>
      </c>
      <c r="GR33">
        <v>0</v>
      </c>
      <c r="GS33">
        <v>3</v>
      </c>
      <c r="GT33">
        <v>0</v>
      </c>
      <c r="GU33" t="s">
        <v>3</v>
      </c>
      <c r="GV33">
        <f t="shared" si="49"/>
        <v>0</v>
      </c>
      <c r="GW33">
        <v>1</v>
      </c>
      <c r="GX33">
        <f t="shared" si="50"/>
        <v>0</v>
      </c>
      <c r="HA33">
        <v>0</v>
      </c>
      <c r="HB33">
        <v>0</v>
      </c>
      <c r="HC33">
        <f t="shared" si="51"/>
        <v>0</v>
      </c>
      <c r="HE33" t="s">
        <v>3</v>
      </c>
      <c r="HF33" t="s">
        <v>3</v>
      </c>
      <c r="HM33" t="s">
        <v>3</v>
      </c>
      <c r="HN33" t="s">
        <v>3</v>
      </c>
      <c r="HO33" t="s">
        <v>3</v>
      </c>
      <c r="HP33" t="s">
        <v>3</v>
      </c>
      <c r="HQ33" t="s">
        <v>3</v>
      </c>
      <c r="IK33">
        <v>0</v>
      </c>
    </row>
    <row r="34" spans="1:245" x14ac:dyDescent="0.2">
      <c r="A34">
        <v>17</v>
      </c>
      <c r="B34">
        <v>1</v>
      </c>
      <c r="C34">
        <f>ROW(SmtRes!A48)</f>
        <v>48</v>
      </c>
      <c r="D34">
        <f>ROW(EtalonRes!A47)</f>
        <v>47</v>
      </c>
      <c r="E34" t="s">
        <v>46</v>
      </c>
      <c r="F34" t="s">
        <v>47</v>
      </c>
      <c r="G34" t="s">
        <v>48</v>
      </c>
      <c r="H34" t="s">
        <v>44</v>
      </c>
      <c r="I34">
        <v>0.184</v>
      </c>
      <c r="J34">
        <v>0</v>
      </c>
      <c r="K34">
        <v>0.184</v>
      </c>
      <c r="O34">
        <f t="shared" si="21"/>
        <v>5436.21</v>
      </c>
      <c r="P34">
        <f t="shared" si="22"/>
        <v>366.28</v>
      </c>
      <c r="Q34">
        <f t="shared" si="23"/>
        <v>0</v>
      </c>
      <c r="R34">
        <f t="shared" si="24"/>
        <v>0</v>
      </c>
      <c r="S34">
        <f t="shared" si="25"/>
        <v>5069.93</v>
      </c>
      <c r="T34">
        <f t="shared" si="26"/>
        <v>0</v>
      </c>
      <c r="U34">
        <f t="shared" si="27"/>
        <v>13.579199999999998</v>
      </c>
      <c r="V34">
        <f t="shared" si="28"/>
        <v>0</v>
      </c>
      <c r="W34">
        <f t="shared" si="29"/>
        <v>0</v>
      </c>
      <c r="X34">
        <f t="shared" si="30"/>
        <v>3548.95</v>
      </c>
      <c r="Y34">
        <f t="shared" si="30"/>
        <v>506.99</v>
      </c>
      <c r="AA34">
        <v>78163571</v>
      </c>
      <c r="AB34">
        <f t="shared" si="31"/>
        <v>29544.6</v>
      </c>
      <c r="AC34">
        <f t="shared" si="52"/>
        <v>1990.63</v>
      </c>
      <c r="AD34">
        <f t="shared" si="53"/>
        <v>0</v>
      </c>
      <c r="AE34">
        <f t="shared" si="54"/>
        <v>0</v>
      </c>
      <c r="AF34">
        <f t="shared" si="54"/>
        <v>27553.97</v>
      </c>
      <c r="AG34">
        <f t="shared" si="32"/>
        <v>0</v>
      </c>
      <c r="AH34">
        <f t="shared" si="55"/>
        <v>73.8</v>
      </c>
      <c r="AI34">
        <f t="shared" si="55"/>
        <v>0</v>
      </c>
      <c r="AJ34">
        <f t="shared" si="33"/>
        <v>0</v>
      </c>
      <c r="AK34">
        <v>29544.6</v>
      </c>
      <c r="AL34">
        <v>1990.63</v>
      </c>
      <c r="AM34">
        <v>0</v>
      </c>
      <c r="AN34">
        <v>0</v>
      </c>
      <c r="AO34">
        <v>27553.97</v>
      </c>
      <c r="AP34">
        <v>0</v>
      </c>
      <c r="AQ34">
        <v>73.8</v>
      </c>
      <c r="AR34">
        <v>0</v>
      </c>
      <c r="AS34">
        <v>0</v>
      </c>
      <c r="AT34">
        <v>70</v>
      </c>
      <c r="AU34">
        <v>10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49</v>
      </c>
      <c r="BM34">
        <v>0</v>
      </c>
      <c r="BN34">
        <v>77790596</v>
      </c>
      <c r="BO34" t="s">
        <v>3</v>
      </c>
      <c r="BP34">
        <v>0</v>
      </c>
      <c r="BQ34">
        <v>1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70</v>
      </c>
      <c r="CA34">
        <v>10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34"/>
        <v>5436.21</v>
      </c>
      <c r="CQ34">
        <f t="shared" si="35"/>
        <v>1990.63</v>
      </c>
      <c r="CR34">
        <f t="shared" si="56"/>
        <v>0</v>
      </c>
      <c r="CS34">
        <f t="shared" si="36"/>
        <v>0</v>
      </c>
      <c r="CT34">
        <f t="shared" si="37"/>
        <v>27553.97</v>
      </c>
      <c r="CU34">
        <f t="shared" si="38"/>
        <v>0</v>
      </c>
      <c r="CV34">
        <f t="shared" si="39"/>
        <v>73.8</v>
      </c>
      <c r="CW34">
        <f t="shared" si="40"/>
        <v>0</v>
      </c>
      <c r="CX34">
        <f t="shared" si="40"/>
        <v>0</v>
      </c>
      <c r="CY34">
        <f t="shared" si="41"/>
        <v>3548.9510000000005</v>
      </c>
      <c r="CZ34">
        <f t="shared" si="42"/>
        <v>506.99300000000005</v>
      </c>
      <c r="DC34" t="s">
        <v>3</v>
      </c>
      <c r="DD34" t="s">
        <v>3</v>
      </c>
      <c r="DE34" t="s">
        <v>3</v>
      </c>
      <c r="DF34" t="s">
        <v>3</v>
      </c>
      <c r="DG34" t="s">
        <v>3</v>
      </c>
      <c r="DH34" t="s">
        <v>3</v>
      </c>
      <c r="DI34" t="s">
        <v>3</v>
      </c>
      <c r="DJ34" t="s">
        <v>3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1005</v>
      </c>
      <c r="DV34" t="s">
        <v>44</v>
      </c>
      <c r="DW34" t="s">
        <v>44</v>
      </c>
      <c r="DX34">
        <v>100</v>
      </c>
      <c r="DZ34" t="s">
        <v>3</v>
      </c>
      <c r="EA34" t="s">
        <v>3</v>
      </c>
      <c r="EB34" t="s">
        <v>3</v>
      </c>
      <c r="EC34" t="s">
        <v>3</v>
      </c>
      <c r="EE34">
        <v>77790599</v>
      </c>
      <c r="EF34">
        <v>1</v>
      </c>
      <c r="EG34" t="s">
        <v>21</v>
      </c>
      <c r="EH34">
        <v>0</v>
      </c>
      <c r="EI34" t="s">
        <v>3</v>
      </c>
      <c r="EJ34">
        <v>4</v>
      </c>
      <c r="EK34">
        <v>0</v>
      </c>
      <c r="EL34" t="s">
        <v>22</v>
      </c>
      <c r="EM34" t="s">
        <v>23</v>
      </c>
      <c r="EO34" t="s">
        <v>3</v>
      </c>
      <c r="EQ34">
        <v>131072</v>
      </c>
      <c r="ER34">
        <v>29544.6</v>
      </c>
      <c r="ES34">
        <v>1990.63</v>
      </c>
      <c r="ET34">
        <v>0</v>
      </c>
      <c r="EU34">
        <v>0</v>
      </c>
      <c r="EV34">
        <v>27553.97</v>
      </c>
      <c r="EW34">
        <v>73.8</v>
      </c>
      <c r="EX34">
        <v>0</v>
      </c>
      <c r="EY34">
        <v>0</v>
      </c>
      <c r="FQ34">
        <v>0</v>
      </c>
      <c r="FR34">
        <f t="shared" si="43"/>
        <v>0</v>
      </c>
      <c r="FS34">
        <v>0</v>
      </c>
      <c r="FX34">
        <v>70</v>
      </c>
      <c r="FY34">
        <v>10</v>
      </c>
      <c r="GA34" t="s">
        <v>3</v>
      </c>
      <c r="GD34">
        <v>0</v>
      </c>
      <c r="GF34">
        <v>1184802931</v>
      </c>
      <c r="GG34">
        <v>2</v>
      </c>
      <c r="GH34">
        <v>1</v>
      </c>
      <c r="GI34">
        <v>-2</v>
      </c>
      <c r="GJ34">
        <v>0</v>
      </c>
      <c r="GK34">
        <f>ROUND(R34*(R12)/100,2)</f>
        <v>0</v>
      </c>
      <c r="GL34">
        <f t="shared" si="44"/>
        <v>0</v>
      </c>
      <c r="GM34">
        <f t="shared" si="45"/>
        <v>9492.15</v>
      </c>
      <c r="GN34">
        <f t="shared" si="46"/>
        <v>0</v>
      </c>
      <c r="GO34">
        <f t="shared" si="47"/>
        <v>0</v>
      </c>
      <c r="GP34">
        <f t="shared" si="48"/>
        <v>9492.15</v>
      </c>
      <c r="GR34">
        <v>0</v>
      </c>
      <c r="GS34">
        <v>3</v>
      </c>
      <c r="GT34">
        <v>0</v>
      </c>
      <c r="GU34" t="s">
        <v>3</v>
      </c>
      <c r="GV34">
        <f t="shared" si="49"/>
        <v>0</v>
      </c>
      <c r="GW34">
        <v>1</v>
      </c>
      <c r="GX34">
        <f t="shared" si="50"/>
        <v>0</v>
      </c>
      <c r="HA34">
        <v>0</v>
      </c>
      <c r="HB34">
        <v>0</v>
      </c>
      <c r="HC34">
        <f t="shared" si="51"/>
        <v>0</v>
      </c>
      <c r="HE34" t="s">
        <v>3</v>
      </c>
      <c r="HF34" t="s">
        <v>3</v>
      </c>
      <c r="HM34" t="s">
        <v>3</v>
      </c>
      <c r="HN34" t="s">
        <v>3</v>
      </c>
      <c r="HO34" t="s">
        <v>3</v>
      </c>
      <c r="HP34" t="s">
        <v>3</v>
      </c>
      <c r="HQ34" t="s">
        <v>3</v>
      </c>
      <c r="IK34">
        <v>0</v>
      </c>
    </row>
    <row r="36" spans="1:245" x14ac:dyDescent="0.2">
      <c r="A36" s="2">
        <v>51</v>
      </c>
      <c r="B36" s="2">
        <f>B24</f>
        <v>1</v>
      </c>
      <c r="C36" s="2">
        <f>A24</f>
        <v>4</v>
      </c>
      <c r="D36" s="2">
        <f>ROW(A24)</f>
        <v>24</v>
      </c>
      <c r="E36" s="2"/>
      <c r="F36" s="2" t="str">
        <f>IF(F24&lt;&gt;"",F24,"")</f>
        <v>Новый раздел</v>
      </c>
      <c r="G36" s="2" t="str">
        <f>IF(G24&lt;&gt;"",G24,"")</f>
        <v>Новый раздел</v>
      </c>
      <c r="H36" s="2">
        <v>0</v>
      </c>
      <c r="I36" s="2"/>
      <c r="J36" s="2"/>
      <c r="K36" s="2"/>
      <c r="L36" s="2"/>
      <c r="M36" s="2"/>
      <c r="N36" s="2"/>
      <c r="O36" s="2">
        <f t="shared" ref="O36:T36" si="57">ROUND(AB36,2)</f>
        <v>594391.85</v>
      </c>
      <c r="P36" s="2">
        <f t="shared" si="57"/>
        <v>496031.86</v>
      </c>
      <c r="Q36" s="2">
        <f t="shared" si="57"/>
        <v>3749.94</v>
      </c>
      <c r="R36" s="2">
        <f t="shared" si="57"/>
        <v>1526.94</v>
      </c>
      <c r="S36" s="2">
        <f t="shared" si="57"/>
        <v>94610.05</v>
      </c>
      <c r="T36" s="2">
        <f t="shared" si="57"/>
        <v>0</v>
      </c>
      <c r="U36" s="2">
        <f>AH36</f>
        <v>210.36788319999999</v>
      </c>
      <c r="V36" s="2">
        <f>AI36</f>
        <v>0</v>
      </c>
      <c r="W36" s="2">
        <f>ROUND(AJ36,2)</f>
        <v>0</v>
      </c>
      <c r="X36" s="2">
        <f>ROUND(AK36,2)</f>
        <v>66227.03</v>
      </c>
      <c r="Y36" s="2">
        <f>ROUND(AL36,2)</f>
        <v>9461.01</v>
      </c>
      <c r="Z36" s="2"/>
      <c r="AA36" s="2"/>
      <c r="AB36" s="2">
        <f>ROUND(SUMIF(AA28:AA34,"=78163571",O28:O34),2)</f>
        <v>594391.85</v>
      </c>
      <c r="AC36" s="2">
        <f>ROUND(SUMIF(AA28:AA34,"=78163571",P28:P34),2)</f>
        <v>496031.86</v>
      </c>
      <c r="AD36" s="2">
        <f>ROUND(SUMIF(AA28:AA34,"=78163571",Q28:Q34),2)</f>
        <v>3749.94</v>
      </c>
      <c r="AE36" s="2">
        <f>ROUND(SUMIF(AA28:AA34,"=78163571",R28:R34),2)</f>
        <v>1526.94</v>
      </c>
      <c r="AF36" s="2">
        <f>ROUND(SUMIF(AA28:AA34,"=78163571",S28:S34),2)</f>
        <v>94610.05</v>
      </c>
      <c r="AG36" s="2">
        <f>ROUND(SUMIF(AA28:AA34,"=78163571",T28:T34),2)</f>
        <v>0</v>
      </c>
      <c r="AH36" s="2">
        <f>SUMIF(AA28:AA34,"=78163571",U28:U34)</f>
        <v>210.36788319999999</v>
      </c>
      <c r="AI36" s="2">
        <f>SUMIF(AA28:AA34,"=78163571",V28:V34)</f>
        <v>0</v>
      </c>
      <c r="AJ36" s="2">
        <f>ROUND(SUMIF(AA28:AA34,"=78163571",W28:W34),2)</f>
        <v>0</v>
      </c>
      <c r="AK36" s="2">
        <f>ROUND(SUMIF(AA28:AA34,"=78163571",X28:X34),2)</f>
        <v>66227.03</v>
      </c>
      <c r="AL36" s="2">
        <f>ROUND(SUMIF(AA28:AA34,"=78163571",Y28:Y34),2)</f>
        <v>9461.01</v>
      </c>
      <c r="AM36" s="2"/>
      <c r="AN36" s="2"/>
      <c r="AO36" s="2">
        <f t="shared" ref="AO36:BD36" si="58">ROUND(BX36,2)</f>
        <v>0</v>
      </c>
      <c r="AP36" s="2">
        <f t="shared" si="58"/>
        <v>0</v>
      </c>
      <c r="AQ36" s="2">
        <f t="shared" si="58"/>
        <v>0</v>
      </c>
      <c r="AR36" s="2">
        <f t="shared" si="58"/>
        <v>672522.99</v>
      </c>
      <c r="AS36" s="2">
        <f t="shared" si="58"/>
        <v>0</v>
      </c>
      <c r="AT36" s="2">
        <f t="shared" si="58"/>
        <v>0</v>
      </c>
      <c r="AU36" s="2">
        <f t="shared" si="58"/>
        <v>672522.99</v>
      </c>
      <c r="AV36" s="2">
        <f t="shared" si="58"/>
        <v>496031.86</v>
      </c>
      <c r="AW36" s="2">
        <f t="shared" si="58"/>
        <v>496031.86</v>
      </c>
      <c r="AX36" s="2">
        <f t="shared" si="58"/>
        <v>0</v>
      </c>
      <c r="AY36" s="2">
        <f t="shared" si="58"/>
        <v>496031.86</v>
      </c>
      <c r="AZ36" s="2">
        <f t="shared" si="58"/>
        <v>0</v>
      </c>
      <c r="BA36" s="2">
        <f t="shared" si="58"/>
        <v>0</v>
      </c>
      <c r="BB36" s="2">
        <f t="shared" si="58"/>
        <v>0</v>
      </c>
      <c r="BC36" s="2">
        <f t="shared" si="58"/>
        <v>0</v>
      </c>
      <c r="BD36" s="2">
        <f t="shared" si="58"/>
        <v>0</v>
      </c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>
        <f>ROUND(SUMIF(AA28:AA34,"=78163571",FQ28:FQ34),2)</f>
        <v>0</v>
      </c>
      <c r="BY36" s="2">
        <f>ROUND(SUMIF(AA28:AA34,"=78163571",FR28:FR34),2)</f>
        <v>0</v>
      </c>
      <c r="BZ36" s="2">
        <f>ROUND(SUMIF(AA28:AA34,"=78163571",GL28:GL34),2)</f>
        <v>0</v>
      </c>
      <c r="CA36" s="2">
        <f>ROUND(SUMIF(AA28:AA34,"=78163571",GM28:GM34),2)</f>
        <v>672522.99</v>
      </c>
      <c r="CB36" s="2">
        <f>ROUND(SUMIF(AA28:AA34,"=78163571",GN28:GN34),2)</f>
        <v>0</v>
      </c>
      <c r="CC36" s="2">
        <f>ROUND(SUMIF(AA28:AA34,"=78163571",GO28:GO34),2)</f>
        <v>0</v>
      </c>
      <c r="CD36" s="2">
        <f>ROUND(SUMIF(AA28:AA34,"=78163571",GP28:GP34),2)</f>
        <v>672522.99</v>
      </c>
      <c r="CE36" s="2">
        <f>AC36-BX36</f>
        <v>496031.86</v>
      </c>
      <c r="CF36" s="2">
        <f>AC36-BY36</f>
        <v>496031.86</v>
      </c>
      <c r="CG36" s="2">
        <f>BX36-BZ36</f>
        <v>0</v>
      </c>
      <c r="CH36" s="2">
        <f>AC36-BX36-BY36+BZ36</f>
        <v>496031.86</v>
      </c>
      <c r="CI36" s="2">
        <f>BY36-BZ36</f>
        <v>0</v>
      </c>
      <c r="CJ36" s="2">
        <f>ROUND(SUMIF(AA28:AA34,"=78163571",GX28:GX34),2)</f>
        <v>0</v>
      </c>
      <c r="CK36" s="2">
        <f>ROUND(SUMIF(AA28:AA34,"=78163571",GY28:GY34),2)</f>
        <v>0</v>
      </c>
      <c r="CL36" s="2">
        <f>ROUND(SUMIF(AA28:AA34,"=78163571",GZ28:GZ34),2)</f>
        <v>0</v>
      </c>
      <c r="CM36" s="2">
        <f>ROUND(SUMIF(AA28:AA34,"=78163571",HD28:HD34),2)</f>
        <v>0</v>
      </c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>
        <v>0</v>
      </c>
    </row>
    <row r="38" spans="1:245" x14ac:dyDescent="0.2">
      <c r="A38" s="4">
        <v>50</v>
      </c>
      <c r="B38" s="4">
        <v>0</v>
      </c>
      <c r="C38" s="4">
        <v>0</v>
      </c>
      <c r="D38" s="4">
        <v>1</v>
      </c>
      <c r="E38" s="4">
        <v>201</v>
      </c>
      <c r="F38" s="4">
        <f>ROUND(Source!O36,O38)</f>
        <v>594391.85</v>
      </c>
      <c r="G38" s="4" t="s">
        <v>50</v>
      </c>
      <c r="H38" s="4" t="s">
        <v>51</v>
      </c>
      <c r="I38" s="4"/>
      <c r="J38" s="4"/>
      <c r="K38" s="4">
        <v>201</v>
      </c>
      <c r="L38" s="4">
        <v>1</v>
      </c>
      <c r="M38" s="4">
        <v>3</v>
      </c>
      <c r="N38" s="4" t="s">
        <v>3</v>
      </c>
      <c r="O38" s="4">
        <v>2</v>
      </c>
      <c r="P38" s="4"/>
      <c r="Q38" s="4"/>
      <c r="R38" s="4"/>
      <c r="S38" s="4"/>
      <c r="T38" s="4"/>
      <c r="U38" s="4"/>
      <c r="V38" s="4"/>
      <c r="W38" s="4">
        <v>594391.85</v>
      </c>
      <c r="X38" s="4">
        <v>1</v>
      </c>
      <c r="Y38" s="4">
        <v>594391.85</v>
      </c>
      <c r="Z38" s="4"/>
      <c r="AA38" s="4"/>
      <c r="AB38" s="4"/>
    </row>
    <row r="39" spans="1:245" x14ac:dyDescent="0.2">
      <c r="A39" s="4">
        <v>50</v>
      </c>
      <c r="B39" s="4">
        <v>0</v>
      </c>
      <c r="C39" s="4">
        <v>0</v>
      </c>
      <c r="D39" s="4">
        <v>1</v>
      </c>
      <c r="E39" s="4">
        <v>202</v>
      </c>
      <c r="F39" s="4">
        <f>ROUND(Source!P36,O39)</f>
        <v>496031.86</v>
      </c>
      <c r="G39" s="4" t="s">
        <v>52</v>
      </c>
      <c r="H39" s="4" t="s">
        <v>53</v>
      </c>
      <c r="I39" s="4"/>
      <c r="J39" s="4"/>
      <c r="K39" s="4">
        <v>202</v>
      </c>
      <c r="L39" s="4">
        <v>2</v>
      </c>
      <c r="M39" s="4">
        <v>3</v>
      </c>
      <c r="N39" s="4" t="s">
        <v>3</v>
      </c>
      <c r="O39" s="4">
        <v>2</v>
      </c>
      <c r="P39" s="4"/>
      <c r="Q39" s="4"/>
      <c r="R39" s="4"/>
      <c r="S39" s="4"/>
      <c r="T39" s="4"/>
      <c r="U39" s="4"/>
      <c r="V39" s="4"/>
      <c r="W39" s="4">
        <v>496031.86</v>
      </c>
      <c r="X39" s="4">
        <v>1</v>
      </c>
      <c r="Y39" s="4">
        <v>496031.86</v>
      </c>
      <c r="Z39" s="4"/>
      <c r="AA39" s="4"/>
      <c r="AB39" s="4"/>
    </row>
    <row r="40" spans="1:245" x14ac:dyDescent="0.2">
      <c r="A40" s="4">
        <v>50</v>
      </c>
      <c r="B40" s="4">
        <v>0</v>
      </c>
      <c r="C40" s="4">
        <v>0</v>
      </c>
      <c r="D40" s="4">
        <v>1</v>
      </c>
      <c r="E40" s="4">
        <v>222</v>
      </c>
      <c r="F40" s="4">
        <f>ROUND(Source!AO36,O40)</f>
        <v>0</v>
      </c>
      <c r="G40" s="4" t="s">
        <v>54</v>
      </c>
      <c r="H40" s="4" t="s">
        <v>55</v>
      </c>
      <c r="I40" s="4"/>
      <c r="J40" s="4"/>
      <c r="K40" s="4">
        <v>222</v>
      </c>
      <c r="L40" s="4">
        <v>3</v>
      </c>
      <c r="M40" s="4">
        <v>3</v>
      </c>
      <c r="N40" s="4" t="s">
        <v>3</v>
      </c>
      <c r="O40" s="4">
        <v>2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45" x14ac:dyDescent="0.2">
      <c r="A41" s="4">
        <v>50</v>
      </c>
      <c r="B41" s="4">
        <v>0</v>
      </c>
      <c r="C41" s="4">
        <v>0</v>
      </c>
      <c r="D41" s="4">
        <v>1</v>
      </c>
      <c r="E41" s="4">
        <v>225</v>
      </c>
      <c r="F41" s="4">
        <f>ROUND(Source!AV36,O41)</f>
        <v>496031.86</v>
      </c>
      <c r="G41" s="4" t="s">
        <v>56</v>
      </c>
      <c r="H41" s="4" t="s">
        <v>57</v>
      </c>
      <c r="I41" s="4"/>
      <c r="J41" s="4"/>
      <c r="K41" s="4">
        <v>225</v>
      </c>
      <c r="L41" s="4">
        <v>4</v>
      </c>
      <c r="M41" s="4">
        <v>3</v>
      </c>
      <c r="N41" s="4" t="s">
        <v>3</v>
      </c>
      <c r="O41" s="4">
        <v>2</v>
      </c>
      <c r="P41" s="4"/>
      <c r="Q41" s="4"/>
      <c r="R41" s="4"/>
      <c r="S41" s="4"/>
      <c r="T41" s="4"/>
      <c r="U41" s="4"/>
      <c r="V41" s="4"/>
      <c r="W41" s="4">
        <v>496031.86</v>
      </c>
      <c r="X41" s="4">
        <v>1</v>
      </c>
      <c r="Y41" s="4">
        <v>496031.86</v>
      </c>
      <c r="Z41" s="4"/>
      <c r="AA41" s="4"/>
      <c r="AB41" s="4"/>
    </row>
    <row r="42" spans="1:245" x14ac:dyDescent="0.2">
      <c r="A42" s="4">
        <v>50</v>
      </c>
      <c r="B42" s="4">
        <v>0</v>
      </c>
      <c r="C42" s="4">
        <v>0</v>
      </c>
      <c r="D42" s="4">
        <v>1</v>
      </c>
      <c r="E42" s="4">
        <v>226</v>
      </c>
      <c r="F42" s="4">
        <f>ROUND(Source!AW36,O42)</f>
        <v>496031.86</v>
      </c>
      <c r="G42" s="4" t="s">
        <v>58</v>
      </c>
      <c r="H42" s="4" t="s">
        <v>59</v>
      </c>
      <c r="I42" s="4"/>
      <c r="J42" s="4"/>
      <c r="K42" s="4">
        <v>226</v>
      </c>
      <c r="L42" s="4">
        <v>5</v>
      </c>
      <c r="M42" s="4">
        <v>3</v>
      </c>
      <c r="N42" s="4" t="s">
        <v>3</v>
      </c>
      <c r="O42" s="4">
        <v>2</v>
      </c>
      <c r="P42" s="4"/>
      <c r="Q42" s="4"/>
      <c r="R42" s="4"/>
      <c r="S42" s="4"/>
      <c r="T42" s="4"/>
      <c r="U42" s="4"/>
      <c r="V42" s="4"/>
      <c r="W42" s="4">
        <v>496031.86</v>
      </c>
      <c r="X42" s="4">
        <v>1</v>
      </c>
      <c r="Y42" s="4">
        <v>496031.86</v>
      </c>
      <c r="Z42" s="4"/>
      <c r="AA42" s="4"/>
      <c r="AB42" s="4"/>
    </row>
    <row r="43" spans="1:245" x14ac:dyDescent="0.2">
      <c r="A43" s="4">
        <v>50</v>
      </c>
      <c r="B43" s="4">
        <v>0</v>
      </c>
      <c r="C43" s="4">
        <v>0</v>
      </c>
      <c r="D43" s="4">
        <v>1</v>
      </c>
      <c r="E43" s="4">
        <v>227</v>
      </c>
      <c r="F43" s="4">
        <f>ROUND(Source!AX36,O43)</f>
        <v>0</v>
      </c>
      <c r="G43" s="4" t="s">
        <v>60</v>
      </c>
      <c r="H43" s="4" t="s">
        <v>61</v>
      </c>
      <c r="I43" s="4"/>
      <c r="J43" s="4"/>
      <c r="K43" s="4">
        <v>227</v>
      </c>
      <c r="L43" s="4">
        <v>6</v>
      </c>
      <c r="M43" s="4">
        <v>3</v>
      </c>
      <c r="N43" s="4" t="s">
        <v>3</v>
      </c>
      <c r="O43" s="4">
        <v>2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45" x14ac:dyDescent="0.2">
      <c r="A44" s="4">
        <v>50</v>
      </c>
      <c r="B44" s="4">
        <v>0</v>
      </c>
      <c r="C44" s="4">
        <v>0</v>
      </c>
      <c r="D44" s="4">
        <v>1</v>
      </c>
      <c r="E44" s="4">
        <v>228</v>
      </c>
      <c r="F44" s="4">
        <f>ROUND(Source!AY36,O44)</f>
        <v>496031.86</v>
      </c>
      <c r="G44" s="4" t="s">
        <v>62</v>
      </c>
      <c r="H44" s="4" t="s">
        <v>63</v>
      </c>
      <c r="I44" s="4"/>
      <c r="J44" s="4"/>
      <c r="K44" s="4">
        <v>228</v>
      </c>
      <c r="L44" s="4">
        <v>7</v>
      </c>
      <c r="M44" s="4">
        <v>3</v>
      </c>
      <c r="N44" s="4" t="s">
        <v>3</v>
      </c>
      <c r="O44" s="4">
        <v>2</v>
      </c>
      <c r="P44" s="4"/>
      <c r="Q44" s="4"/>
      <c r="R44" s="4"/>
      <c r="S44" s="4"/>
      <c r="T44" s="4"/>
      <c r="U44" s="4"/>
      <c r="V44" s="4"/>
      <c r="W44" s="4">
        <v>496031.86</v>
      </c>
      <c r="X44" s="4">
        <v>1</v>
      </c>
      <c r="Y44" s="4">
        <v>496031.86</v>
      </c>
      <c r="Z44" s="4"/>
      <c r="AA44" s="4"/>
      <c r="AB44" s="4"/>
    </row>
    <row r="45" spans="1:245" x14ac:dyDescent="0.2">
      <c r="A45" s="4">
        <v>50</v>
      </c>
      <c r="B45" s="4">
        <v>0</v>
      </c>
      <c r="C45" s="4">
        <v>0</v>
      </c>
      <c r="D45" s="4">
        <v>1</v>
      </c>
      <c r="E45" s="4">
        <v>216</v>
      </c>
      <c r="F45" s="4">
        <f>ROUND(Source!AP36,O45)</f>
        <v>0</v>
      </c>
      <c r="G45" s="4" t="s">
        <v>64</v>
      </c>
      <c r="H45" s="4" t="s">
        <v>65</v>
      </c>
      <c r="I45" s="4"/>
      <c r="J45" s="4"/>
      <c r="K45" s="4">
        <v>216</v>
      </c>
      <c r="L45" s="4">
        <v>8</v>
      </c>
      <c r="M45" s="4">
        <v>3</v>
      </c>
      <c r="N45" s="4" t="s">
        <v>3</v>
      </c>
      <c r="O45" s="4">
        <v>2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45" x14ac:dyDescent="0.2">
      <c r="A46" s="4">
        <v>50</v>
      </c>
      <c r="B46" s="4">
        <v>0</v>
      </c>
      <c r="C46" s="4">
        <v>0</v>
      </c>
      <c r="D46" s="4">
        <v>1</v>
      </c>
      <c r="E46" s="4">
        <v>223</v>
      </c>
      <c r="F46" s="4">
        <f>ROUND(Source!AQ36,O46)</f>
        <v>0</v>
      </c>
      <c r="G46" s="4" t="s">
        <v>66</v>
      </c>
      <c r="H46" s="4" t="s">
        <v>67</v>
      </c>
      <c r="I46" s="4"/>
      <c r="J46" s="4"/>
      <c r="K46" s="4">
        <v>223</v>
      </c>
      <c r="L46" s="4">
        <v>9</v>
      </c>
      <c r="M46" s="4">
        <v>3</v>
      </c>
      <c r="N46" s="4" t="s">
        <v>3</v>
      </c>
      <c r="O46" s="4">
        <v>2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45" x14ac:dyDescent="0.2">
      <c r="A47" s="4">
        <v>50</v>
      </c>
      <c r="B47" s="4">
        <v>0</v>
      </c>
      <c r="C47" s="4">
        <v>0</v>
      </c>
      <c r="D47" s="4">
        <v>1</v>
      </c>
      <c r="E47" s="4">
        <v>229</v>
      </c>
      <c r="F47" s="4">
        <f>ROUND(Source!AZ36,O47)</f>
        <v>0</v>
      </c>
      <c r="G47" s="4" t="s">
        <v>68</v>
      </c>
      <c r="H47" s="4" t="s">
        <v>69</v>
      </c>
      <c r="I47" s="4"/>
      <c r="J47" s="4"/>
      <c r="K47" s="4">
        <v>229</v>
      </c>
      <c r="L47" s="4">
        <v>10</v>
      </c>
      <c r="M47" s="4">
        <v>3</v>
      </c>
      <c r="N47" s="4" t="s">
        <v>3</v>
      </c>
      <c r="O47" s="4">
        <v>2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203</v>
      </c>
      <c r="F48" s="4">
        <f>ROUND(Source!Q36,O48)</f>
        <v>3749.94</v>
      </c>
      <c r="G48" s="4" t="s">
        <v>70</v>
      </c>
      <c r="H48" s="4" t="s">
        <v>71</v>
      </c>
      <c r="I48" s="4"/>
      <c r="J48" s="4"/>
      <c r="K48" s="4">
        <v>203</v>
      </c>
      <c r="L48" s="4">
        <v>11</v>
      </c>
      <c r="M48" s="4">
        <v>3</v>
      </c>
      <c r="N48" s="4" t="s">
        <v>3</v>
      </c>
      <c r="O48" s="4">
        <v>2</v>
      </c>
      <c r="P48" s="4"/>
      <c r="Q48" s="4"/>
      <c r="R48" s="4"/>
      <c r="S48" s="4"/>
      <c r="T48" s="4"/>
      <c r="U48" s="4"/>
      <c r="V48" s="4"/>
      <c r="W48" s="4">
        <v>3749.94</v>
      </c>
      <c r="X48" s="4">
        <v>1</v>
      </c>
      <c r="Y48" s="4">
        <v>3749.94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231</v>
      </c>
      <c r="F49" s="4">
        <f>ROUND(Source!BB36,O49)</f>
        <v>0</v>
      </c>
      <c r="G49" s="4" t="s">
        <v>72</v>
      </c>
      <c r="H49" s="4" t="s">
        <v>73</v>
      </c>
      <c r="I49" s="4"/>
      <c r="J49" s="4"/>
      <c r="K49" s="4">
        <v>231</v>
      </c>
      <c r="L49" s="4">
        <v>12</v>
      </c>
      <c r="M49" s="4">
        <v>3</v>
      </c>
      <c r="N49" s="4" t="s">
        <v>3</v>
      </c>
      <c r="O49" s="4">
        <v>2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204</v>
      </c>
      <c r="F50" s="4">
        <f>ROUND(Source!R36,O50)</f>
        <v>1526.94</v>
      </c>
      <c r="G50" s="4" t="s">
        <v>74</v>
      </c>
      <c r="H50" s="4" t="s">
        <v>75</v>
      </c>
      <c r="I50" s="4"/>
      <c r="J50" s="4"/>
      <c r="K50" s="4">
        <v>204</v>
      </c>
      <c r="L50" s="4">
        <v>13</v>
      </c>
      <c r="M50" s="4">
        <v>3</v>
      </c>
      <c r="N50" s="4" t="s">
        <v>3</v>
      </c>
      <c r="O50" s="4">
        <v>2</v>
      </c>
      <c r="P50" s="4"/>
      <c r="Q50" s="4"/>
      <c r="R50" s="4"/>
      <c r="S50" s="4"/>
      <c r="T50" s="4"/>
      <c r="U50" s="4"/>
      <c r="V50" s="4"/>
      <c r="W50" s="4">
        <v>1526.94</v>
      </c>
      <c r="X50" s="4">
        <v>1</v>
      </c>
      <c r="Y50" s="4">
        <v>1526.94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205</v>
      </c>
      <c r="F51" s="4">
        <f>ROUND(Source!S36,O51)</f>
        <v>94610.05</v>
      </c>
      <c r="G51" s="4" t="s">
        <v>76</v>
      </c>
      <c r="H51" s="4" t="s">
        <v>77</v>
      </c>
      <c r="I51" s="4"/>
      <c r="J51" s="4"/>
      <c r="K51" s="4">
        <v>205</v>
      </c>
      <c r="L51" s="4">
        <v>14</v>
      </c>
      <c r="M51" s="4">
        <v>3</v>
      </c>
      <c r="N51" s="4" t="s">
        <v>3</v>
      </c>
      <c r="O51" s="4">
        <v>2</v>
      </c>
      <c r="P51" s="4"/>
      <c r="Q51" s="4"/>
      <c r="R51" s="4"/>
      <c r="S51" s="4"/>
      <c r="T51" s="4"/>
      <c r="U51" s="4"/>
      <c r="V51" s="4"/>
      <c r="W51" s="4">
        <v>94610.05</v>
      </c>
      <c r="X51" s="4">
        <v>1</v>
      </c>
      <c r="Y51" s="4">
        <v>94610.05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232</v>
      </c>
      <c r="F52" s="4">
        <f>ROUND(Source!BC36,O52)</f>
        <v>0</v>
      </c>
      <c r="G52" s="4" t="s">
        <v>78</v>
      </c>
      <c r="H52" s="4" t="s">
        <v>79</v>
      </c>
      <c r="I52" s="4"/>
      <c r="J52" s="4"/>
      <c r="K52" s="4">
        <v>232</v>
      </c>
      <c r="L52" s="4">
        <v>15</v>
      </c>
      <c r="M52" s="4">
        <v>3</v>
      </c>
      <c r="N52" s="4" t="s">
        <v>3</v>
      </c>
      <c r="O52" s="4">
        <v>2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214</v>
      </c>
      <c r="F53" s="4">
        <f>ROUND(Source!AS36,O53)</f>
        <v>0</v>
      </c>
      <c r="G53" s="4" t="s">
        <v>80</v>
      </c>
      <c r="H53" s="4" t="s">
        <v>81</v>
      </c>
      <c r="I53" s="4"/>
      <c r="J53" s="4"/>
      <c r="K53" s="4">
        <v>214</v>
      </c>
      <c r="L53" s="4">
        <v>16</v>
      </c>
      <c r="M53" s="4">
        <v>3</v>
      </c>
      <c r="N53" s="4" t="s">
        <v>3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215</v>
      </c>
      <c r="F54" s="4">
        <f>ROUND(Source!AT36,O54)</f>
        <v>0</v>
      </c>
      <c r="G54" s="4" t="s">
        <v>82</v>
      </c>
      <c r="H54" s="4" t="s">
        <v>83</v>
      </c>
      <c r="I54" s="4"/>
      <c r="J54" s="4"/>
      <c r="K54" s="4">
        <v>215</v>
      </c>
      <c r="L54" s="4">
        <v>17</v>
      </c>
      <c r="M54" s="4">
        <v>3</v>
      </c>
      <c r="N54" s="4" t="s">
        <v>3</v>
      </c>
      <c r="O54" s="4">
        <v>2</v>
      </c>
      <c r="P54" s="4"/>
      <c r="Q54" s="4"/>
      <c r="R54" s="4"/>
      <c r="S54" s="4"/>
      <c r="T54" s="4"/>
      <c r="U54" s="4"/>
      <c r="V54" s="4"/>
      <c r="W54" s="4">
        <v>0</v>
      </c>
      <c r="X54" s="4">
        <v>1</v>
      </c>
      <c r="Y54" s="4">
        <v>0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217</v>
      </c>
      <c r="F55" s="4">
        <f>ROUND(Source!AU36,O55)</f>
        <v>672522.99</v>
      </c>
      <c r="G55" s="4" t="s">
        <v>84</v>
      </c>
      <c r="H55" s="4" t="s">
        <v>85</v>
      </c>
      <c r="I55" s="4"/>
      <c r="J55" s="4"/>
      <c r="K55" s="4">
        <v>217</v>
      </c>
      <c r="L55" s="4">
        <v>18</v>
      </c>
      <c r="M55" s="4">
        <v>3</v>
      </c>
      <c r="N55" s="4" t="s">
        <v>3</v>
      </c>
      <c r="O55" s="4">
        <v>2</v>
      </c>
      <c r="P55" s="4"/>
      <c r="Q55" s="4"/>
      <c r="R55" s="4"/>
      <c r="S55" s="4"/>
      <c r="T55" s="4"/>
      <c r="U55" s="4"/>
      <c r="V55" s="4"/>
      <c r="W55" s="4">
        <v>672522.99</v>
      </c>
      <c r="X55" s="4">
        <v>1</v>
      </c>
      <c r="Y55" s="4">
        <v>672522.99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230</v>
      </c>
      <c r="F56" s="4">
        <f>ROUND(Source!BA36,O56)</f>
        <v>0</v>
      </c>
      <c r="G56" s="4" t="s">
        <v>86</v>
      </c>
      <c r="H56" s="4" t="s">
        <v>87</v>
      </c>
      <c r="I56" s="4"/>
      <c r="J56" s="4"/>
      <c r="K56" s="4">
        <v>230</v>
      </c>
      <c r="L56" s="4">
        <v>19</v>
      </c>
      <c r="M56" s="4">
        <v>3</v>
      </c>
      <c r="N56" s="4" t="s">
        <v>3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206</v>
      </c>
      <c r="F57" s="4">
        <f>ROUND(Source!T36,O57)</f>
        <v>0</v>
      </c>
      <c r="G57" s="4" t="s">
        <v>88</v>
      </c>
      <c r="H57" s="4" t="s">
        <v>89</v>
      </c>
      <c r="I57" s="4"/>
      <c r="J57" s="4"/>
      <c r="K57" s="4">
        <v>206</v>
      </c>
      <c r="L57" s="4">
        <v>20</v>
      </c>
      <c r="M57" s="4">
        <v>3</v>
      </c>
      <c r="N57" s="4" t="s">
        <v>3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207</v>
      </c>
      <c r="F58" s="4">
        <f>Source!U36</f>
        <v>210.36788319999999</v>
      </c>
      <c r="G58" s="4" t="s">
        <v>90</v>
      </c>
      <c r="H58" s="4" t="s">
        <v>91</v>
      </c>
      <c r="I58" s="4"/>
      <c r="J58" s="4"/>
      <c r="K58" s="4">
        <v>207</v>
      </c>
      <c r="L58" s="4">
        <v>21</v>
      </c>
      <c r="M58" s="4">
        <v>3</v>
      </c>
      <c r="N58" s="4" t="s">
        <v>3</v>
      </c>
      <c r="O58" s="4">
        <v>-1</v>
      </c>
      <c r="P58" s="4"/>
      <c r="Q58" s="4"/>
      <c r="R58" s="4"/>
      <c r="S58" s="4"/>
      <c r="T58" s="4"/>
      <c r="U58" s="4"/>
      <c r="V58" s="4"/>
      <c r="W58" s="4">
        <v>210.36788319999999</v>
      </c>
      <c r="X58" s="4">
        <v>1</v>
      </c>
      <c r="Y58" s="4">
        <v>210.36788319999999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208</v>
      </c>
      <c r="F59" s="4">
        <f>Source!V36</f>
        <v>0</v>
      </c>
      <c r="G59" s="4" t="s">
        <v>92</v>
      </c>
      <c r="H59" s="4" t="s">
        <v>93</v>
      </c>
      <c r="I59" s="4"/>
      <c r="J59" s="4"/>
      <c r="K59" s="4">
        <v>208</v>
      </c>
      <c r="L59" s="4">
        <v>22</v>
      </c>
      <c r="M59" s="4">
        <v>3</v>
      </c>
      <c r="N59" s="4" t="s">
        <v>3</v>
      </c>
      <c r="O59" s="4">
        <v>-1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209</v>
      </c>
      <c r="F60" s="4">
        <f>ROUND(Source!W36,O60)</f>
        <v>0</v>
      </c>
      <c r="G60" s="4" t="s">
        <v>94</v>
      </c>
      <c r="H60" s="4" t="s">
        <v>95</v>
      </c>
      <c r="I60" s="4"/>
      <c r="J60" s="4"/>
      <c r="K60" s="4">
        <v>209</v>
      </c>
      <c r="L60" s="4">
        <v>23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>
        <v>0</v>
      </c>
      <c r="X60" s="4">
        <v>1</v>
      </c>
      <c r="Y60" s="4">
        <v>0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233</v>
      </c>
      <c r="F61" s="4">
        <f>ROUND(Source!BD36,O61)</f>
        <v>0</v>
      </c>
      <c r="G61" s="4" t="s">
        <v>96</v>
      </c>
      <c r="H61" s="4" t="s">
        <v>97</v>
      </c>
      <c r="I61" s="4"/>
      <c r="J61" s="4"/>
      <c r="K61" s="4">
        <v>233</v>
      </c>
      <c r="L61" s="4">
        <v>24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>
        <v>0</v>
      </c>
      <c r="X61" s="4">
        <v>1</v>
      </c>
      <c r="Y61" s="4">
        <v>0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210</v>
      </c>
      <c r="F62" s="4">
        <f>ROUND(Source!X36,O62)</f>
        <v>66227.03</v>
      </c>
      <c r="G62" s="4" t="s">
        <v>98</v>
      </c>
      <c r="H62" s="4" t="s">
        <v>99</v>
      </c>
      <c r="I62" s="4"/>
      <c r="J62" s="4"/>
      <c r="K62" s="4">
        <v>210</v>
      </c>
      <c r="L62" s="4">
        <v>25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>
        <v>66227.03</v>
      </c>
      <c r="X62" s="4">
        <v>1</v>
      </c>
      <c r="Y62" s="4">
        <v>66227.03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211</v>
      </c>
      <c r="F63" s="4">
        <f>ROUND(Source!Y36,O63)</f>
        <v>9461.01</v>
      </c>
      <c r="G63" s="4" t="s">
        <v>100</v>
      </c>
      <c r="H63" s="4" t="s">
        <v>101</v>
      </c>
      <c r="I63" s="4"/>
      <c r="J63" s="4"/>
      <c r="K63" s="4">
        <v>211</v>
      </c>
      <c r="L63" s="4">
        <v>26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>
        <v>9461.01</v>
      </c>
      <c r="X63" s="4">
        <v>1</v>
      </c>
      <c r="Y63" s="4">
        <v>9461.01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224</v>
      </c>
      <c r="F64" s="4">
        <f>ROUND(Source!AR36,O64)</f>
        <v>672522.99</v>
      </c>
      <c r="G64" s="4" t="s">
        <v>102</v>
      </c>
      <c r="H64" s="4" t="s">
        <v>103</v>
      </c>
      <c r="I64" s="4"/>
      <c r="J64" s="4"/>
      <c r="K64" s="4">
        <v>224</v>
      </c>
      <c r="L64" s="4">
        <v>27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>
        <v>672522.99</v>
      </c>
      <c r="X64" s="4">
        <v>1</v>
      </c>
      <c r="Y64" s="4">
        <v>672522.99</v>
      </c>
      <c r="Z64" s="4"/>
      <c r="AA64" s="4"/>
      <c r="AB64" s="4"/>
    </row>
    <row r="66" spans="1:245" x14ac:dyDescent="0.2">
      <c r="A66" s="1">
        <v>4</v>
      </c>
      <c r="B66" s="1">
        <v>1</v>
      </c>
      <c r="C66" s="1"/>
      <c r="D66" s="1">
        <f>ROW(A74)</f>
        <v>74</v>
      </c>
      <c r="E66" s="1"/>
      <c r="F66" s="1" t="s">
        <v>13</v>
      </c>
      <c r="G66" s="1" t="s">
        <v>104</v>
      </c>
      <c r="H66" s="1" t="s">
        <v>3</v>
      </c>
      <c r="I66" s="1">
        <v>0</v>
      </c>
      <c r="J66" s="1"/>
      <c r="K66" s="1">
        <v>0</v>
      </c>
      <c r="L66" s="1"/>
      <c r="M66" s="1" t="s">
        <v>3</v>
      </c>
      <c r="N66" s="1"/>
      <c r="O66" s="1"/>
      <c r="P66" s="1"/>
      <c r="Q66" s="1"/>
      <c r="R66" s="1"/>
      <c r="S66" s="1">
        <v>0</v>
      </c>
      <c r="T66" s="1"/>
      <c r="U66" s="1" t="s">
        <v>3</v>
      </c>
      <c r="V66" s="1">
        <v>0</v>
      </c>
      <c r="W66" s="1"/>
      <c r="X66" s="1"/>
      <c r="Y66" s="1"/>
      <c r="Z66" s="1"/>
      <c r="AA66" s="1"/>
      <c r="AB66" s="1" t="s">
        <v>3</v>
      </c>
      <c r="AC66" s="1" t="s">
        <v>3</v>
      </c>
      <c r="AD66" s="1" t="s">
        <v>3</v>
      </c>
      <c r="AE66" s="1" t="s">
        <v>3</v>
      </c>
      <c r="AF66" s="1" t="s">
        <v>3</v>
      </c>
      <c r="AG66" s="1" t="s">
        <v>3</v>
      </c>
      <c r="AH66" s="1"/>
      <c r="AI66" s="1"/>
      <c r="AJ66" s="1"/>
      <c r="AK66" s="1"/>
      <c r="AL66" s="1"/>
      <c r="AM66" s="1"/>
      <c r="AN66" s="1"/>
      <c r="AO66" s="1"/>
      <c r="AP66" s="1" t="s">
        <v>3</v>
      </c>
      <c r="AQ66" s="1" t="s">
        <v>3</v>
      </c>
      <c r="AR66" s="1" t="s">
        <v>3</v>
      </c>
      <c r="AS66" s="1"/>
      <c r="AT66" s="1"/>
      <c r="AU66" s="1"/>
      <c r="AV66" s="1"/>
      <c r="AW66" s="1"/>
      <c r="AX66" s="1"/>
      <c r="AY66" s="1"/>
      <c r="AZ66" s="1" t="s">
        <v>3</v>
      </c>
      <c r="BA66" s="1"/>
      <c r="BB66" s="1" t="s">
        <v>3</v>
      </c>
      <c r="BC66" s="1" t="s">
        <v>3</v>
      </c>
      <c r="BD66" s="1" t="s">
        <v>3</v>
      </c>
      <c r="BE66" s="1" t="s">
        <v>3</v>
      </c>
      <c r="BF66" s="1" t="s">
        <v>3</v>
      </c>
      <c r="BG66" s="1" t="s">
        <v>3</v>
      </c>
      <c r="BH66" s="1" t="s">
        <v>3</v>
      </c>
      <c r="BI66" s="1" t="s">
        <v>3</v>
      </c>
      <c r="BJ66" s="1" t="s">
        <v>3</v>
      </c>
      <c r="BK66" s="1" t="s">
        <v>3</v>
      </c>
      <c r="BL66" s="1" t="s">
        <v>3</v>
      </c>
      <c r="BM66" s="1" t="s">
        <v>3</v>
      </c>
      <c r="BN66" s="1" t="s">
        <v>3</v>
      </c>
      <c r="BO66" s="1" t="s">
        <v>3</v>
      </c>
      <c r="BP66" s="1" t="s">
        <v>3</v>
      </c>
      <c r="BQ66" s="1"/>
      <c r="BR66" s="1"/>
      <c r="BS66" s="1"/>
      <c r="BT66" s="1"/>
      <c r="BU66" s="1"/>
      <c r="BV66" s="1"/>
      <c r="BW66" s="1"/>
      <c r="BX66" s="1">
        <v>0</v>
      </c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>
        <v>0</v>
      </c>
    </row>
    <row r="68" spans="1:245" x14ac:dyDescent="0.2">
      <c r="A68" s="2">
        <v>52</v>
      </c>
      <c r="B68" s="2">
        <f t="shared" ref="B68:G68" si="59">B74</f>
        <v>1</v>
      </c>
      <c r="C68" s="2">
        <f t="shared" si="59"/>
        <v>4</v>
      </c>
      <c r="D68" s="2">
        <f t="shared" si="59"/>
        <v>66</v>
      </c>
      <c r="E68" s="2">
        <f t="shared" si="59"/>
        <v>0</v>
      </c>
      <c r="F68" s="2" t="str">
        <f t="shared" si="59"/>
        <v>Новый раздел</v>
      </c>
      <c r="G68" s="2" t="str">
        <f t="shared" si="59"/>
        <v>Мусор</v>
      </c>
      <c r="H68" s="2"/>
      <c r="I68" s="2"/>
      <c r="J68" s="2"/>
      <c r="K68" s="2"/>
      <c r="L68" s="2"/>
      <c r="M68" s="2"/>
      <c r="N68" s="2"/>
      <c r="O68" s="2">
        <f t="shared" ref="O68:AT68" si="60">O74</f>
        <v>4595.4799999999996</v>
      </c>
      <c r="P68" s="2">
        <f t="shared" si="60"/>
        <v>0</v>
      </c>
      <c r="Q68" s="2">
        <f t="shared" si="60"/>
        <v>4595.4799999999996</v>
      </c>
      <c r="R68" s="2">
        <f t="shared" si="60"/>
        <v>2678.16</v>
      </c>
      <c r="S68" s="2">
        <f t="shared" si="60"/>
        <v>0</v>
      </c>
      <c r="T68" s="2">
        <f t="shared" si="60"/>
        <v>0</v>
      </c>
      <c r="U68" s="2">
        <f t="shared" si="60"/>
        <v>0</v>
      </c>
      <c r="V68" s="2">
        <f t="shared" si="60"/>
        <v>0</v>
      </c>
      <c r="W68" s="2">
        <f t="shared" si="60"/>
        <v>0</v>
      </c>
      <c r="X68" s="2">
        <f t="shared" si="60"/>
        <v>0</v>
      </c>
      <c r="Y68" s="2">
        <f t="shared" si="60"/>
        <v>0</v>
      </c>
      <c r="Z68" s="2">
        <f t="shared" si="60"/>
        <v>0</v>
      </c>
      <c r="AA68" s="2">
        <f t="shared" si="60"/>
        <v>0</v>
      </c>
      <c r="AB68" s="2">
        <f t="shared" si="60"/>
        <v>4595.4799999999996</v>
      </c>
      <c r="AC68" s="2">
        <f t="shared" si="60"/>
        <v>0</v>
      </c>
      <c r="AD68" s="2">
        <f t="shared" si="60"/>
        <v>4595.4799999999996</v>
      </c>
      <c r="AE68" s="2">
        <f t="shared" si="60"/>
        <v>2678.16</v>
      </c>
      <c r="AF68" s="2">
        <f t="shared" si="60"/>
        <v>0</v>
      </c>
      <c r="AG68" s="2">
        <f t="shared" si="60"/>
        <v>0</v>
      </c>
      <c r="AH68" s="2">
        <f t="shared" si="60"/>
        <v>0</v>
      </c>
      <c r="AI68" s="2">
        <f t="shared" si="60"/>
        <v>0</v>
      </c>
      <c r="AJ68" s="2">
        <f t="shared" si="60"/>
        <v>0</v>
      </c>
      <c r="AK68" s="2">
        <f t="shared" si="60"/>
        <v>0</v>
      </c>
      <c r="AL68" s="2">
        <f t="shared" si="60"/>
        <v>0</v>
      </c>
      <c r="AM68" s="2">
        <f t="shared" si="60"/>
        <v>0</v>
      </c>
      <c r="AN68" s="2">
        <f t="shared" si="60"/>
        <v>0</v>
      </c>
      <c r="AO68" s="2">
        <f t="shared" si="60"/>
        <v>0</v>
      </c>
      <c r="AP68" s="2">
        <f t="shared" si="60"/>
        <v>0</v>
      </c>
      <c r="AQ68" s="2">
        <f t="shared" si="60"/>
        <v>0</v>
      </c>
      <c r="AR68" s="2">
        <f t="shared" si="60"/>
        <v>4736.2</v>
      </c>
      <c r="AS68" s="2">
        <f t="shared" si="60"/>
        <v>0</v>
      </c>
      <c r="AT68" s="2">
        <f t="shared" si="60"/>
        <v>0</v>
      </c>
      <c r="AU68" s="2">
        <f t="shared" ref="AU68:BZ68" si="61">AU74</f>
        <v>4736.2</v>
      </c>
      <c r="AV68" s="2">
        <f t="shared" si="61"/>
        <v>0</v>
      </c>
      <c r="AW68" s="2">
        <f t="shared" si="61"/>
        <v>0</v>
      </c>
      <c r="AX68" s="2">
        <f t="shared" si="61"/>
        <v>0</v>
      </c>
      <c r="AY68" s="2">
        <f t="shared" si="61"/>
        <v>0</v>
      </c>
      <c r="AZ68" s="2">
        <f t="shared" si="61"/>
        <v>0</v>
      </c>
      <c r="BA68" s="2">
        <f t="shared" si="61"/>
        <v>0</v>
      </c>
      <c r="BB68" s="2">
        <f t="shared" si="61"/>
        <v>0</v>
      </c>
      <c r="BC68" s="2">
        <f t="shared" si="61"/>
        <v>0</v>
      </c>
      <c r="BD68" s="2">
        <f t="shared" si="61"/>
        <v>0</v>
      </c>
      <c r="BE68" s="2">
        <f t="shared" si="61"/>
        <v>0</v>
      </c>
      <c r="BF68" s="2">
        <f t="shared" si="61"/>
        <v>0</v>
      </c>
      <c r="BG68" s="2">
        <f t="shared" si="61"/>
        <v>0</v>
      </c>
      <c r="BH68" s="2">
        <f t="shared" si="61"/>
        <v>0</v>
      </c>
      <c r="BI68" s="2">
        <f t="shared" si="61"/>
        <v>0</v>
      </c>
      <c r="BJ68" s="2">
        <f t="shared" si="61"/>
        <v>0</v>
      </c>
      <c r="BK68" s="2">
        <f t="shared" si="61"/>
        <v>0</v>
      </c>
      <c r="BL68" s="2">
        <f t="shared" si="61"/>
        <v>0</v>
      </c>
      <c r="BM68" s="2">
        <f t="shared" si="61"/>
        <v>0</v>
      </c>
      <c r="BN68" s="2">
        <f t="shared" si="61"/>
        <v>0</v>
      </c>
      <c r="BO68" s="2">
        <f t="shared" si="61"/>
        <v>0</v>
      </c>
      <c r="BP68" s="2">
        <f t="shared" si="61"/>
        <v>0</v>
      </c>
      <c r="BQ68" s="2">
        <f t="shared" si="61"/>
        <v>0</v>
      </c>
      <c r="BR68" s="2">
        <f t="shared" si="61"/>
        <v>0</v>
      </c>
      <c r="BS68" s="2">
        <f t="shared" si="61"/>
        <v>0</v>
      </c>
      <c r="BT68" s="2">
        <f t="shared" si="61"/>
        <v>0</v>
      </c>
      <c r="BU68" s="2">
        <f t="shared" si="61"/>
        <v>0</v>
      </c>
      <c r="BV68" s="2">
        <f t="shared" si="61"/>
        <v>0</v>
      </c>
      <c r="BW68" s="2">
        <f t="shared" si="61"/>
        <v>0</v>
      </c>
      <c r="BX68" s="2">
        <f t="shared" si="61"/>
        <v>0</v>
      </c>
      <c r="BY68" s="2">
        <f t="shared" si="61"/>
        <v>0</v>
      </c>
      <c r="BZ68" s="2">
        <f t="shared" si="61"/>
        <v>0</v>
      </c>
      <c r="CA68" s="2">
        <f t="shared" ref="CA68:DF68" si="62">CA74</f>
        <v>4736.2</v>
      </c>
      <c r="CB68" s="2">
        <f t="shared" si="62"/>
        <v>0</v>
      </c>
      <c r="CC68" s="2">
        <f t="shared" si="62"/>
        <v>0</v>
      </c>
      <c r="CD68" s="2">
        <f t="shared" si="62"/>
        <v>4736.2</v>
      </c>
      <c r="CE68" s="2">
        <f t="shared" si="62"/>
        <v>0</v>
      </c>
      <c r="CF68" s="2">
        <f t="shared" si="62"/>
        <v>0</v>
      </c>
      <c r="CG68" s="2">
        <f t="shared" si="62"/>
        <v>0</v>
      </c>
      <c r="CH68" s="2">
        <f t="shared" si="62"/>
        <v>0</v>
      </c>
      <c r="CI68" s="2">
        <f t="shared" si="62"/>
        <v>0</v>
      </c>
      <c r="CJ68" s="2">
        <f t="shared" si="62"/>
        <v>0</v>
      </c>
      <c r="CK68" s="2">
        <f t="shared" si="62"/>
        <v>0</v>
      </c>
      <c r="CL68" s="2">
        <f t="shared" si="62"/>
        <v>0</v>
      </c>
      <c r="CM68" s="2">
        <f t="shared" si="62"/>
        <v>0</v>
      </c>
      <c r="CN68" s="2">
        <f t="shared" si="62"/>
        <v>0</v>
      </c>
      <c r="CO68" s="2">
        <f t="shared" si="62"/>
        <v>0</v>
      </c>
      <c r="CP68" s="2">
        <f t="shared" si="62"/>
        <v>0</v>
      </c>
      <c r="CQ68" s="2">
        <f t="shared" si="62"/>
        <v>0</v>
      </c>
      <c r="CR68" s="2">
        <f t="shared" si="62"/>
        <v>0</v>
      </c>
      <c r="CS68" s="2">
        <f t="shared" si="62"/>
        <v>0</v>
      </c>
      <c r="CT68" s="2">
        <f t="shared" si="62"/>
        <v>0</v>
      </c>
      <c r="CU68" s="2">
        <f t="shared" si="62"/>
        <v>0</v>
      </c>
      <c r="CV68" s="2">
        <f t="shared" si="62"/>
        <v>0</v>
      </c>
      <c r="CW68" s="2">
        <f t="shared" si="62"/>
        <v>0</v>
      </c>
      <c r="CX68" s="2">
        <f t="shared" si="62"/>
        <v>0</v>
      </c>
      <c r="CY68" s="2">
        <f t="shared" si="62"/>
        <v>0</v>
      </c>
      <c r="CZ68" s="2">
        <f t="shared" si="62"/>
        <v>0</v>
      </c>
      <c r="DA68" s="2">
        <f t="shared" si="62"/>
        <v>0</v>
      </c>
      <c r="DB68" s="2">
        <f t="shared" si="62"/>
        <v>0</v>
      </c>
      <c r="DC68" s="2">
        <f t="shared" si="62"/>
        <v>0</v>
      </c>
      <c r="DD68" s="2">
        <f t="shared" si="62"/>
        <v>0</v>
      </c>
      <c r="DE68" s="2">
        <f t="shared" si="62"/>
        <v>0</v>
      </c>
      <c r="DF68" s="2">
        <f t="shared" si="62"/>
        <v>0</v>
      </c>
      <c r="DG68" s="3">
        <f t="shared" ref="DG68:EL68" si="63">DG74</f>
        <v>0</v>
      </c>
      <c r="DH68" s="3">
        <f t="shared" si="63"/>
        <v>0</v>
      </c>
      <c r="DI68" s="3">
        <f t="shared" si="63"/>
        <v>0</v>
      </c>
      <c r="DJ68" s="3">
        <f t="shared" si="63"/>
        <v>0</v>
      </c>
      <c r="DK68" s="3">
        <f t="shared" si="63"/>
        <v>0</v>
      </c>
      <c r="DL68" s="3">
        <f t="shared" si="63"/>
        <v>0</v>
      </c>
      <c r="DM68" s="3">
        <f t="shared" si="63"/>
        <v>0</v>
      </c>
      <c r="DN68" s="3">
        <f t="shared" si="63"/>
        <v>0</v>
      </c>
      <c r="DO68" s="3">
        <f t="shared" si="63"/>
        <v>0</v>
      </c>
      <c r="DP68" s="3">
        <f t="shared" si="63"/>
        <v>0</v>
      </c>
      <c r="DQ68" s="3">
        <f t="shared" si="63"/>
        <v>0</v>
      </c>
      <c r="DR68" s="3">
        <f t="shared" si="63"/>
        <v>0</v>
      </c>
      <c r="DS68" s="3">
        <f t="shared" si="63"/>
        <v>0</v>
      </c>
      <c r="DT68" s="3">
        <f t="shared" si="63"/>
        <v>0</v>
      </c>
      <c r="DU68" s="3">
        <f t="shared" si="63"/>
        <v>0</v>
      </c>
      <c r="DV68" s="3">
        <f t="shared" si="63"/>
        <v>0</v>
      </c>
      <c r="DW68" s="3">
        <f t="shared" si="63"/>
        <v>0</v>
      </c>
      <c r="DX68" s="3">
        <f t="shared" si="63"/>
        <v>0</v>
      </c>
      <c r="DY68" s="3">
        <f t="shared" si="63"/>
        <v>0</v>
      </c>
      <c r="DZ68" s="3">
        <f t="shared" si="63"/>
        <v>0</v>
      </c>
      <c r="EA68" s="3">
        <f t="shared" si="63"/>
        <v>0</v>
      </c>
      <c r="EB68" s="3">
        <f t="shared" si="63"/>
        <v>0</v>
      </c>
      <c r="EC68" s="3">
        <f t="shared" si="63"/>
        <v>0</v>
      </c>
      <c r="ED68" s="3">
        <f t="shared" si="63"/>
        <v>0</v>
      </c>
      <c r="EE68" s="3">
        <f t="shared" si="63"/>
        <v>0</v>
      </c>
      <c r="EF68" s="3">
        <f t="shared" si="63"/>
        <v>0</v>
      </c>
      <c r="EG68" s="3">
        <f t="shared" si="63"/>
        <v>0</v>
      </c>
      <c r="EH68" s="3">
        <f t="shared" si="63"/>
        <v>0</v>
      </c>
      <c r="EI68" s="3">
        <f t="shared" si="63"/>
        <v>0</v>
      </c>
      <c r="EJ68" s="3">
        <f t="shared" si="63"/>
        <v>0</v>
      </c>
      <c r="EK68" s="3">
        <f t="shared" si="63"/>
        <v>0</v>
      </c>
      <c r="EL68" s="3">
        <f t="shared" si="63"/>
        <v>0</v>
      </c>
      <c r="EM68" s="3">
        <f t="shared" ref="EM68:FR68" si="64">EM74</f>
        <v>0</v>
      </c>
      <c r="EN68" s="3">
        <f t="shared" si="64"/>
        <v>0</v>
      </c>
      <c r="EO68" s="3">
        <f t="shared" si="64"/>
        <v>0</v>
      </c>
      <c r="EP68" s="3">
        <f t="shared" si="64"/>
        <v>0</v>
      </c>
      <c r="EQ68" s="3">
        <f t="shared" si="64"/>
        <v>0</v>
      </c>
      <c r="ER68" s="3">
        <f t="shared" si="64"/>
        <v>0</v>
      </c>
      <c r="ES68" s="3">
        <f t="shared" si="64"/>
        <v>0</v>
      </c>
      <c r="ET68" s="3">
        <f t="shared" si="64"/>
        <v>0</v>
      </c>
      <c r="EU68" s="3">
        <f t="shared" si="64"/>
        <v>0</v>
      </c>
      <c r="EV68" s="3">
        <f t="shared" si="64"/>
        <v>0</v>
      </c>
      <c r="EW68" s="3">
        <f t="shared" si="64"/>
        <v>0</v>
      </c>
      <c r="EX68" s="3">
        <f t="shared" si="64"/>
        <v>0</v>
      </c>
      <c r="EY68" s="3">
        <f t="shared" si="64"/>
        <v>0</v>
      </c>
      <c r="EZ68" s="3">
        <f t="shared" si="64"/>
        <v>0</v>
      </c>
      <c r="FA68" s="3">
        <f t="shared" si="64"/>
        <v>0</v>
      </c>
      <c r="FB68" s="3">
        <f t="shared" si="64"/>
        <v>0</v>
      </c>
      <c r="FC68" s="3">
        <f t="shared" si="64"/>
        <v>0</v>
      </c>
      <c r="FD68" s="3">
        <f t="shared" si="64"/>
        <v>0</v>
      </c>
      <c r="FE68" s="3">
        <f t="shared" si="64"/>
        <v>0</v>
      </c>
      <c r="FF68" s="3">
        <f t="shared" si="64"/>
        <v>0</v>
      </c>
      <c r="FG68" s="3">
        <f t="shared" si="64"/>
        <v>0</v>
      </c>
      <c r="FH68" s="3">
        <f t="shared" si="64"/>
        <v>0</v>
      </c>
      <c r="FI68" s="3">
        <f t="shared" si="64"/>
        <v>0</v>
      </c>
      <c r="FJ68" s="3">
        <f t="shared" si="64"/>
        <v>0</v>
      </c>
      <c r="FK68" s="3">
        <f t="shared" si="64"/>
        <v>0</v>
      </c>
      <c r="FL68" s="3">
        <f t="shared" si="64"/>
        <v>0</v>
      </c>
      <c r="FM68" s="3">
        <f t="shared" si="64"/>
        <v>0</v>
      </c>
      <c r="FN68" s="3">
        <f t="shared" si="64"/>
        <v>0</v>
      </c>
      <c r="FO68" s="3">
        <f t="shared" si="64"/>
        <v>0</v>
      </c>
      <c r="FP68" s="3">
        <f t="shared" si="64"/>
        <v>0</v>
      </c>
      <c r="FQ68" s="3">
        <f t="shared" si="64"/>
        <v>0</v>
      </c>
      <c r="FR68" s="3">
        <f t="shared" si="64"/>
        <v>0</v>
      </c>
      <c r="FS68" s="3">
        <f t="shared" ref="FS68:GX68" si="65">FS74</f>
        <v>0</v>
      </c>
      <c r="FT68" s="3">
        <f t="shared" si="65"/>
        <v>0</v>
      </c>
      <c r="FU68" s="3">
        <f t="shared" si="65"/>
        <v>0</v>
      </c>
      <c r="FV68" s="3">
        <f t="shared" si="65"/>
        <v>0</v>
      </c>
      <c r="FW68" s="3">
        <f t="shared" si="65"/>
        <v>0</v>
      </c>
      <c r="FX68" s="3">
        <f t="shared" si="65"/>
        <v>0</v>
      </c>
      <c r="FY68" s="3">
        <f t="shared" si="65"/>
        <v>0</v>
      </c>
      <c r="FZ68" s="3">
        <f t="shared" si="65"/>
        <v>0</v>
      </c>
      <c r="GA68" s="3">
        <f t="shared" si="65"/>
        <v>0</v>
      </c>
      <c r="GB68" s="3">
        <f t="shared" si="65"/>
        <v>0</v>
      </c>
      <c r="GC68" s="3">
        <f t="shared" si="65"/>
        <v>0</v>
      </c>
      <c r="GD68" s="3">
        <f t="shared" si="65"/>
        <v>0</v>
      </c>
      <c r="GE68" s="3">
        <f t="shared" si="65"/>
        <v>0</v>
      </c>
      <c r="GF68" s="3">
        <f t="shared" si="65"/>
        <v>0</v>
      </c>
      <c r="GG68" s="3">
        <f t="shared" si="65"/>
        <v>0</v>
      </c>
      <c r="GH68" s="3">
        <f t="shared" si="65"/>
        <v>0</v>
      </c>
      <c r="GI68" s="3">
        <f t="shared" si="65"/>
        <v>0</v>
      </c>
      <c r="GJ68" s="3">
        <f t="shared" si="65"/>
        <v>0</v>
      </c>
      <c r="GK68" s="3">
        <f t="shared" si="65"/>
        <v>0</v>
      </c>
      <c r="GL68" s="3">
        <f t="shared" si="65"/>
        <v>0</v>
      </c>
      <c r="GM68" s="3">
        <f t="shared" si="65"/>
        <v>0</v>
      </c>
      <c r="GN68" s="3">
        <f t="shared" si="65"/>
        <v>0</v>
      </c>
      <c r="GO68" s="3">
        <f t="shared" si="65"/>
        <v>0</v>
      </c>
      <c r="GP68" s="3">
        <f t="shared" si="65"/>
        <v>0</v>
      </c>
      <c r="GQ68" s="3">
        <f t="shared" si="65"/>
        <v>0</v>
      </c>
      <c r="GR68" s="3">
        <f t="shared" si="65"/>
        <v>0</v>
      </c>
      <c r="GS68" s="3">
        <f t="shared" si="65"/>
        <v>0</v>
      </c>
      <c r="GT68" s="3">
        <f t="shared" si="65"/>
        <v>0</v>
      </c>
      <c r="GU68" s="3">
        <f t="shared" si="65"/>
        <v>0</v>
      </c>
      <c r="GV68" s="3">
        <f t="shared" si="65"/>
        <v>0</v>
      </c>
      <c r="GW68" s="3">
        <f t="shared" si="65"/>
        <v>0</v>
      </c>
      <c r="GX68" s="3">
        <f t="shared" si="65"/>
        <v>0</v>
      </c>
    </row>
    <row r="70" spans="1:245" x14ac:dyDescent="0.2">
      <c r="A70">
        <v>17</v>
      </c>
      <c r="B70">
        <v>1</v>
      </c>
      <c r="C70">
        <f>ROW(SmtRes!A49)</f>
        <v>49</v>
      </c>
      <c r="D70">
        <f>ROW(EtalonRes!A48)</f>
        <v>48</v>
      </c>
      <c r="E70" t="s">
        <v>105</v>
      </c>
      <c r="F70" t="s">
        <v>106</v>
      </c>
      <c r="G70" t="s">
        <v>107</v>
      </c>
      <c r="H70" t="s">
        <v>17</v>
      </c>
      <c r="I70">
        <v>2.1072000000000002</v>
      </c>
      <c r="J70">
        <v>0</v>
      </c>
      <c r="K70">
        <v>2.1072000000000002</v>
      </c>
      <c r="O70">
        <f>ROUND(CP70,2)</f>
        <v>227.07</v>
      </c>
      <c r="P70">
        <f>ROUND(CQ70*I70,2)</f>
        <v>0</v>
      </c>
      <c r="Q70">
        <f>ROUND(CR70*I70,2)</f>
        <v>227.07</v>
      </c>
      <c r="R70">
        <f>ROUND(CS70*I70,2)</f>
        <v>87.95</v>
      </c>
      <c r="S70">
        <f>ROUND(CT70*I70,2)</f>
        <v>0</v>
      </c>
      <c r="T70">
        <f>ROUND(CU70*I70,2)</f>
        <v>0</v>
      </c>
      <c r="U70">
        <f>CV70*I70</f>
        <v>0</v>
      </c>
      <c r="V70">
        <f>CW70*I70</f>
        <v>0</v>
      </c>
      <c r="W70">
        <f>ROUND(CX70*I70,2)</f>
        <v>0</v>
      </c>
      <c r="X70">
        <f t="shared" ref="X70:Y72" si="66">ROUND(CY70,2)</f>
        <v>0</v>
      </c>
      <c r="Y70">
        <f t="shared" si="66"/>
        <v>0</v>
      </c>
      <c r="AA70">
        <v>78163571</v>
      </c>
      <c r="AB70">
        <f>ROUND((AC70+AD70+AF70),6)</f>
        <v>107.76</v>
      </c>
      <c r="AC70">
        <f>ROUND((ES70),6)</f>
        <v>0</v>
      </c>
      <c r="AD70">
        <f>ROUND((((ET70)-(EU70))+AE70),6)</f>
        <v>107.76</v>
      </c>
      <c r="AE70">
        <f>ROUND((EU70),6)</f>
        <v>41.74</v>
      </c>
      <c r="AF70">
        <f>ROUND((EV70),6)</f>
        <v>0</v>
      </c>
      <c r="AG70">
        <f>ROUND((AP70),6)</f>
        <v>0</v>
      </c>
      <c r="AH70">
        <f>(EW70)</f>
        <v>0</v>
      </c>
      <c r="AI70">
        <f>(EX70)</f>
        <v>0</v>
      </c>
      <c r="AJ70">
        <f>(AS70)</f>
        <v>0</v>
      </c>
      <c r="AK70">
        <v>107.76</v>
      </c>
      <c r="AL70">
        <v>0</v>
      </c>
      <c r="AM70">
        <v>107.76</v>
      </c>
      <c r="AN70">
        <v>41.74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70</v>
      </c>
      <c r="AU70">
        <v>10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4</v>
      </c>
      <c r="BJ70" t="s">
        <v>108</v>
      </c>
      <c r="BM70">
        <v>0</v>
      </c>
      <c r="BN70">
        <v>77790596</v>
      </c>
      <c r="BO70" t="s">
        <v>3</v>
      </c>
      <c r="BP70">
        <v>0</v>
      </c>
      <c r="BQ70">
        <v>1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70</v>
      </c>
      <c r="CA70">
        <v>10</v>
      </c>
      <c r="CB70" t="s">
        <v>3</v>
      </c>
      <c r="CE70">
        <v>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>(P70+Q70+S70)</f>
        <v>227.07</v>
      </c>
      <c r="CQ70">
        <f>(AC70*BC70*AW70)</f>
        <v>0</v>
      </c>
      <c r="CR70">
        <f>((((ET70)*BB70-(EU70)*BS70)+AE70*BS70)*AV70)</f>
        <v>107.76000000000002</v>
      </c>
      <c r="CS70">
        <f>(AE70*BS70*AV70)</f>
        <v>41.74</v>
      </c>
      <c r="CT70">
        <f>(AF70*BA70*AV70)</f>
        <v>0</v>
      </c>
      <c r="CU70">
        <f>AG70</f>
        <v>0</v>
      </c>
      <c r="CV70">
        <f>(AH70*AV70)</f>
        <v>0</v>
      </c>
      <c r="CW70">
        <f t="shared" ref="CW70:CX72" si="67">AI70</f>
        <v>0</v>
      </c>
      <c r="CX70">
        <f t="shared" si="67"/>
        <v>0</v>
      </c>
      <c r="CY70">
        <f>((S70*BZ70)/100)</f>
        <v>0</v>
      </c>
      <c r="CZ70">
        <f>((S70*CA70)/100)</f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1009</v>
      </c>
      <c r="DV70" t="s">
        <v>17</v>
      </c>
      <c r="DW70" t="s">
        <v>17</v>
      </c>
      <c r="DX70">
        <v>1000</v>
      </c>
      <c r="DZ70" t="s">
        <v>3</v>
      </c>
      <c r="EA70" t="s">
        <v>3</v>
      </c>
      <c r="EB70" t="s">
        <v>3</v>
      </c>
      <c r="EC70" t="s">
        <v>3</v>
      </c>
      <c r="EE70">
        <v>77790599</v>
      </c>
      <c r="EF70">
        <v>1</v>
      </c>
      <c r="EG70" t="s">
        <v>21</v>
      </c>
      <c r="EH70">
        <v>0</v>
      </c>
      <c r="EI70" t="s">
        <v>3</v>
      </c>
      <c r="EJ70">
        <v>4</v>
      </c>
      <c r="EK70">
        <v>0</v>
      </c>
      <c r="EL70" t="s">
        <v>22</v>
      </c>
      <c r="EM70" t="s">
        <v>23</v>
      </c>
      <c r="EO70" t="s">
        <v>3</v>
      </c>
      <c r="EQ70">
        <v>131072</v>
      </c>
      <c r="ER70">
        <v>107.76</v>
      </c>
      <c r="ES70">
        <v>0</v>
      </c>
      <c r="ET70">
        <v>107.76</v>
      </c>
      <c r="EU70">
        <v>41.74</v>
      </c>
      <c r="EV70">
        <v>0</v>
      </c>
      <c r="EW70">
        <v>0</v>
      </c>
      <c r="EX70">
        <v>0</v>
      </c>
      <c r="EY70">
        <v>0</v>
      </c>
      <c r="FQ70">
        <v>0</v>
      </c>
      <c r="FR70">
        <f>ROUND(IF(BI70=3,GM70,0),2)</f>
        <v>0</v>
      </c>
      <c r="FS70">
        <v>0</v>
      </c>
      <c r="FX70">
        <v>70</v>
      </c>
      <c r="FY70">
        <v>10</v>
      </c>
      <c r="GA70" t="s">
        <v>3</v>
      </c>
      <c r="GD70">
        <v>0</v>
      </c>
      <c r="GF70">
        <v>576576758</v>
      </c>
      <c r="GG70">
        <v>2</v>
      </c>
      <c r="GH70">
        <v>1</v>
      </c>
      <c r="GI70">
        <v>-2</v>
      </c>
      <c r="GJ70">
        <v>0</v>
      </c>
      <c r="GK70">
        <f>ROUND(R70*(R12)/100,2)</f>
        <v>140.72</v>
      </c>
      <c r="GL70">
        <f>ROUND(IF(AND(BH70=3,BI70=3,FS70&lt;&gt;0),P70,0),2)</f>
        <v>0</v>
      </c>
      <c r="GM70">
        <f>ROUND(O70+X70+Y70+GK70,2)+GX70</f>
        <v>367.79</v>
      </c>
      <c r="GN70">
        <f>IF(OR(BI70=0,BI70=1),GM70-GX70,0)</f>
        <v>0</v>
      </c>
      <c r="GO70">
        <f>IF(BI70=2,GM70-GX70,0)</f>
        <v>0</v>
      </c>
      <c r="GP70">
        <f>IF(BI70=4,GM70-GX70,0)</f>
        <v>367.79</v>
      </c>
      <c r="GR70">
        <v>0</v>
      </c>
      <c r="GS70">
        <v>3</v>
      </c>
      <c r="GT70">
        <v>0</v>
      </c>
      <c r="GU70" t="s">
        <v>3</v>
      </c>
      <c r="GV70">
        <f>ROUND((GT70),6)</f>
        <v>0</v>
      </c>
      <c r="GW70">
        <v>1</v>
      </c>
      <c r="GX70">
        <f>ROUND(HC70*I70,2)</f>
        <v>0</v>
      </c>
      <c r="HA70">
        <v>0</v>
      </c>
      <c r="HB70">
        <v>0</v>
      </c>
      <c r="HC70">
        <f>GV70*GW70</f>
        <v>0</v>
      </c>
      <c r="HE70" t="s">
        <v>3</v>
      </c>
      <c r="HF70" t="s">
        <v>3</v>
      </c>
      <c r="HM70" t="s">
        <v>3</v>
      </c>
      <c r="HN70" t="s">
        <v>3</v>
      </c>
      <c r="HO70" t="s">
        <v>3</v>
      </c>
      <c r="HP70" t="s">
        <v>3</v>
      </c>
      <c r="HQ70" t="s">
        <v>3</v>
      </c>
      <c r="IK70">
        <v>0</v>
      </c>
    </row>
    <row r="71" spans="1:245" x14ac:dyDescent="0.2">
      <c r="A71">
        <v>17</v>
      </c>
      <c r="B71">
        <v>1</v>
      </c>
      <c r="C71">
        <f>ROW(SmtRes!A51)</f>
        <v>51</v>
      </c>
      <c r="D71">
        <f>ROW(EtalonRes!A50)</f>
        <v>50</v>
      </c>
      <c r="E71" t="s">
        <v>109</v>
      </c>
      <c r="F71" t="s">
        <v>110</v>
      </c>
      <c r="G71" t="s">
        <v>111</v>
      </c>
      <c r="H71" t="s">
        <v>17</v>
      </c>
      <c r="I71">
        <f>ROUND(I70,9)</f>
        <v>2.1072000000000002</v>
      </c>
      <c r="J71">
        <v>0</v>
      </c>
      <c r="K71">
        <f>ROUND(I70,9)</f>
        <v>2.1072000000000002</v>
      </c>
      <c r="O71">
        <f>ROUND(CP71,2)</f>
        <v>180.48</v>
      </c>
      <c r="P71">
        <f>ROUND(CQ71*I71,2)</f>
        <v>0</v>
      </c>
      <c r="Q71">
        <f>ROUND(CR71*I71,2)</f>
        <v>180.48</v>
      </c>
      <c r="R71">
        <f>ROUND(CS71*I71,2)</f>
        <v>106.98</v>
      </c>
      <c r="S71">
        <f>ROUND(CT71*I71,2)</f>
        <v>0</v>
      </c>
      <c r="T71">
        <f>ROUND(CU71*I71,2)</f>
        <v>0</v>
      </c>
      <c r="U71">
        <f>CV71*I71</f>
        <v>0</v>
      </c>
      <c r="V71">
        <f>CW71*I71</f>
        <v>0</v>
      </c>
      <c r="W71">
        <f>ROUND(CX71*I71,2)</f>
        <v>0</v>
      </c>
      <c r="X71">
        <f t="shared" si="66"/>
        <v>0</v>
      </c>
      <c r="Y71">
        <f t="shared" si="66"/>
        <v>0</v>
      </c>
      <c r="AA71">
        <v>78163571</v>
      </c>
      <c r="AB71">
        <f>ROUND((AC71+AD71+AF71),6)</f>
        <v>85.65</v>
      </c>
      <c r="AC71">
        <f>ROUND((ES71),6)</f>
        <v>0</v>
      </c>
      <c r="AD71">
        <f>ROUND((((ET71)-(EU71))+AE71),6)</f>
        <v>85.65</v>
      </c>
      <c r="AE71">
        <f>ROUND((EU71),6)</f>
        <v>50.77</v>
      </c>
      <c r="AF71">
        <f>ROUND((EV71),6)</f>
        <v>0</v>
      </c>
      <c r="AG71">
        <f>ROUND((AP71),6)</f>
        <v>0</v>
      </c>
      <c r="AH71">
        <f>(EW71)</f>
        <v>0</v>
      </c>
      <c r="AI71">
        <f>(EX71)</f>
        <v>0</v>
      </c>
      <c r="AJ71">
        <f>(AS71)</f>
        <v>0</v>
      </c>
      <c r="AK71">
        <v>85.65</v>
      </c>
      <c r="AL71">
        <v>0</v>
      </c>
      <c r="AM71">
        <v>85.65</v>
      </c>
      <c r="AN71">
        <v>50.77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4</v>
      </c>
      <c r="BJ71" t="s">
        <v>112</v>
      </c>
      <c r="BM71">
        <v>1</v>
      </c>
      <c r="BN71">
        <v>77790596</v>
      </c>
      <c r="BO71" t="s">
        <v>3</v>
      </c>
      <c r="BP71">
        <v>0</v>
      </c>
      <c r="BQ71">
        <v>1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0</v>
      </c>
      <c r="CA71">
        <v>0</v>
      </c>
      <c r="CB71" t="s">
        <v>3</v>
      </c>
      <c r="CE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(P71+Q71+S71)</f>
        <v>180.48</v>
      </c>
      <c r="CQ71">
        <f>(AC71*BC71*AW71)</f>
        <v>0</v>
      </c>
      <c r="CR71">
        <f>((((ET71)*BB71-(EU71)*BS71)+AE71*BS71)*AV71)</f>
        <v>85.65</v>
      </c>
      <c r="CS71">
        <f>(AE71*BS71*AV71)</f>
        <v>50.77</v>
      </c>
      <c r="CT71">
        <f>(AF71*BA71*AV71)</f>
        <v>0</v>
      </c>
      <c r="CU71">
        <f>AG71</f>
        <v>0</v>
      </c>
      <c r="CV71">
        <f>(AH71*AV71)</f>
        <v>0</v>
      </c>
      <c r="CW71">
        <f t="shared" si="67"/>
        <v>0</v>
      </c>
      <c r="CX71">
        <f t="shared" si="67"/>
        <v>0</v>
      </c>
      <c r="CY71">
        <f>((S71*BZ71)/100)</f>
        <v>0</v>
      </c>
      <c r="CZ71">
        <f>((S71*CA71)/100)</f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1009</v>
      </c>
      <c r="DV71" t="s">
        <v>17</v>
      </c>
      <c r="DW71" t="s">
        <v>17</v>
      </c>
      <c r="DX71">
        <v>1000</v>
      </c>
      <c r="DZ71" t="s">
        <v>3</v>
      </c>
      <c r="EA71" t="s">
        <v>3</v>
      </c>
      <c r="EB71" t="s">
        <v>3</v>
      </c>
      <c r="EC71" t="s">
        <v>3</v>
      </c>
      <c r="EE71">
        <v>77790601</v>
      </c>
      <c r="EF71">
        <v>1</v>
      </c>
      <c r="EG71" t="s">
        <v>21</v>
      </c>
      <c r="EH71">
        <v>0</v>
      </c>
      <c r="EI71" t="s">
        <v>3</v>
      </c>
      <c r="EJ71">
        <v>4</v>
      </c>
      <c r="EK71">
        <v>1</v>
      </c>
      <c r="EL71" t="s">
        <v>113</v>
      </c>
      <c r="EM71" t="s">
        <v>23</v>
      </c>
      <c r="EO71" t="s">
        <v>3</v>
      </c>
      <c r="EQ71">
        <v>131072</v>
      </c>
      <c r="ER71">
        <v>85.65</v>
      </c>
      <c r="ES71">
        <v>0</v>
      </c>
      <c r="ET71">
        <v>85.65</v>
      </c>
      <c r="EU71">
        <v>50.77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>ROUND(IF(BI71=3,GM71,0),2)</f>
        <v>0</v>
      </c>
      <c r="FS71">
        <v>0</v>
      </c>
      <c r="FX71">
        <v>0</v>
      </c>
      <c r="FY71">
        <v>0</v>
      </c>
      <c r="GA71" t="s">
        <v>3</v>
      </c>
      <c r="GD71">
        <v>1</v>
      </c>
      <c r="GF71">
        <v>-1226843404</v>
      </c>
      <c r="GG71">
        <v>2</v>
      </c>
      <c r="GH71">
        <v>1</v>
      </c>
      <c r="GI71">
        <v>-2</v>
      </c>
      <c r="GJ71">
        <v>0</v>
      </c>
      <c r="GK71">
        <v>0</v>
      </c>
      <c r="GL71">
        <f>ROUND(IF(AND(BH71=3,BI71=3,FS71&lt;&gt;0),P71,0),2)</f>
        <v>0</v>
      </c>
      <c r="GM71">
        <f>ROUND(O71+X71+Y71,2)+GX71</f>
        <v>180.48</v>
      </c>
      <c r="GN71">
        <f>IF(OR(BI71=0,BI71=1),GM71-GX71,0)</f>
        <v>0</v>
      </c>
      <c r="GO71">
        <f>IF(BI71=2,GM71-GX71,0)</f>
        <v>0</v>
      </c>
      <c r="GP71">
        <f>IF(BI71=4,GM71-GX71,0)</f>
        <v>180.48</v>
      </c>
      <c r="GR71">
        <v>0</v>
      </c>
      <c r="GS71">
        <v>3</v>
      </c>
      <c r="GT71">
        <v>0</v>
      </c>
      <c r="GU71" t="s">
        <v>3</v>
      </c>
      <c r="GV71">
        <f>ROUND((GT71),6)</f>
        <v>0</v>
      </c>
      <c r="GW71">
        <v>1</v>
      </c>
      <c r="GX71">
        <f>ROUND(HC71*I71,2)</f>
        <v>0</v>
      </c>
      <c r="HA71">
        <v>0</v>
      </c>
      <c r="HB71">
        <v>0</v>
      </c>
      <c r="HC71">
        <f>GV71*GW71</f>
        <v>0</v>
      </c>
      <c r="HE71" t="s">
        <v>3</v>
      </c>
      <c r="HF71" t="s">
        <v>3</v>
      </c>
      <c r="HM71" t="s">
        <v>3</v>
      </c>
      <c r="HN71" t="s">
        <v>3</v>
      </c>
      <c r="HO71" t="s">
        <v>3</v>
      </c>
      <c r="HP71" t="s">
        <v>3</v>
      </c>
      <c r="HQ71" t="s">
        <v>3</v>
      </c>
      <c r="IK71">
        <v>0</v>
      </c>
    </row>
    <row r="72" spans="1:245" x14ac:dyDescent="0.2">
      <c r="A72">
        <v>17</v>
      </c>
      <c r="B72">
        <v>1</v>
      </c>
      <c r="C72">
        <f>ROW(SmtRes!A53)</f>
        <v>53</v>
      </c>
      <c r="D72">
        <f>ROW(EtalonRes!A52)</f>
        <v>52</v>
      </c>
      <c r="E72" t="s">
        <v>114</v>
      </c>
      <c r="F72" t="s">
        <v>115</v>
      </c>
      <c r="G72" t="s">
        <v>116</v>
      </c>
      <c r="H72" t="s">
        <v>17</v>
      </c>
      <c r="I72">
        <f>ROUND(I71,9)</f>
        <v>2.1072000000000002</v>
      </c>
      <c r="J72">
        <v>0</v>
      </c>
      <c r="K72">
        <f>ROUND(I71,9)</f>
        <v>2.1072000000000002</v>
      </c>
      <c r="O72">
        <f>ROUND(CP72,2)</f>
        <v>4187.93</v>
      </c>
      <c r="P72">
        <f>ROUND(CQ72*I72,2)</f>
        <v>0</v>
      </c>
      <c r="Q72">
        <f>ROUND(CR72*I72,2)</f>
        <v>4187.93</v>
      </c>
      <c r="R72">
        <f>ROUND(CS72*I72,2)</f>
        <v>2483.23</v>
      </c>
      <c r="S72">
        <f>ROUND(CT72*I72,2)</f>
        <v>0</v>
      </c>
      <c r="T72">
        <f>ROUND(CU72*I72,2)</f>
        <v>0</v>
      </c>
      <c r="U72">
        <f>CV72*I72</f>
        <v>0</v>
      </c>
      <c r="V72">
        <f>CW72*I72</f>
        <v>0</v>
      </c>
      <c r="W72">
        <f>ROUND(CX72*I72,2)</f>
        <v>0</v>
      </c>
      <c r="X72">
        <f t="shared" si="66"/>
        <v>0</v>
      </c>
      <c r="Y72">
        <f t="shared" si="66"/>
        <v>0</v>
      </c>
      <c r="AA72">
        <v>78163571</v>
      </c>
      <c r="AB72">
        <f>ROUND((AC72+AD72+AF72),6)</f>
        <v>1987.44</v>
      </c>
      <c r="AC72">
        <f>ROUND(((ES72*49)),6)</f>
        <v>0</v>
      </c>
      <c r="AD72">
        <f>ROUND(((((ET72*49))-((EU72*49)))+AE72),6)</f>
        <v>1987.44</v>
      </c>
      <c r="AE72">
        <f>ROUND(((EU72*49)),6)</f>
        <v>1178.45</v>
      </c>
      <c r="AF72">
        <f>ROUND(((EV72*49)),6)</f>
        <v>0</v>
      </c>
      <c r="AG72">
        <f>ROUND((AP72),6)</f>
        <v>0</v>
      </c>
      <c r="AH72">
        <f>((EW72*49))</f>
        <v>0</v>
      </c>
      <c r="AI72">
        <f>((EX72*49))</f>
        <v>0</v>
      </c>
      <c r="AJ72">
        <f>(AS72)</f>
        <v>0</v>
      </c>
      <c r="AK72">
        <v>40.56</v>
      </c>
      <c r="AL72">
        <v>0</v>
      </c>
      <c r="AM72">
        <v>40.56</v>
      </c>
      <c r="AN72">
        <v>24.05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4</v>
      </c>
      <c r="BJ72" t="s">
        <v>117</v>
      </c>
      <c r="BM72">
        <v>1</v>
      </c>
      <c r="BN72">
        <v>77790596</v>
      </c>
      <c r="BO72" t="s">
        <v>3</v>
      </c>
      <c r="BP72">
        <v>0</v>
      </c>
      <c r="BQ72">
        <v>1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B72" t="s">
        <v>3</v>
      </c>
      <c r="CE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>(P72+Q72+S72)</f>
        <v>4187.93</v>
      </c>
      <c r="CQ72">
        <f>(AC72*BC72*AW72)</f>
        <v>0</v>
      </c>
      <c r="CR72">
        <f>(((((ET72*49))*BB72-((EU72*49))*BS72)+AE72*BS72)*AV72)</f>
        <v>1987.44</v>
      </c>
      <c r="CS72">
        <f>(AE72*BS72*AV72)</f>
        <v>1178.45</v>
      </c>
      <c r="CT72">
        <f>(AF72*BA72*AV72)</f>
        <v>0</v>
      </c>
      <c r="CU72">
        <f>AG72</f>
        <v>0</v>
      </c>
      <c r="CV72">
        <f>(AH72*AV72)</f>
        <v>0</v>
      </c>
      <c r="CW72">
        <f t="shared" si="67"/>
        <v>0</v>
      </c>
      <c r="CX72">
        <f t="shared" si="67"/>
        <v>0</v>
      </c>
      <c r="CY72">
        <f>((S72*BZ72)/100)</f>
        <v>0</v>
      </c>
      <c r="CZ72">
        <f>((S72*CA72)/100)</f>
        <v>0</v>
      </c>
      <c r="DC72" t="s">
        <v>3</v>
      </c>
      <c r="DD72" t="s">
        <v>118</v>
      </c>
      <c r="DE72" t="s">
        <v>118</v>
      </c>
      <c r="DF72" t="s">
        <v>118</v>
      </c>
      <c r="DG72" t="s">
        <v>118</v>
      </c>
      <c r="DH72" t="s">
        <v>3</v>
      </c>
      <c r="DI72" t="s">
        <v>118</v>
      </c>
      <c r="DJ72" t="s">
        <v>118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1009</v>
      </c>
      <c r="DV72" t="s">
        <v>17</v>
      </c>
      <c r="DW72" t="s">
        <v>17</v>
      </c>
      <c r="DX72">
        <v>1000</v>
      </c>
      <c r="DZ72" t="s">
        <v>3</v>
      </c>
      <c r="EA72" t="s">
        <v>3</v>
      </c>
      <c r="EB72" t="s">
        <v>3</v>
      </c>
      <c r="EC72" t="s">
        <v>3</v>
      </c>
      <c r="EE72">
        <v>77790601</v>
      </c>
      <c r="EF72">
        <v>1</v>
      </c>
      <c r="EG72" t="s">
        <v>21</v>
      </c>
      <c r="EH72">
        <v>0</v>
      </c>
      <c r="EI72" t="s">
        <v>3</v>
      </c>
      <c r="EJ72">
        <v>4</v>
      </c>
      <c r="EK72">
        <v>1</v>
      </c>
      <c r="EL72" t="s">
        <v>113</v>
      </c>
      <c r="EM72" t="s">
        <v>23</v>
      </c>
      <c r="EO72" t="s">
        <v>3</v>
      </c>
      <c r="EQ72">
        <v>131072</v>
      </c>
      <c r="ER72">
        <v>40.56</v>
      </c>
      <c r="ES72">
        <v>0</v>
      </c>
      <c r="ET72">
        <v>40.56</v>
      </c>
      <c r="EU72">
        <v>24.05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>ROUND(IF(BI72=3,GM72,0),2)</f>
        <v>0</v>
      </c>
      <c r="FS72">
        <v>0</v>
      </c>
      <c r="FX72">
        <v>0</v>
      </c>
      <c r="FY72">
        <v>0</v>
      </c>
      <c r="GA72" t="s">
        <v>3</v>
      </c>
      <c r="GD72">
        <v>1</v>
      </c>
      <c r="GF72">
        <v>1710262433</v>
      </c>
      <c r="GG72">
        <v>2</v>
      </c>
      <c r="GH72">
        <v>1</v>
      </c>
      <c r="GI72">
        <v>-2</v>
      </c>
      <c r="GJ72">
        <v>0</v>
      </c>
      <c r="GK72">
        <v>0</v>
      </c>
      <c r="GL72">
        <f>ROUND(IF(AND(BH72=3,BI72=3,FS72&lt;&gt;0),P72,0),2)</f>
        <v>0</v>
      </c>
      <c r="GM72">
        <f>ROUND(O72+X72+Y72,2)+GX72</f>
        <v>4187.93</v>
      </c>
      <c r="GN72">
        <f>IF(OR(BI72=0,BI72=1),GM72-GX72,0)</f>
        <v>0</v>
      </c>
      <c r="GO72">
        <f>IF(BI72=2,GM72-GX72,0)</f>
        <v>0</v>
      </c>
      <c r="GP72">
        <f>IF(BI72=4,GM72-GX72,0)</f>
        <v>4187.93</v>
      </c>
      <c r="GR72">
        <v>0</v>
      </c>
      <c r="GS72">
        <v>3</v>
      </c>
      <c r="GT72">
        <v>0</v>
      </c>
      <c r="GU72" t="s">
        <v>3</v>
      </c>
      <c r="GV72">
        <f>ROUND((GT72),6)</f>
        <v>0</v>
      </c>
      <c r="GW72">
        <v>1</v>
      </c>
      <c r="GX72">
        <f>ROUND(HC72*I72,2)</f>
        <v>0</v>
      </c>
      <c r="HA72">
        <v>0</v>
      </c>
      <c r="HB72">
        <v>0</v>
      </c>
      <c r="HC72">
        <f>GV72*GW72</f>
        <v>0</v>
      </c>
      <c r="HE72" t="s">
        <v>3</v>
      </c>
      <c r="HF72" t="s">
        <v>3</v>
      </c>
      <c r="HM72" t="s">
        <v>3</v>
      </c>
      <c r="HN72" t="s">
        <v>3</v>
      </c>
      <c r="HO72" t="s">
        <v>3</v>
      </c>
      <c r="HP72" t="s">
        <v>3</v>
      </c>
      <c r="HQ72" t="s">
        <v>3</v>
      </c>
      <c r="IK72">
        <v>0</v>
      </c>
    </row>
    <row r="74" spans="1:245" x14ac:dyDescent="0.2">
      <c r="A74" s="2">
        <v>51</v>
      </c>
      <c r="B74" s="2">
        <f>B66</f>
        <v>1</v>
      </c>
      <c r="C74" s="2">
        <f>A66</f>
        <v>4</v>
      </c>
      <c r="D74" s="2">
        <f>ROW(A66)</f>
        <v>66</v>
      </c>
      <c r="E74" s="2"/>
      <c r="F74" s="2" t="str">
        <f>IF(F66&lt;&gt;"",F66,"")</f>
        <v>Новый раздел</v>
      </c>
      <c r="G74" s="2" t="str">
        <f>IF(G66&lt;&gt;"",G66,"")</f>
        <v>Мусор</v>
      </c>
      <c r="H74" s="2">
        <v>0</v>
      </c>
      <c r="I74" s="2"/>
      <c r="J74" s="2"/>
      <c r="K74" s="2"/>
      <c r="L74" s="2"/>
      <c r="M74" s="2"/>
      <c r="N74" s="2"/>
      <c r="O74" s="2">
        <f t="shared" ref="O74:T74" si="68">ROUND(AB74,2)</f>
        <v>4595.4799999999996</v>
      </c>
      <c r="P74" s="2">
        <f t="shared" si="68"/>
        <v>0</v>
      </c>
      <c r="Q74" s="2">
        <f t="shared" si="68"/>
        <v>4595.4799999999996</v>
      </c>
      <c r="R74" s="2">
        <f t="shared" si="68"/>
        <v>2678.16</v>
      </c>
      <c r="S74" s="2">
        <f t="shared" si="68"/>
        <v>0</v>
      </c>
      <c r="T74" s="2">
        <f t="shared" si="68"/>
        <v>0</v>
      </c>
      <c r="U74" s="2">
        <f>AH74</f>
        <v>0</v>
      </c>
      <c r="V74" s="2">
        <f>AI74</f>
        <v>0</v>
      </c>
      <c r="W74" s="2">
        <f>ROUND(AJ74,2)</f>
        <v>0</v>
      </c>
      <c r="X74" s="2">
        <f>ROUND(AK74,2)</f>
        <v>0</v>
      </c>
      <c r="Y74" s="2">
        <f>ROUND(AL74,2)</f>
        <v>0</v>
      </c>
      <c r="Z74" s="2"/>
      <c r="AA74" s="2"/>
      <c r="AB74" s="2">
        <f>ROUND(SUMIF(AA70:AA72,"=78163571",O70:O72),2)</f>
        <v>4595.4799999999996</v>
      </c>
      <c r="AC74" s="2">
        <f>ROUND(SUMIF(AA70:AA72,"=78163571",P70:P72),2)</f>
        <v>0</v>
      </c>
      <c r="AD74" s="2">
        <f>ROUND(SUMIF(AA70:AA72,"=78163571",Q70:Q72),2)</f>
        <v>4595.4799999999996</v>
      </c>
      <c r="AE74" s="2">
        <f>ROUND(SUMIF(AA70:AA72,"=78163571",R70:R72),2)</f>
        <v>2678.16</v>
      </c>
      <c r="AF74" s="2">
        <f>ROUND(SUMIF(AA70:AA72,"=78163571",S70:S72),2)</f>
        <v>0</v>
      </c>
      <c r="AG74" s="2">
        <f>ROUND(SUMIF(AA70:AA72,"=78163571",T70:T72),2)</f>
        <v>0</v>
      </c>
      <c r="AH74" s="2">
        <f>SUMIF(AA70:AA72,"=78163571",U70:U72)</f>
        <v>0</v>
      </c>
      <c r="AI74" s="2">
        <f>SUMIF(AA70:AA72,"=78163571",V70:V72)</f>
        <v>0</v>
      </c>
      <c r="AJ74" s="2">
        <f>ROUND(SUMIF(AA70:AA72,"=78163571",W70:W72),2)</f>
        <v>0</v>
      </c>
      <c r="AK74" s="2">
        <f>ROUND(SUMIF(AA70:AA72,"=78163571",X70:X72),2)</f>
        <v>0</v>
      </c>
      <c r="AL74" s="2">
        <f>ROUND(SUMIF(AA70:AA72,"=78163571",Y70:Y72),2)</f>
        <v>0</v>
      </c>
      <c r="AM74" s="2"/>
      <c r="AN74" s="2"/>
      <c r="AO74" s="2">
        <f t="shared" ref="AO74:BD74" si="69">ROUND(BX74,2)</f>
        <v>0</v>
      </c>
      <c r="AP74" s="2">
        <f t="shared" si="69"/>
        <v>0</v>
      </c>
      <c r="AQ74" s="2">
        <f t="shared" si="69"/>
        <v>0</v>
      </c>
      <c r="AR74" s="2">
        <f t="shared" si="69"/>
        <v>4736.2</v>
      </c>
      <c r="AS74" s="2">
        <f t="shared" si="69"/>
        <v>0</v>
      </c>
      <c r="AT74" s="2">
        <f t="shared" si="69"/>
        <v>0</v>
      </c>
      <c r="AU74" s="2">
        <f t="shared" si="69"/>
        <v>4736.2</v>
      </c>
      <c r="AV74" s="2">
        <f t="shared" si="69"/>
        <v>0</v>
      </c>
      <c r="AW74" s="2">
        <f t="shared" si="69"/>
        <v>0</v>
      </c>
      <c r="AX74" s="2">
        <f t="shared" si="69"/>
        <v>0</v>
      </c>
      <c r="AY74" s="2">
        <f t="shared" si="69"/>
        <v>0</v>
      </c>
      <c r="AZ74" s="2">
        <f t="shared" si="69"/>
        <v>0</v>
      </c>
      <c r="BA74" s="2">
        <f t="shared" si="69"/>
        <v>0</v>
      </c>
      <c r="BB74" s="2">
        <f t="shared" si="69"/>
        <v>0</v>
      </c>
      <c r="BC74" s="2">
        <f t="shared" si="69"/>
        <v>0</v>
      </c>
      <c r="BD74" s="2">
        <f t="shared" si="69"/>
        <v>0</v>
      </c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>
        <f>ROUND(SUMIF(AA70:AA72,"=78163571",FQ70:FQ72),2)</f>
        <v>0</v>
      </c>
      <c r="BY74" s="2">
        <f>ROUND(SUMIF(AA70:AA72,"=78163571",FR70:FR72),2)</f>
        <v>0</v>
      </c>
      <c r="BZ74" s="2">
        <f>ROUND(SUMIF(AA70:AA72,"=78163571",GL70:GL72),2)</f>
        <v>0</v>
      </c>
      <c r="CA74" s="2">
        <f>ROUND(SUMIF(AA70:AA72,"=78163571",GM70:GM72),2)</f>
        <v>4736.2</v>
      </c>
      <c r="CB74" s="2">
        <f>ROUND(SUMIF(AA70:AA72,"=78163571",GN70:GN72),2)</f>
        <v>0</v>
      </c>
      <c r="CC74" s="2">
        <f>ROUND(SUMIF(AA70:AA72,"=78163571",GO70:GO72),2)</f>
        <v>0</v>
      </c>
      <c r="CD74" s="2">
        <f>ROUND(SUMIF(AA70:AA72,"=78163571",GP70:GP72),2)</f>
        <v>4736.2</v>
      </c>
      <c r="CE74" s="2">
        <f>AC74-BX74</f>
        <v>0</v>
      </c>
      <c r="CF74" s="2">
        <f>AC74-BY74</f>
        <v>0</v>
      </c>
      <c r="CG74" s="2">
        <f>BX74-BZ74</f>
        <v>0</v>
      </c>
      <c r="CH74" s="2">
        <f>AC74-BX74-BY74+BZ74</f>
        <v>0</v>
      </c>
      <c r="CI74" s="2">
        <f>BY74-BZ74</f>
        <v>0</v>
      </c>
      <c r="CJ74" s="2">
        <f>ROUND(SUMIF(AA70:AA72,"=78163571",GX70:GX72),2)</f>
        <v>0</v>
      </c>
      <c r="CK74" s="2">
        <f>ROUND(SUMIF(AA70:AA72,"=78163571",GY70:GY72),2)</f>
        <v>0</v>
      </c>
      <c r="CL74" s="2">
        <f>ROUND(SUMIF(AA70:AA72,"=78163571",GZ70:GZ72),2)</f>
        <v>0</v>
      </c>
      <c r="CM74" s="2">
        <f>ROUND(SUMIF(AA70:AA72,"=78163571",HD70:HD72),2)</f>
        <v>0</v>
      </c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>
        <v>0</v>
      </c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201</v>
      </c>
      <c r="F76" s="4">
        <f>ROUND(Source!O74,O76)</f>
        <v>4595.4799999999996</v>
      </c>
      <c r="G76" s="4" t="s">
        <v>50</v>
      </c>
      <c r="H76" s="4" t="s">
        <v>51</v>
      </c>
      <c r="I76" s="4"/>
      <c r="J76" s="4"/>
      <c r="K76" s="4">
        <v>201</v>
      </c>
      <c r="L76" s="4">
        <v>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4595.4799999999996</v>
      </c>
      <c r="X76" s="4">
        <v>1</v>
      </c>
      <c r="Y76" s="4">
        <v>4595.4799999999996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202</v>
      </c>
      <c r="F77" s="4">
        <f>ROUND(Source!P74,O77)</f>
        <v>0</v>
      </c>
      <c r="G77" s="4" t="s">
        <v>52</v>
      </c>
      <c r="H77" s="4" t="s">
        <v>53</v>
      </c>
      <c r="I77" s="4"/>
      <c r="J77" s="4"/>
      <c r="K77" s="4">
        <v>202</v>
      </c>
      <c r="L77" s="4">
        <v>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222</v>
      </c>
      <c r="F78" s="4">
        <f>ROUND(Source!AO74,O78)</f>
        <v>0</v>
      </c>
      <c r="G78" s="4" t="s">
        <v>54</v>
      </c>
      <c r="H78" s="4" t="s">
        <v>55</v>
      </c>
      <c r="I78" s="4"/>
      <c r="J78" s="4"/>
      <c r="K78" s="4">
        <v>222</v>
      </c>
      <c r="L78" s="4">
        <v>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225</v>
      </c>
      <c r="F79" s="4">
        <f>ROUND(Source!AV74,O79)</f>
        <v>0</v>
      </c>
      <c r="G79" s="4" t="s">
        <v>56</v>
      </c>
      <c r="H79" s="4" t="s">
        <v>57</v>
      </c>
      <c r="I79" s="4"/>
      <c r="J79" s="4"/>
      <c r="K79" s="4">
        <v>225</v>
      </c>
      <c r="L79" s="4">
        <v>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226</v>
      </c>
      <c r="F80" s="4">
        <f>ROUND(Source!AW74,O80)</f>
        <v>0</v>
      </c>
      <c r="G80" s="4" t="s">
        <v>58</v>
      </c>
      <c r="H80" s="4" t="s">
        <v>59</v>
      </c>
      <c r="I80" s="4"/>
      <c r="J80" s="4"/>
      <c r="K80" s="4">
        <v>226</v>
      </c>
      <c r="L80" s="4">
        <v>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227</v>
      </c>
      <c r="F81" s="4">
        <f>ROUND(Source!AX74,O81)</f>
        <v>0</v>
      </c>
      <c r="G81" s="4" t="s">
        <v>60</v>
      </c>
      <c r="H81" s="4" t="s">
        <v>61</v>
      </c>
      <c r="I81" s="4"/>
      <c r="J81" s="4"/>
      <c r="K81" s="4">
        <v>227</v>
      </c>
      <c r="L81" s="4">
        <v>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228</v>
      </c>
      <c r="F82" s="4">
        <f>ROUND(Source!AY74,O82)</f>
        <v>0</v>
      </c>
      <c r="G82" s="4" t="s">
        <v>62</v>
      </c>
      <c r="H82" s="4" t="s">
        <v>63</v>
      </c>
      <c r="I82" s="4"/>
      <c r="J82" s="4"/>
      <c r="K82" s="4">
        <v>228</v>
      </c>
      <c r="L82" s="4">
        <v>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216</v>
      </c>
      <c r="F83" s="4">
        <f>ROUND(Source!AP74,O83)</f>
        <v>0</v>
      </c>
      <c r="G83" s="4" t="s">
        <v>64</v>
      </c>
      <c r="H83" s="4" t="s">
        <v>65</v>
      </c>
      <c r="I83" s="4"/>
      <c r="J83" s="4"/>
      <c r="K83" s="4">
        <v>216</v>
      </c>
      <c r="L83" s="4">
        <v>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223</v>
      </c>
      <c r="F84" s="4">
        <f>ROUND(Source!AQ74,O84)</f>
        <v>0</v>
      </c>
      <c r="G84" s="4" t="s">
        <v>66</v>
      </c>
      <c r="H84" s="4" t="s">
        <v>67</v>
      </c>
      <c r="I84" s="4"/>
      <c r="J84" s="4"/>
      <c r="K84" s="4">
        <v>223</v>
      </c>
      <c r="L84" s="4">
        <v>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229</v>
      </c>
      <c r="F85" s="4">
        <f>ROUND(Source!AZ74,O85)</f>
        <v>0</v>
      </c>
      <c r="G85" s="4" t="s">
        <v>68</v>
      </c>
      <c r="H85" s="4" t="s">
        <v>69</v>
      </c>
      <c r="I85" s="4"/>
      <c r="J85" s="4"/>
      <c r="K85" s="4">
        <v>229</v>
      </c>
      <c r="L85" s="4">
        <v>10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203</v>
      </c>
      <c r="F86" s="4">
        <f>ROUND(Source!Q74,O86)</f>
        <v>4595.4799999999996</v>
      </c>
      <c r="G86" s="4" t="s">
        <v>70</v>
      </c>
      <c r="H86" s="4" t="s">
        <v>71</v>
      </c>
      <c r="I86" s="4"/>
      <c r="J86" s="4"/>
      <c r="K86" s="4">
        <v>203</v>
      </c>
      <c r="L86" s="4">
        <v>11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4595.4799999999996</v>
      </c>
      <c r="X86" s="4">
        <v>1</v>
      </c>
      <c r="Y86" s="4">
        <v>4595.4799999999996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231</v>
      </c>
      <c r="F87" s="4">
        <f>ROUND(Source!BB74,O87)</f>
        <v>0</v>
      </c>
      <c r="G87" s="4" t="s">
        <v>72</v>
      </c>
      <c r="H87" s="4" t="s">
        <v>73</v>
      </c>
      <c r="I87" s="4"/>
      <c r="J87" s="4"/>
      <c r="K87" s="4">
        <v>231</v>
      </c>
      <c r="L87" s="4">
        <v>12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204</v>
      </c>
      <c r="F88" s="4">
        <f>ROUND(Source!R74,O88)</f>
        <v>2678.16</v>
      </c>
      <c r="G88" s="4" t="s">
        <v>74</v>
      </c>
      <c r="H88" s="4" t="s">
        <v>75</v>
      </c>
      <c r="I88" s="4"/>
      <c r="J88" s="4"/>
      <c r="K88" s="4">
        <v>204</v>
      </c>
      <c r="L88" s="4">
        <v>13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2678.16</v>
      </c>
      <c r="X88" s="4">
        <v>1</v>
      </c>
      <c r="Y88" s="4">
        <v>2678.16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205</v>
      </c>
      <c r="F89" s="4">
        <f>ROUND(Source!S74,O89)</f>
        <v>0</v>
      </c>
      <c r="G89" s="4" t="s">
        <v>76</v>
      </c>
      <c r="H89" s="4" t="s">
        <v>77</v>
      </c>
      <c r="I89" s="4"/>
      <c r="J89" s="4"/>
      <c r="K89" s="4">
        <v>205</v>
      </c>
      <c r="L89" s="4">
        <v>14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232</v>
      </c>
      <c r="F90" s="4">
        <f>ROUND(Source!BC74,O90)</f>
        <v>0</v>
      </c>
      <c r="G90" s="4" t="s">
        <v>78</v>
      </c>
      <c r="H90" s="4" t="s">
        <v>79</v>
      </c>
      <c r="I90" s="4"/>
      <c r="J90" s="4"/>
      <c r="K90" s="4">
        <v>232</v>
      </c>
      <c r="L90" s="4">
        <v>15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214</v>
      </c>
      <c r="F91" s="4">
        <f>ROUND(Source!AS74,O91)</f>
        <v>0</v>
      </c>
      <c r="G91" s="4" t="s">
        <v>80</v>
      </c>
      <c r="H91" s="4" t="s">
        <v>81</v>
      </c>
      <c r="I91" s="4"/>
      <c r="J91" s="4"/>
      <c r="K91" s="4">
        <v>214</v>
      </c>
      <c r="L91" s="4">
        <v>16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215</v>
      </c>
      <c r="F92" s="4">
        <f>ROUND(Source!AT74,O92)</f>
        <v>0</v>
      </c>
      <c r="G92" s="4" t="s">
        <v>82</v>
      </c>
      <c r="H92" s="4" t="s">
        <v>83</v>
      </c>
      <c r="I92" s="4"/>
      <c r="J92" s="4"/>
      <c r="K92" s="4">
        <v>215</v>
      </c>
      <c r="L92" s="4">
        <v>17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217</v>
      </c>
      <c r="F93" s="4">
        <f>ROUND(Source!AU74,O93)</f>
        <v>4736.2</v>
      </c>
      <c r="G93" s="4" t="s">
        <v>84</v>
      </c>
      <c r="H93" s="4" t="s">
        <v>85</v>
      </c>
      <c r="I93" s="4"/>
      <c r="J93" s="4"/>
      <c r="K93" s="4">
        <v>217</v>
      </c>
      <c r="L93" s="4">
        <v>18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4736.2</v>
      </c>
      <c r="X93" s="4">
        <v>1</v>
      </c>
      <c r="Y93" s="4">
        <v>4736.2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230</v>
      </c>
      <c r="F94" s="4">
        <f>ROUND(Source!BA74,O94)</f>
        <v>0</v>
      </c>
      <c r="G94" s="4" t="s">
        <v>86</v>
      </c>
      <c r="H94" s="4" t="s">
        <v>87</v>
      </c>
      <c r="I94" s="4"/>
      <c r="J94" s="4"/>
      <c r="K94" s="4">
        <v>230</v>
      </c>
      <c r="L94" s="4">
        <v>19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206</v>
      </c>
      <c r="F95" s="4">
        <f>ROUND(Source!T74,O95)</f>
        <v>0</v>
      </c>
      <c r="G95" s="4" t="s">
        <v>88</v>
      </c>
      <c r="H95" s="4" t="s">
        <v>89</v>
      </c>
      <c r="I95" s="4"/>
      <c r="J95" s="4"/>
      <c r="K95" s="4">
        <v>206</v>
      </c>
      <c r="L95" s="4">
        <v>20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0</v>
      </c>
      <c r="X95" s="4">
        <v>1</v>
      </c>
      <c r="Y95" s="4">
        <v>0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207</v>
      </c>
      <c r="F96" s="4">
        <f>Source!U74</f>
        <v>0</v>
      </c>
      <c r="G96" s="4" t="s">
        <v>90</v>
      </c>
      <c r="H96" s="4" t="s">
        <v>91</v>
      </c>
      <c r="I96" s="4"/>
      <c r="J96" s="4"/>
      <c r="K96" s="4">
        <v>207</v>
      </c>
      <c r="L96" s="4">
        <v>21</v>
      </c>
      <c r="M96" s="4">
        <v>3</v>
      </c>
      <c r="N96" s="4" t="s">
        <v>3</v>
      </c>
      <c r="O96" s="4">
        <v>-1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208</v>
      </c>
      <c r="F97" s="4">
        <f>Source!V74</f>
        <v>0</v>
      </c>
      <c r="G97" s="4" t="s">
        <v>92</v>
      </c>
      <c r="H97" s="4" t="s">
        <v>93</v>
      </c>
      <c r="I97" s="4"/>
      <c r="J97" s="4"/>
      <c r="K97" s="4">
        <v>208</v>
      </c>
      <c r="L97" s="4">
        <v>22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209</v>
      </c>
      <c r="F98" s="4">
        <f>ROUND(Source!W74,O98)</f>
        <v>0</v>
      </c>
      <c r="G98" s="4" t="s">
        <v>94</v>
      </c>
      <c r="H98" s="4" t="s">
        <v>95</v>
      </c>
      <c r="I98" s="4"/>
      <c r="J98" s="4"/>
      <c r="K98" s="4">
        <v>209</v>
      </c>
      <c r="L98" s="4">
        <v>23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>
        <v>0</v>
      </c>
      <c r="X98" s="4">
        <v>1</v>
      </c>
      <c r="Y98" s="4">
        <v>0</v>
      </c>
      <c r="Z98" s="4"/>
      <c r="AA98" s="4"/>
      <c r="AB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233</v>
      </c>
      <c r="F99" s="4">
        <f>ROUND(Source!BD74,O99)</f>
        <v>0</v>
      </c>
      <c r="G99" s="4" t="s">
        <v>96</v>
      </c>
      <c r="H99" s="4" t="s">
        <v>97</v>
      </c>
      <c r="I99" s="4"/>
      <c r="J99" s="4"/>
      <c r="K99" s="4">
        <v>233</v>
      </c>
      <c r="L99" s="4">
        <v>24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210</v>
      </c>
      <c r="F100" s="4">
        <f>ROUND(Source!X74,O100)</f>
        <v>0</v>
      </c>
      <c r="G100" s="4" t="s">
        <v>98</v>
      </c>
      <c r="H100" s="4" t="s">
        <v>99</v>
      </c>
      <c r="I100" s="4"/>
      <c r="J100" s="4"/>
      <c r="K100" s="4">
        <v>210</v>
      </c>
      <c r="L100" s="4">
        <v>25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211</v>
      </c>
      <c r="F101" s="4">
        <f>ROUND(Source!Y74,O101)</f>
        <v>0</v>
      </c>
      <c r="G101" s="4" t="s">
        <v>100</v>
      </c>
      <c r="H101" s="4" t="s">
        <v>101</v>
      </c>
      <c r="I101" s="4"/>
      <c r="J101" s="4"/>
      <c r="K101" s="4">
        <v>211</v>
      </c>
      <c r="L101" s="4">
        <v>26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224</v>
      </c>
      <c r="F102" s="4">
        <f>ROUND(Source!AR74,O102)</f>
        <v>4736.2</v>
      </c>
      <c r="G102" s="4" t="s">
        <v>102</v>
      </c>
      <c r="H102" s="4" t="s">
        <v>103</v>
      </c>
      <c r="I102" s="4"/>
      <c r="J102" s="4"/>
      <c r="K102" s="4">
        <v>224</v>
      </c>
      <c r="L102" s="4">
        <v>27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4736.2</v>
      </c>
      <c r="X102" s="4">
        <v>1</v>
      </c>
      <c r="Y102" s="4">
        <v>4736.2</v>
      </c>
      <c r="Z102" s="4"/>
      <c r="AA102" s="4"/>
      <c r="AB102" s="4"/>
    </row>
    <row r="104" spans="1:206" x14ac:dyDescent="0.2">
      <c r="A104" s="2">
        <v>51</v>
      </c>
      <c r="B104" s="2">
        <f>B20</f>
        <v>1</v>
      </c>
      <c r="C104" s="2">
        <f>A20</f>
        <v>3</v>
      </c>
      <c r="D104" s="2">
        <f>ROW(A20)</f>
        <v>20</v>
      </c>
      <c r="E104" s="2"/>
      <c r="F104" s="2" t="str">
        <f>IF(F20&lt;&gt;"",F20,"")</f>
        <v>Новая локальная смета</v>
      </c>
      <c r="G104" s="2" t="str">
        <f>IF(G20&lt;&gt;"",G20,"")</f>
        <v>ГБОУ Школа 920. ул. Перовская, д. 24 Пандус</v>
      </c>
      <c r="H104" s="2">
        <v>0</v>
      </c>
      <c r="I104" s="2"/>
      <c r="J104" s="2"/>
      <c r="K104" s="2"/>
      <c r="L104" s="2"/>
      <c r="M104" s="2"/>
      <c r="N104" s="2"/>
      <c r="O104" s="2">
        <f t="shared" ref="O104:T104" si="70">ROUND(O36+O74+AB104,2)</f>
        <v>598987.32999999996</v>
      </c>
      <c r="P104" s="2">
        <f t="shared" si="70"/>
        <v>496031.86</v>
      </c>
      <c r="Q104" s="2">
        <f t="shared" si="70"/>
        <v>8345.42</v>
      </c>
      <c r="R104" s="2">
        <f t="shared" si="70"/>
        <v>4205.1000000000004</v>
      </c>
      <c r="S104" s="2">
        <f t="shared" si="70"/>
        <v>94610.05</v>
      </c>
      <c r="T104" s="2">
        <f t="shared" si="70"/>
        <v>0</v>
      </c>
      <c r="U104" s="2">
        <f>U36+U74+AH104</f>
        <v>210.36788319999999</v>
      </c>
      <c r="V104" s="2">
        <f>V36+V74+AI104</f>
        <v>0</v>
      </c>
      <c r="W104" s="2">
        <f>ROUND(W36+W74+AJ104,2)</f>
        <v>0</v>
      </c>
      <c r="X104" s="2">
        <f>ROUND(X36+X74+AK104,2)</f>
        <v>66227.03</v>
      </c>
      <c r="Y104" s="2">
        <f>ROUND(Y36+Y74+AL104,2)</f>
        <v>9461.01</v>
      </c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>
        <f t="shared" ref="AO104:BD104" si="71">ROUND(AO36+AO74+BX104,2)</f>
        <v>0</v>
      </c>
      <c r="AP104" s="2">
        <f t="shared" si="71"/>
        <v>0</v>
      </c>
      <c r="AQ104" s="2">
        <f t="shared" si="71"/>
        <v>0</v>
      </c>
      <c r="AR104" s="2">
        <f t="shared" si="71"/>
        <v>677259.19</v>
      </c>
      <c r="AS104" s="2">
        <f t="shared" si="71"/>
        <v>0</v>
      </c>
      <c r="AT104" s="2">
        <f t="shared" si="71"/>
        <v>0</v>
      </c>
      <c r="AU104" s="2">
        <f t="shared" si="71"/>
        <v>677259.19</v>
      </c>
      <c r="AV104" s="2">
        <f t="shared" si="71"/>
        <v>496031.86</v>
      </c>
      <c r="AW104" s="2">
        <f t="shared" si="71"/>
        <v>496031.86</v>
      </c>
      <c r="AX104" s="2">
        <f t="shared" si="71"/>
        <v>0</v>
      </c>
      <c r="AY104" s="2">
        <f t="shared" si="71"/>
        <v>496031.86</v>
      </c>
      <c r="AZ104" s="2">
        <f t="shared" si="71"/>
        <v>0</v>
      </c>
      <c r="BA104" s="2">
        <f t="shared" si="71"/>
        <v>0</v>
      </c>
      <c r="BB104" s="2">
        <f t="shared" si="71"/>
        <v>0</v>
      </c>
      <c r="BC104" s="2">
        <f t="shared" si="71"/>
        <v>0</v>
      </c>
      <c r="BD104" s="2">
        <f t="shared" si="71"/>
        <v>0</v>
      </c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>
        <v>0</v>
      </c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201</v>
      </c>
      <c r="F106" s="4">
        <f>ROUND(Source!O104,O106)</f>
        <v>598987.32999999996</v>
      </c>
      <c r="G106" s="4" t="s">
        <v>50</v>
      </c>
      <c r="H106" s="4" t="s">
        <v>51</v>
      </c>
      <c r="I106" s="4"/>
      <c r="J106" s="4"/>
      <c r="K106" s="4">
        <v>201</v>
      </c>
      <c r="L106" s="4">
        <v>1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598987.32999999996</v>
      </c>
      <c r="X106" s="4">
        <v>1</v>
      </c>
      <c r="Y106" s="4">
        <v>598987.32999999996</v>
      </c>
      <c r="Z106" s="4"/>
      <c r="AA106" s="4"/>
      <c r="AB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202</v>
      </c>
      <c r="F107" s="4">
        <f>ROUND(Source!P104,O107)</f>
        <v>496031.86</v>
      </c>
      <c r="G107" s="4" t="s">
        <v>52</v>
      </c>
      <c r="H107" s="4" t="s">
        <v>53</v>
      </c>
      <c r="I107" s="4"/>
      <c r="J107" s="4"/>
      <c r="K107" s="4">
        <v>202</v>
      </c>
      <c r="L107" s="4">
        <v>2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496031.86</v>
      </c>
      <c r="X107" s="4">
        <v>1</v>
      </c>
      <c r="Y107" s="4">
        <v>496031.86</v>
      </c>
      <c r="Z107" s="4"/>
      <c r="AA107" s="4"/>
      <c r="AB107" s="4"/>
    </row>
    <row r="108" spans="1:206" x14ac:dyDescent="0.2">
      <c r="A108" s="4">
        <v>50</v>
      </c>
      <c r="B108" s="4">
        <v>0</v>
      </c>
      <c r="C108" s="4">
        <v>0</v>
      </c>
      <c r="D108" s="4">
        <v>1</v>
      </c>
      <c r="E108" s="4">
        <v>222</v>
      </c>
      <c r="F108" s="4">
        <f>ROUND(Source!AO104,O108)</f>
        <v>0</v>
      </c>
      <c r="G108" s="4" t="s">
        <v>54</v>
      </c>
      <c r="H108" s="4" t="s">
        <v>55</v>
      </c>
      <c r="I108" s="4"/>
      <c r="J108" s="4"/>
      <c r="K108" s="4">
        <v>222</v>
      </c>
      <c r="L108" s="4">
        <v>3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06" x14ac:dyDescent="0.2">
      <c r="A109" s="4">
        <v>50</v>
      </c>
      <c r="B109" s="4">
        <v>0</v>
      </c>
      <c r="C109" s="4">
        <v>0</v>
      </c>
      <c r="D109" s="4">
        <v>1</v>
      </c>
      <c r="E109" s="4">
        <v>225</v>
      </c>
      <c r="F109" s="4">
        <f>ROUND(Source!AV104,O109)</f>
        <v>496031.86</v>
      </c>
      <c r="G109" s="4" t="s">
        <v>56</v>
      </c>
      <c r="H109" s="4" t="s">
        <v>57</v>
      </c>
      <c r="I109" s="4"/>
      <c r="J109" s="4"/>
      <c r="K109" s="4">
        <v>225</v>
      </c>
      <c r="L109" s="4">
        <v>4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496031.86</v>
      </c>
      <c r="X109" s="4">
        <v>1</v>
      </c>
      <c r="Y109" s="4">
        <v>496031.86</v>
      </c>
      <c r="Z109" s="4"/>
      <c r="AA109" s="4"/>
      <c r="AB109" s="4"/>
    </row>
    <row r="110" spans="1:206" x14ac:dyDescent="0.2">
      <c r="A110" s="4">
        <v>50</v>
      </c>
      <c r="B110" s="4">
        <v>0</v>
      </c>
      <c r="C110" s="4">
        <v>0</v>
      </c>
      <c r="D110" s="4">
        <v>1</v>
      </c>
      <c r="E110" s="4">
        <v>226</v>
      </c>
      <c r="F110" s="4">
        <f>ROUND(Source!AW104,O110)</f>
        <v>496031.86</v>
      </c>
      <c r="G110" s="4" t="s">
        <v>58</v>
      </c>
      <c r="H110" s="4" t="s">
        <v>59</v>
      </c>
      <c r="I110" s="4"/>
      <c r="J110" s="4"/>
      <c r="K110" s="4">
        <v>226</v>
      </c>
      <c r="L110" s="4">
        <v>5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496031.86</v>
      </c>
      <c r="X110" s="4">
        <v>1</v>
      </c>
      <c r="Y110" s="4">
        <v>496031.86</v>
      </c>
      <c r="Z110" s="4"/>
      <c r="AA110" s="4"/>
      <c r="AB110" s="4"/>
    </row>
    <row r="111" spans="1:206" x14ac:dyDescent="0.2">
      <c r="A111" s="4">
        <v>50</v>
      </c>
      <c r="B111" s="4">
        <v>0</v>
      </c>
      <c r="C111" s="4">
        <v>0</v>
      </c>
      <c r="D111" s="4">
        <v>1</v>
      </c>
      <c r="E111" s="4">
        <v>227</v>
      </c>
      <c r="F111" s="4">
        <f>ROUND(Source!AX104,O111)</f>
        <v>0</v>
      </c>
      <c r="G111" s="4" t="s">
        <v>60</v>
      </c>
      <c r="H111" s="4" t="s">
        <v>61</v>
      </c>
      <c r="I111" s="4"/>
      <c r="J111" s="4"/>
      <c r="K111" s="4">
        <v>227</v>
      </c>
      <c r="L111" s="4">
        <v>6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06" x14ac:dyDescent="0.2">
      <c r="A112" s="4">
        <v>50</v>
      </c>
      <c r="B112" s="4">
        <v>0</v>
      </c>
      <c r="C112" s="4">
        <v>0</v>
      </c>
      <c r="D112" s="4">
        <v>1</v>
      </c>
      <c r="E112" s="4">
        <v>228</v>
      </c>
      <c r="F112" s="4">
        <f>ROUND(Source!AY104,O112)</f>
        <v>496031.86</v>
      </c>
      <c r="G112" s="4" t="s">
        <v>62</v>
      </c>
      <c r="H112" s="4" t="s">
        <v>63</v>
      </c>
      <c r="I112" s="4"/>
      <c r="J112" s="4"/>
      <c r="K112" s="4">
        <v>228</v>
      </c>
      <c r="L112" s="4">
        <v>7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496031.86</v>
      </c>
      <c r="X112" s="4">
        <v>1</v>
      </c>
      <c r="Y112" s="4">
        <v>496031.86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216</v>
      </c>
      <c r="F113" s="4">
        <f>ROUND(Source!AP104,O113)</f>
        <v>0</v>
      </c>
      <c r="G113" s="4" t="s">
        <v>64</v>
      </c>
      <c r="H113" s="4" t="s">
        <v>65</v>
      </c>
      <c r="I113" s="4"/>
      <c r="J113" s="4"/>
      <c r="K113" s="4">
        <v>216</v>
      </c>
      <c r="L113" s="4">
        <v>8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223</v>
      </c>
      <c r="F114" s="4">
        <f>ROUND(Source!AQ104,O114)</f>
        <v>0</v>
      </c>
      <c r="G114" s="4" t="s">
        <v>66</v>
      </c>
      <c r="H114" s="4" t="s">
        <v>67</v>
      </c>
      <c r="I114" s="4"/>
      <c r="J114" s="4"/>
      <c r="K114" s="4">
        <v>223</v>
      </c>
      <c r="L114" s="4">
        <v>9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229</v>
      </c>
      <c r="F115" s="4">
        <f>ROUND(Source!AZ104,O115)</f>
        <v>0</v>
      </c>
      <c r="G115" s="4" t="s">
        <v>68</v>
      </c>
      <c r="H115" s="4" t="s">
        <v>69</v>
      </c>
      <c r="I115" s="4"/>
      <c r="J115" s="4"/>
      <c r="K115" s="4">
        <v>229</v>
      </c>
      <c r="L115" s="4">
        <v>10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203</v>
      </c>
      <c r="F116" s="4">
        <f>ROUND(Source!Q104,O116)</f>
        <v>8345.42</v>
      </c>
      <c r="G116" s="4" t="s">
        <v>70</v>
      </c>
      <c r="H116" s="4" t="s">
        <v>71</v>
      </c>
      <c r="I116" s="4"/>
      <c r="J116" s="4"/>
      <c r="K116" s="4">
        <v>203</v>
      </c>
      <c r="L116" s="4">
        <v>11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8345.42</v>
      </c>
      <c r="X116" s="4">
        <v>1</v>
      </c>
      <c r="Y116" s="4">
        <v>8345.42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231</v>
      </c>
      <c r="F117" s="4">
        <f>ROUND(Source!BB104,O117)</f>
        <v>0</v>
      </c>
      <c r="G117" s="4" t="s">
        <v>72</v>
      </c>
      <c r="H117" s="4" t="s">
        <v>73</v>
      </c>
      <c r="I117" s="4"/>
      <c r="J117" s="4"/>
      <c r="K117" s="4">
        <v>231</v>
      </c>
      <c r="L117" s="4">
        <v>12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204</v>
      </c>
      <c r="F118" s="4">
        <f>ROUND(Source!R104,O118)</f>
        <v>4205.1000000000004</v>
      </c>
      <c r="G118" s="4" t="s">
        <v>74</v>
      </c>
      <c r="H118" s="4" t="s">
        <v>75</v>
      </c>
      <c r="I118" s="4"/>
      <c r="J118" s="4"/>
      <c r="K118" s="4">
        <v>204</v>
      </c>
      <c r="L118" s="4">
        <v>13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4205.1000000000004</v>
      </c>
      <c r="X118" s="4">
        <v>1</v>
      </c>
      <c r="Y118" s="4">
        <v>4205.1000000000004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205</v>
      </c>
      <c r="F119" s="4">
        <f>ROUND(Source!S104,O119)</f>
        <v>94610.05</v>
      </c>
      <c r="G119" s="4" t="s">
        <v>76</v>
      </c>
      <c r="H119" s="4" t="s">
        <v>77</v>
      </c>
      <c r="I119" s="4"/>
      <c r="J119" s="4"/>
      <c r="K119" s="4">
        <v>205</v>
      </c>
      <c r="L119" s="4">
        <v>14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94610.05</v>
      </c>
      <c r="X119" s="4">
        <v>1</v>
      </c>
      <c r="Y119" s="4">
        <v>94610.05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232</v>
      </c>
      <c r="F120" s="4">
        <f>ROUND(Source!BC104,O120)</f>
        <v>0</v>
      </c>
      <c r="G120" s="4" t="s">
        <v>78</v>
      </c>
      <c r="H120" s="4" t="s">
        <v>79</v>
      </c>
      <c r="I120" s="4"/>
      <c r="J120" s="4"/>
      <c r="K120" s="4">
        <v>232</v>
      </c>
      <c r="L120" s="4">
        <v>15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214</v>
      </c>
      <c r="F121" s="4">
        <f>ROUND(Source!AS104,O121)</f>
        <v>0</v>
      </c>
      <c r="G121" s="4" t="s">
        <v>80</v>
      </c>
      <c r="H121" s="4" t="s">
        <v>81</v>
      </c>
      <c r="I121" s="4"/>
      <c r="J121" s="4"/>
      <c r="K121" s="4">
        <v>214</v>
      </c>
      <c r="L121" s="4">
        <v>16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215</v>
      </c>
      <c r="F122" s="4">
        <f>ROUND(Source!AT104,O122)</f>
        <v>0</v>
      </c>
      <c r="G122" s="4" t="s">
        <v>82</v>
      </c>
      <c r="H122" s="4" t="s">
        <v>83</v>
      </c>
      <c r="I122" s="4"/>
      <c r="J122" s="4"/>
      <c r="K122" s="4">
        <v>215</v>
      </c>
      <c r="L122" s="4">
        <v>17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217</v>
      </c>
      <c r="F123" s="4">
        <f>ROUND(Source!AU104,O123)</f>
        <v>677259.19</v>
      </c>
      <c r="G123" s="4" t="s">
        <v>84</v>
      </c>
      <c r="H123" s="4" t="s">
        <v>85</v>
      </c>
      <c r="I123" s="4"/>
      <c r="J123" s="4"/>
      <c r="K123" s="4">
        <v>217</v>
      </c>
      <c r="L123" s="4">
        <v>18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677259.19</v>
      </c>
      <c r="X123" s="4">
        <v>1</v>
      </c>
      <c r="Y123" s="4">
        <v>677259.19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230</v>
      </c>
      <c r="F124" s="4">
        <f>ROUND(Source!BA104,O124)</f>
        <v>0</v>
      </c>
      <c r="G124" s="4" t="s">
        <v>86</v>
      </c>
      <c r="H124" s="4" t="s">
        <v>87</v>
      </c>
      <c r="I124" s="4"/>
      <c r="J124" s="4"/>
      <c r="K124" s="4">
        <v>230</v>
      </c>
      <c r="L124" s="4">
        <v>19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206</v>
      </c>
      <c r="F125" s="4">
        <f>ROUND(Source!T104,O125)</f>
        <v>0</v>
      </c>
      <c r="G125" s="4" t="s">
        <v>88</v>
      </c>
      <c r="H125" s="4" t="s">
        <v>89</v>
      </c>
      <c r="I125" s="4"/>
      <c r="J125" s="4"/>
      <c r="K125" s="4">
        <v>206</v>
      </c>
      <c r="L125" s="4">
        <v>20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207</v>
      </c>
      <c r="F126" s="4">
        <f>Source!U104</f>
        <v>210.36788319999999</v>
      </c>
      <c r="G126" s="4" t="s">
        <v>90</v>
      </c>
      <c r="H126" s="4" t="s">
        <v>91</v>
      </c>
      <c r="I126" s="4"/>
      <c r="J126" s="4"/>
      <c r="K126" s="4">
        <v>207</v>
      </c>
      <c r="L126" s="4">
        <v>21</v>
      </c>
      <c r="M126" s="4">
        <v>3</v>
      </c>
      <c r="N126" s="4" t="s">
        <v>3</v>
      </c>
      <c r="O126" s="4">
        <v>-1</v>
      </c>
      <c r="P126" s="4"/>
      <c r="Q126" s="4"/>
      <c r="R126" s="4"/>
      <c r="S126" s="4"/>
      <c r="T126" s="4"/>
      <c r="U126" s="4"/>
      <c r="V126" s="4"/>
      <c r="W126" s="4">
        <v>210.36788319999999</v>
      </c>
      <c r="X126" s="4">
        <v>1</v>
      </c>
      <c r="Y126" s="4">
        <v>210.36788319999999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208</v>
      </c>
      <c r="F127" s="4">
        <f>Source!V104</f>
        <v>0</v>
      </c>
      <c r="G127" s="4" t="s">
        <v>92</v>
      </c>
      <c r="H127" s="4" t="s">
        <v>93</v>
      </c>
      <c r="I127" s="4"/>
      <c r="J127" s="4"/>
      <c r="K127" s="4">
        <v>208</v>
      </c>
      <c r="L127" s="4">
        <v>22</v>
      </c>
      <c r="M127" s="4">
        <v>3</v>
      </c>
      <c r="N127" s="4" t="s">
        <v>3</v>
      </c>
      <c r="O127" s="4">
        <v>-1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209</v>
      </c>
      <c r="F128" s="4">
        <f>ROUND(Source!W104,O128)</f>
        <v>0</v>
      </c>
      <c r="G128" s="4" t="s">
        <v>94</v>
      </c>
      <c r="H128" s="4" t="s">
        <v>95</v>
      </c>
      <c r="I128" s="4"/>
      <c r="J128" s="4"/>
      <c r="K128" s="4">
        <v>209</v>
      </c>
      <c r="L128" s="4">
        <v>23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233</v>
      </c>
      <c r="F129" s="4">
        <f>ROUND(Source!BD104,O129)</f>
        <v>0</v>
      </c>
      <c r="G129" s="4" t="s">
        <v>96</v>
      </c>
      <c r="H129" s="4" t="s">
        <v>97</v>
      </c>
      <c r="I129" s="4"/>
      <c r="J129" s="4"/>
      <c r="K129" s="4">
        <v>233</v>
      </c>
      <c r="L129" s="4">
        <v>24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210</v>
      </c>
      <c r="F130" s="4">
        <f>ROUND(Source!X104,O130)</f>
        <v>66227.03</v>
      </c>
      <c r="G130" s="4" t="s">
        <v>98</v>
      </c>
      <c r="H130" s="4" t="s">
        <v>99</v>
      </c>
      <c r="I130" s="4"/>
      <c r="J130" s="4"/>
      <c r="K130" s="4">
        <v>210</v>
      </c>
      <c r="L130" s="4">
        <v>25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66227.03</v>
      </c>
      <c r="X130" s="4">
        <v>1</v>
      </c>
      <c r="Y130" s="4">
        <v>66227.03</v>
      </c>
      <c r="Z130" s="4"/>
      <c r="AA130" s="4"/>
      <c r="AB130" s="4"/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211</v>
      </c>
      <c r="F131" s="4">
        <f>ROUND(Source!Y104,O131)</f>
        <v>9461.01</v>
      </c>
      <c r="G131" s="4" t="s">
        <v>100</v>
      </c>
      <c r="H131" s="4" t="s">
        <v>101</v>
      </c>
      <c r="I131" s="4"/>
      <c r="J131" s="4"/>
      <c r="K131" s="4">
        <v>211</v>
      </c>
      <c r="L131" s="4">
        <v>26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9461.01</v>
      </c>
      <c r="X131" s="4">
        <v>1</v>
      </c>
      <c r="Y131" s="4">
        <v>9461.01</v>
      </c>
      <c r="Z131" s="4"/>
      <c r="AA131" s="4"/>
      <c r="AB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224</v>
      </c>
      <c r="F132" s="4">
        <f>ROUND(Source!AR104,O132)</f>
        <v>677259.19</v>
      </c>
      <c r="G132" s="4" t="s">
        <v>102</v>
      </c>
      <c r="H132" s="4" t="s">
        <v>103</v>
      </c>
      <c r="I132" s="4"/>
      <c r="J132" s="4"/>
      <c r="K132" s="4">
        <v>224</v>
      </c>
      <c r="L132" s="4">
        <v>27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677259.19</v>
      </c>
      <c r="X132" s="4">
        <v>1</v>
      </c>
      <c r="Y132" s="4">
        <v>677259.19</v>
      </c>
      <c r="Z132" s="4"/>
      <c r="AA132" s="4"/>
      <c r="AB132" s="4"/>
    </row>
    <row r="133" spans="1:206" x14ac:dyDescent="0.2">
      <c r="A133" s="4">
        <v>50</v>
      </c>
      <c r="B133" s="4">
        <v>1</v>
      </c>
      <c r="C133" s="4">
        <v>0</v>
      </c>
      <c r="D133" s="4">
        <v>2</v>
      </c>
      <c r="E133" s="4">
        <v>0</v>
      </c>
      <c r="F133" s="4">
        <f>ROUND(F132,O133)</f>
        <v>677259.19</v>
      </c>
      <c r="G133" s="4" t="s">
        <v>119</v>
      </c>
      <c r="H133" s="4" t="s">
        <v>120</v>
      </c>
      <c r="I133" s="4"/>
      <c r="J133" s="4"/>
      <c r="K133" s="4">
        <v>212</v>
      </c>
      <c r="L133" s="4">
        <v>28</v>
      </c>
      <c r="M133" s="4">
        <v>0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677259.19</v>
      </c>
      <c r="X133" s="4">
        <v>1</v>
      </c>
      <c r="Y133" s="4">
        <v>677259.19</v>
      </c>
      <c r="Z133" s="4"/>
      <c r="AA133" s="4"/>
      <c r="AB133" s="4"/>
    </row>
    <row r="134" spans="1:206" x14ac:dyDescent="0.2">
      <c r="A134" s="4">
        <v>50</v>
      </c>
      <c r="B134" s="4">
        <v>1</v>
      </c>
      <c r="C134" s="4">
        <v>0</v>
      </c>
      <c r="D134" s="4">
        <v>2</v>
      </c>
      <c r="E134" s="4">
        <v>0</v>
      </c>
      <c r="F134" s="4">
        <f>ROUND(F132*0.2,O134)</f>
        <v>135451.84</v>
      </c>
      <c r="G134" s="4" t="s">
        <v>121</v>
      </c>
      <c r="H134" s="4" t="s">
        <v>122</v>
      </c>
      <c r="I134" s="4"/>
      <c r="J134" s="4"/>
      <c r="K134" s="4">
        <v>212</v>
      </c>
      <c r="L134" s="4">
        <v>29</v>
      </c>
      <c r="M134" s="4">
        <v>0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135451.84</v>
      </c>
      <c r="X134" s="4">
        <v>1</v>
      </c>
      <c r="Y134" s="4">
        <v>135451.84</v>
      </c>
      <c r="Z134" s="4"/>
      <c r="AA134" s="4"/>
      <c r="AB134" s="4"/>
    </row>
    <row r="135" spans="1:206" x14ac:dyDescent="0.2">
      <c r="A135" s="4">
        <v>50</v>
      </c>
      <c r="B135" s="4">
        <v>1</v>
      </c>
      <c r="C135" s="4">
        <v>0</v>
      </c>
      <c r="D135" s="4">
        <v>2</v>
      </c>
      <c r="E135" s="4">
        <v>213</v>
      </c>
      <c r="F135" s="4">
        <f>ROUND(F133+F134,O135)</f>
        <v>812711.03</v>
      </c>
      <c r="G135" s="4" t="s">
        <v>123</v>
      </c>
      <c r="H135" s="4" t="s">
        <v>124</v>
      </c>
      <c r="I135" s="4"/>
      <c r="J135" s="4"/>
      <c r="K135" s="4">
        <v>212</v>
      </c>
      <c r="L135" s="4">
        <v>30</v>
      </c>
      <c r="M135" s="4">
        <v>0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812711.03</v>
      </c>
      <c r="X135" s="4">
        <v>1</v>
      </c>
      <c r="Y135" s="4">
        <v>812711.03</v>
      </c>
      <c r="Z135" s="4"/>
      <c r="AA135" s="4"/>
      <c r="AB135" s="4"/>
    </row>
    <row r="137" spans="1:206" x14ac:dyDescent="0.2">
      <c r="A137" s="2">
        <v>51</v>
      </c>
      <c r="B137" s="2">
        <f>B12</f>
        <v>176</v>
      </c>
      <c r="C137" s="2">
        <f>A12</f>
        <v>1</v>
      </c>
      <c r="D137" s="2">
        <f>ROW(A12)</f>
        <v>12</v>
      </c>
      <c r="E137" s="2"/>
      <c r="F137" s="2" t="str">
        <f>IF(F12&lt;&gt;"",F12,"")</f>
        <v/>
      </c>
      <c r="G137" s="2" t="str">
        <f>IF(G12&lt;&gt;"",G12,"")</f>
        <v>ГБОУ Школа 920. ул. Перовская, д. 24 Пандус (СН-2012 Выпуск №2 (в ценах на 01.01.2025 г))</v>
      </c>
      <c r="H137" s="2">
        <v>0</v>
      </c>
      <c r="I137" s="2"/>
      <c r="J137" s="2"/>
      <c r="K137" s="2"/>
      <c r="L137" s="2"/>
      <c r="M137" s="2"/>
      <c r="N137" s="2"/>
      <c r="O137" s="2">
        <f t="shared" ref="O137:T137" si="72">ROUND(O104,2)</f>
        <v>598987.32999999996</v>
      </c>
      <c r="P137" s="2">
        <f t="shared" si="72"/>
        <v>496031.86</v>
      </c>
      <c r="Q137" s="2">
        <f t="shared" si="72"/>
        <v>8345.42</v>
      </c>
      <c r="R137" s="2">
        <f t="shared" si="72"/>
        <v>4205.1000000000004</v>
      </c>
      <c r="S137" s="2">
        <f t="shared" si="72"/>
        <v>94610.05</v>
      </c>
      <c r="T137" s="2">
        <f t="shared" si="72"/>
        <v>0</v>
      </c>
      <c r="U137" s="2">
        <f>U104</f>
        <v>210.36788319999999</v>
      </c>
      <c r="V137" s="2">
        <f>V104</f>
        <v>0</v>
      </c>
      <c r="W137" s="2">
        <f>ROUND(W104,2)</f>
        <v>0</v>
      </c>
      <c r="X137" s="2">
        <f>ROUND(X104,2)</f>
        <v>66227.03</v>
      </c>
      <c r="Y137" s="2">
        <f>ROUND(Y104,2)</f>
        <v>9461.01</v>
      </c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>
        <f t="shared" ref="AO137:BD137" si="73">ROUND(AO104,2)</f>
        <v>0</v>
      </c>
      <c r="AP137" s="2">
        <f t="shared" si="73"/>
        <v>0</v>
      </c>
      <c r="AQ137" s="2">
        <f t="shared" si="73"/>
        <v>0</v>
      </c>
      <c r="AR137" s="2">
        <f t="shared" si="73"/>
        <v>677259.19</v>
      </c>
      <c r="AS137" s="2">
        <f t="shared" si="73"/>
        <v>0</v>
      </c>
      <c r="AT137" s="2">
        <f t="shared" si="73"/>
        <v>0</v>
      </c>
      <c r="AU137" s="2">
        <f t="shared" si="73"/>
        <v>677259.19</v>
      </c>
      <c r="AV137" s="2">
        <f t="shared" si="73"/>
        <v>496031.86</v>
      </c>
      <c r="AW137" s="2">
        <f t="shared" si="73"/>
        <v>496031.86</v>
      </c>
      <c r="AX137" s="2">
        <f t="shared" si="73"/>
        <v>0</v>
      </c>
      <c r="AY137" s="2">
        <f t="shared" si="73"/>
        <v>496031.86</v>
      </c>
      <c r="AZ137" s="2">
        <f t="shared" si="73"/>
        <v>0</v>
      </c>
      <c r="BA137" s="2">
        <f t="shared" si="73"/>
        <v>0</v>
      </c>
      <c r="BB137" s="2">
        <f t="shared" si="73"/>
        <v>0</v>
      </c>
      <c r="BC137" s="2">
        <f t="shared" si="73"/>
        <v>0</v>
      </c>
      <c r="BD137" s="2">
        <f t="shared" si="73"/>
        <v>0</v>
      </c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>
        <v>0</v>
      </c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201</v>
      </c>
      <c r="F139" s="4">
        <f>ROUND(Source!O137,O139)</f>
        <v>598987.32999999996</v>
      </c>
      <c r="G139" s="4" t="s">
        <v>50</v>
      </c>
      <c r="H139" s="4" t="s">
        <v>51</v>
      </c>
      <c r="I139" s="4"/>
      <c r="J139" s="4"/>
      <c r="K139" s="4">
        <v>201</v>
      </c>
      <c r="L139" s="4">
        <v>1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>
        <v>598987.32999999996</v>
      </c>
      <c r="X139" s="4">
        <v>1</v>
      </c>
      <c r="Y139" s="4">
        <v>598987.32999999996</v>
      </c>
      <c r="Z139" s="4"/>
      <c r="AA139" s="4"/>
      <c r="AB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202</v>
      </c>
      <c r="F140" s="4">
        <f>ROUND(Source!P137,O140)</f>
        <v>496031.86</v>
      </c>
      <c r="G140" s="4" t="s">
        <v>52</v>
      </c>
      <c r="H140" s="4" t="s">
        <v>53</v>
      </c>
      <c r="I140" s="4"/>
      <c r="J140" s="4"/>
      <c r="K140" s="4">
        <v>202</v>
      </c>
      <c r="L140" s="4">
        <v>2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>
        <v>496031.86</v>
      </c>
      <c r="X140" s="4">
        <v>1</v>
      </c>
      <c r="Y140" s="4">
        <v>496031.86</v>
      </c>
      <c r="Z140" s="4"/>
      <c r="AA140" s="4"/>
      <c r="AB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222</v>
      </c>
      <c r="F141" s="4">
        <f>ROUND(Source!AO137,O141)</f>
        <v>0</v>
      </c>
      <c r="G141" s="4" t="s">
        <v>54</v>
      </c>
      <c r="H141" s="4" t="s">
        <v>55</v>
      </c>
      <c r="I141" s="4"/>
      <c r="J141" s="4"/>
      <c r="K141" s="4">
        <v>222</v>
      </c>
      <c r="L141" s="4">
        <v>3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>
        <v>0</v>
      </c>
      <c r="X141" s="4">
        <v>1</v>
      </c>
      <c r="Y141" s="4">
        <v>0</v>
      </c>
      <c r="Z141" s="4"/>
      <c r="AA141" s="4"/>
      <c r="AB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225</v>
      </c>
      <c r="F142" s="4">
        <f>ROUND(Source!AV137,O142)</f>
        <v>496031.86</v>
      </c>
      <c r="G142" s="4" t="s">
        <v>56</v>
      </c>
      <c r="H142" s="4" t="s">
        <v>57</v>
      </c>
      <c r="I142" s="4"/>
      <c r="J142" s="4"/>
      <c r="K142" s="4">
        <v>225</v>
      </c>
      <c r="L142" s="4">
        <v>4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>
        <v>496031.86</v>
      </c>
      <c r="X142" s="4">
        <v>1</v>
      </c>
      <c r="Y142" s="4">
        <v>496031.86</v>
      </c>
      <c r="Z142" s="4"/>
      <c r="AA142" s="4"/>
      <c r="AB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226</v>
      </c>
      <c r="F143" s="4">
        <f>ROUND(Source!AW137,O143)</f>
        <v>496031.86</v>
      </c>
      <c r="G143" s="4" t="s">
        <v>58</v>
      </c>
      <c r="H143" s="4" t="s">
        <v>59</v>
      </c>
      <c r="I143" s="4"/>
      <c r="J143" s="4"/>
      <c r="K143" s="4">
        <v>226</v>
      </c>
      <c r="L143" s="4">
        <v>5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>
        <v>496031.86</v>
      </c>
      <c r="X143" s="4">
        <v>1</v>
      </c>
      <c r="Y143" s="4">
        <v>496031.86</v>
      </c>
      <c r="Z143" s="4"/>
      <c r="AA143" s="4"/>
      <c r="AB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227</v>
      </c>
      <c r="F144" s="4">
        <f>ROUND(Source!AX137,O144)</f>
        <v>0</v>
      </c>
      <c r="G144" s="4" t="s">
        <v>60</v>
      </c>
      <c r="H144" s="4" t="s">
        <v>61</v>
      </c>
      <c r="I144" s="4"/>
      <c r="J144" s="4"/>
      <c r="K144" s="4">
        <v>227</v>
      </c>
      <c r="L144" s="4">
        <v>6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0</v>
      </c>
      <c r="X144" s="4">
        <v>1</v>
      </c>
      <c r="Y144" s="4">
        <v>0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228</v>
      </c>
      <c r="F145" s="4">
        <f>ROUND(Source!AY137,O145)</f>
        <v>496031.86</v>
      </c>
      <c r="G145" s="4" t="s">
        <v>62</v>
      </c>
      <c r="H145" s="4" t="s">
        <v>63</v>
      </c>
      <c r="I145" s="4"/>
      <c r="J145" s="4"/>
      <c r="K145" s="4">
        <v>228</v>
      </c>
      <c r="L145" s="4">
        <v>7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496031.86</v>
      </c>
      <c r="X145" s="4">
        <v>1</v>
      </c>
      <c r="Y145" s="4">
        <v>496031.86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216</v>
      </c>
      <c r="F146" s="4">
        <f>ROUND(Source!AP137,O146)</f>
        <v>0</v>
      </c>
      <c r="G146" s="4" t="s">
        <v>64</v>
      </c>
      <c r="H146" s="4" t="s">
        <v>65</v>
      </c>
      <c r="I146" s="4"/>
      <c r="J146" s="4"/>
      <c r="K146" s="4">
        <v>216</v>
      </c>
      <c r="L146" s="4">
        <v>8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223</v>
      </c>
      <c r="F147" s="4">
        <f>ROUND(Source!AQ137,O147)</f>
        <v>0</v>
      </c>
      <c r="G147" s="4" t="s">
        <v>66</v>
      </c>
      <c r="H147" s="4" t="s">
        <v>67</v>
      </c>
      <c r="I147" s="4"/>
      <c r="J147" s="4"/>
      <c r="K147" s="4">
        <v>223</v>
      </c>
      <c r="L147" s="4">
        <v>9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229</v>
      </c>
      <c r="F148" s="4">
        <f>ROUND(Source!AZ137,O148)</f>
        <v>0</v>
      </c>
      <c r="G148" s="4" t="s">
        <v>68</v>
      </c>
      <c r="H148" s="4" t="s">
        <v>69</v>
      </c>
      <c r="I148" s="4"/>
      <c r="J148" s="4"/>
      <c r="K148" s="4">
        <v>229</v>
      </c>
      <c r="L148" s="4">
        <v>10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203</v>
      </c>
      <c r="F149" s="4">
        <f>ROUND(Source!Q137,O149)</f>
        <v>8345.42</v>
      </c>
      <c r="G149" s="4" t="s">
        <v>70</v>
      </c>
      <c r="H149" s="4" t="s">
        <v>71</v>
      </c>
      <c r="I149" s="4"/>
      <c r="J149" s="4"/>
      <c r="K149" s="4">
        <v>203</v>
      </c>
      <c r="L149" s="4">
        <v>11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8345.42</v>
      </c>
      <c r="X149" s="4">
        <v>1</v>
      </c>
      <c r="Y149" s="4">
        <v>8345.42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231</v>
      </c>
      <c r="F150" s="4">
        <f>ROUND(Source!BB137,O150)</f>
        <v>0</v>
      </c>
      <c r="G150" s="4" t="s">
        <v>72</v>
      </c>
      <c r="H150" s="4" t="s">
        <v>73</v>
      </c>
      <c r="I150" s="4"/>
      <c r="J150" s="4"/>
      <c r="K150" s="4">
        <v>231</v>
      </c>
      <c r="L150" s="4">
        <v>12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204</v>
      </c>
      <c r="F151" s="4">
        <f>ROUND(Source!R137,O151)</f>
        <v>4205.1000000000004</v>
      </c>
      <c r="G151" s="4" t="s">
        <v>74</v>
      </c>
      <c r="H151" s="4" t="s">
        <v>75</v>
      </c>
      <c r="I151" s="4"/>
      <c r="J151" s="4"/>
      <c r="K151" s="4">
        <v>204</v>
      </c>
      <c r="L151" s="4">
        <v>13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4205.1000000000004</v>
      </c>
      <c r="X151" s="4">
        <v>1</v>
      </c>
      <c r="Y151" s="4">
        <v>4205.1000000000004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205</v>
      </c>
      <c r="F152" s="4">
        <f>ROUND(Source!S137,O152)</f>
        <v>94610.05</v>
      </c>
      <c r="G152" s="4" t="s">
        <v>76</v>
      </c>
      <c r="H152" s="4" t="s">
        <v>77</v>
      </c>
      <c r="I152" s="4"/>
      <c r="J152" s="4"/>
      <c r="K152" s="4">
        <v>205</v>
      </c>
      <c r="L152" s="4">
        <v>14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94610.05</v>
      </c>
      <c r="X152" s="4">
        <v>1</v>
      </c>
      <c r="Y152" s="4">
        <v>94610.05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232</v>
      </c>
      <c r="F153" s="4">
        <f>ROUND(Source!BC137,O153)</f>
        <v>0</v>
      </c>
      <c r="G153" s="4" t="s">
        <v>78</v>
      </c>
      <c r="H153" s="4" t="s">
        <v>79</v>
      </c>
      <c r="I153" s="4"/>
      <c r="J153" s="4"/>
      <c r="K153" s="4">
        <v>232</v>
      </c>
      <c r="L153" s="4">
        <v>15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0</v>
      </c>
      <c r="F154" s="4">
        <f>ROUND(Source!AS137,O154)</f>
        <v>0</v>
      </c>
      <c r="G154" s="4" t="s">
        <v>80</v>
      </c>
      <c r="H154" s="4" t="s">
        <v>81</v>
      </c>
      <c r="I154" s="4"/>
      <c r="J154" s="4"/>
      <c r="K154" s="4">
        <v>214</v>
      </c>
      <c r="L154" s="4">
        <v>16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0</v>
      </c>
      <c r="F155" s="4">
        <f>ROUND(Source!AT137,O155)</f>
        <v>0</v>
      </c>
      <c r="G155" s="4" t="s">
        <v>82</v>
      </c>
      <c r="H155" s="4" t="s">
        <v>83</v>
      </c>
      <c r="I155" s="4"/>
      <c r="J155" s="4"/>
      <c r="K155" s="4">
        <v>215</v>
      </c>
      <c r="L155" s="4">
        <v>17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0</v>
      </c>
      <c r="F156" s="4">
        <f>ROUND(Source!AU137,O156)</f>
        <v>677259.19</v>
      </c>
      <c r="G156" s="4" t="s">
        <v>84</v>
      </c>
      <c r="H156" s="4" t="s">
        <v>85</v>
      </c>
      <c r="I156" s="4"/>
      <c r="J156" s="4"/>
      <c r="K156" s="4">
        <v>217</v>
      </c>
      <c r="L156" s="4">
        <v>18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677259.19</v>
      </c>
      <c r="X156" s="4">
        <v>1</v>
      </c>
      <c r="Y156" s="4">
        <v>677259.19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0</v>
      </c>
      <c r="F157" s="4">
        <f>ROUND(Source!BA137,O157)</f>
        <v>0</v>
      </c>
      <c r="G157" s="4" t="s">
        <v>86</v>
      </c>
      <c r="H157" s="4" t="s">
        <v>87</v>
      </c>
      <c r="I157" s="4"/>
      <c r="J157" s="4"/>
      <c r="K157" s="4">
        <v>230</v>
      </c>
      <c r="L157" s="4">
        <v>19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0</v>
      </c>
      <c r="F158" s="4">
        <f>ROUND(Source!T137,O158)</f>
        <v>0</v>
      </c>
      <c r="G158" s="4" t="s">
        <v>88</v>
      </c>
      <c r="H158" s="4" t="s">
        <v>89</v>
      </c>
      <c r="I158" s="4"/>
      <c r="J158" s="4"/>
      <c r="K158" s="4">
        <v>206</v>
      </c>
      <c r="L158" s="4">
        <v>20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0</v>
      </c>
      <c r="F159" s="4">
        <f>Source!U137</f>
        <v>210.36788319999999</v>
      </c>
      <c r="G159" s="4" t="s">
        <v>90</v>
      </c>
      <c r="H159" s="4" t="s">
        <v>91</v>
      </c>
      <c r="I159" s="4"/>
      <c r="J159" s="4"/>
      <c r="K159" s="4">
        <v>207</v>
      </c>
      <c r="L159" s="4">
        <v>21</v>
      </c>
      <c r="M159" s="4">
        <v>3</v>
      </c>
      <c r="N159" s="4" t="s">
        <v>3</v>
      </c>
      <c r="O159" s="4">
        <v>-1</v>
      </c>
      <c r="P159" s="4"/>
      <c r="Q159" s="4"/>
      <c r="R159" s="4"/>
      <c r="S159" s="4"/>
      <c r="T159" s="4"/>
      <c r="U159" s="4"/>
      <c r="V159" s="4"/>
      <c r="W159" s="4">
        <v>210.36788319999999</v>
      </c>
      <c r="X159" s="4">
        <v>1</v>
      </c>
      <c r="Y159" s="4">
        <v>210.36788319999999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0</v>
      </c>
      <c r="F160" s="4">
        <f>Source!V137</f>
        <v>0</v>
      </c>
      <c r="G160" s="4" t="s">
        <v>92</v>
      </c>
      <c r="H160" s="4" t="s">
        <v>93</v>
      </c>
      <c r="I160" s="4"/>
      <c r="J160" s="4"/>
      <c r="K160" s="4">
        <v>208</v>
      </c>
      <c r="L160" s="4">
        <v>22</v>
      </c>
      <c r="M160" s="4">
        <v>3</v>
      </c>
      <c r="N160" s="4" t="s">
        <v>3</v>
      </c>
      <c r="O160" s="4">
        <v>-1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0</v>
      </c>
      <c r="F161" s="4">
        <f>ROUND(Source!W137,O161)</f>
        <v>0</v>
      </c>
      <c r="G161" s="4" t="s">
        <v>94</v>
      </c>
      <c r="H161" s="4" t="s">
        <v>95</v>
      </c>
      <c r="I161" s="4"/>
      <c r="J161" s="4"/>
      <c r="K161" s="4">
        <v>209</v>
      </c>
      <c r="L161" s="4">
        <v>23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0</v>
      </c>
      <c r="F162" s="4">
        <f>ROUND(Source!BD137,O162)</f>
        <v>0</v>
      </c>
      <c r="G162" s="4" t="s">
        <v>96</v>
      </c>
      <c r="H162" s="4" t="s">
        <v>97</v>
      </c>
      <c r="I162" s="4"/>
      <c r="J162" s="4"/>
      <c r="K162" s="4">
        <v>233</v>
      </c>
      <c r="L162" s="4">
        <v>24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0</v>
      </c>
      <c r="F163" s="4">
        <f>ROUND(Source!X137,O163)</f>
        <v>66227.03</v>
      </c>
      <c r="G163" s="4" t="s">
        <v>98</v>
      </c>
      <c r="H163" s="4" t="s">
        <v>99</v>
      </c>
      <c r="I163" s="4"/>
      <c r="J163" s="4"/>
      <c r="K163" s="4">
        <v>210</v>
      </c>
      <c r="L163" s="4">
        <v>25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66227.03</v>
      </c>
      <c r="X163" s="4">
        <v>1</v>
      </c>
      <c r="Y163" s="4">
        <v>66227.03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0</v>
      </c>
      <c r="F164" s="4">
        <f>ROUND(Source!Y137,O164)</f>
        <v>9461.01</v>
      </c>
      <c r="G164" s="4" t="s">
        <v>100</v>
      </c>
      <c r="H164" s="4" t="s">
        <v>101</v>
      </c>
      <c r="I164" s="4"/>
      <c r="J164" s="4"/>
      <c r="K164" s="4">
        <v>211</v>
      </c>
      <c r="L164" s="4">
        <v>26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9461.01</v>
      </c>
      <c r="X164" s="4">
        <v>1</v>
      </c>
      <c r="Y164" s="4">
        <v>9461.01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0</v>
      </c>
      <c r="F165" s="4">
        <f>ROUND(Source!AR137,O165)</f>
        <v>677259.19</v>
      </c>
      <c r="G165" s="4" t="s">
        <v>102</v>
      </c>
      <c r="H165" s="4" t="s">
        <v>103</v>
      </c>
      <c r="I165" s="4"/>
      <c r="J165" s="4"/>
      <c r="K165" s="4">
        <v>224</v>
      </c>
      <c r="L165" s="4">
        <v>27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677259.19</v>
      </c>
      <c r="X165" s="4">
        <v>1</v>
      </c>
      <c r="Y165" s="4">
        <v>677259.19</v>
      </c>
      <c r="Z165" s="4"/>
      <c r="AA165" s="4"/>
      <c r="AB165" s="4"/>
    </row>
    <row r="166" spans="1:28" x14ac:dyDescent="0.2">
      <c r="A166" s="4">
        <v>50</v>
      </c>
      <c r="B166" s="4">
        <v>1</v>
      </c>
      <c r="C166" s="4">
        <v>0</v>
      </c>
      <c r="D166" s="4">
        <v>2</v>
      </c>
      <c r="E166" s="4">
        <v>0</v>
      </c>
      <c r="F166" s="4">
        <f>ROUND(F165,O166)</f>
        <v>677259.19</v>
      </c>
      <c r="G166" s="4" t="s">
        <v>119</v>
      </c>
      <c r="H166" s="4" t="s">
        <v>120</v>
      </c>
      <c r="I166" s="4"/>
      <c r="J166" s="4"/>
      <c r="K166" s="4">
        <v>212</v>
      </c>
      <c r="L166" s="4">
        <v>28</v>
      </c>
      <c r="M166" s="4">
        <v>0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677259.19</v>
      </c>
      <c r="X166" s="4">
        <v>1</v>
      </c>
      <c r="Y166" s="4">
        <v>677259.19</v>
      </c>
      <c r="Z166" s="4"/>
      <c r="AA166" s="4"/>
      <c r="AB166" s="4"/>
    </row>
    <row r="167" spans="1:28" x14ac:dyDescent="0.2">
      <c r="A167" s="4">
        <v>50</v>
      </c>
      <c r="B167" s="4">
        <v>1</v>
      </c>
      <c r="C167" s="4">
        <v>0</v>
      </c>
      <c r="D167" s="4">
        <v>2</v>
      </c>
      <c r="E167" s="4">
        <v>0</v>
      </c>
      <c r="F167" s="4">
        <f>ROUND(F165*0.2,O167)</f>
        <v>135451.84</v>
      </c>
      <c r="G167" s="4" t="s">
        <v>121</v>
      </c>
      <c r="H167" s="4" t="s">
        <v>122</v>
      </c>
      <c r="I167" s="4"/>
      <c r="J167" s="4"/>
      <c r="K167" s="4">
        <v>212</v>
      </c>
      <c r="L167" s="4">
        <v>29</v>
      </c>
      <c r="M167" s="4">
        <v>0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135451.84</v>
      </c>
      <c r="X167" s="4">
        <v>1</v>
      </c>
      <c r="Y167" s="4">
        <v>135451.84</v>
      </c>
      <c r="Z167" s="4"/>
      <c r="AA167" s="4"/>
      <c r="AB167" s="4"/>
    </row>
    <row r="168" spans="1:28" x14ac:dyDescent="0.2">
      <c r="A168" s="4">
        <v>50</v>
      </c>
      <c r="B168" s="4">
        <v>1</v>
      </c>
      <c r="C168" s="4">
        <v>0</v>
      </c>
      <c r="D168" s="4">
        <v>2</v>
      </c>
      <c r="E168" s="4">
        <v>213</v>
      </c>
      <c r="F168" s="4">
        <f>ROUND(F166+F167,O168)</f>
        <v>812711.03</v>
      </c>
      <c r="G168" s="4" t="s">
        <v>123</v>
      </c>
      <c r="H168" s="4" t="s">
        <v>124</v>
      </c>
      <c r="I168" s="4"/>
      <c r="J168" s="4"/>
      <c r="K168" s="4">
        <v>212</v>
      </c>
      <c r="L168" s="4">
        <v>30</v>
      </c>
      <c r="M168" s="4">
        <v>0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812711.03</v>
      </c>
      <c r="X168" s="4">
        <v>1</v>
      </c>
      <c r="Y168" s="4">
        <v>812711.03</v>
      </c>
      <c r="Z168" s="4"/>
      <c r="AA168" s="4"/>
      <c r="AB168" s="4"/>
    </row>
    <row r="170" spans="1:28" x14ac:dyDescent="0.2">
      <c r="A170" s="5">
        <v>61</v>
      </c>
      <c r="B170" s="5"/>
      <c r="C170" s="5"/>
      <c r="D170" s="5"/>
      <c r="E170" s="5"/>
      <c r="F170" s="5">
        <v>0</v>
      </c>
      <c r="G170" s="5" t="s">
        <v>125</v>
      </c>
      <c r="H170" s="5" t="s">
        <v>126</v>
      </c>
    </row>
    <row r="171" spans="1:28" x14ac:dyDescent="0.2">
      <c r="A171" s="5">
        <v>61</v>
      </c>
      <c r="B171" s="5"/>
      <c r="C171" s="5"/>
      <c r="D171" s="5"/>
      <c r="E171" s="5"/>
      <c r="F171" s="5">
        <v>12</v>
      </c>
      <c r="G171" s="5" t="s">
        <v>127</v>
      </c>
      <c r="H171" s="5" t="s">
        <v>126</v>
      </c>
    </row>
    <row r="174" spans="1:28" x14ac:dyDescent="0.2">
      <c r="A174">
        <v>-1</v>
      </c>
    </row>
    <row r="176" spans="1:28" x14ac:dyDescent="0.2">
      <c r="A176" s="3">
        <v>75</v>
      </c>
      <c r="B176" s="3" t="s">
        <v>128</v>
      </c>
      <c r="C176" s="3">
        <v>2025</v>
      </c>
      <c r="D176" s="3">
        <v>1</v>
      </c>
      <c r="E176" s="3">
        <v>0</v>
      </c>
      <c r="F176" s="3"/>
      <c r="G176" s="3">
        <v>0</v>
      </c>
      <c r="H176" s="3">
        <v>1</v>
      </c>
      <c r="I176" s="3">
        <v>0</v>
      </c>
      <c r="J176" s="3">
        <v>1</v>
      </c>
      <c r="K176" s="3">
        <v>95</v>
      </c>
      <c r="L176" s="3">
        <v>65</v>
      </c>
      <c r="M176" s="3">
        <v>0</v>
      </c>
      <c r="N176" s="3">
        <v>78163571</v>
      </c>
      <c r="O176" s="3">
        <v>1</v>
      </c>
    </row>
    <row r="180" spans="1:5" x14ac:dyDescent="0.2">
      <c r="A180">
        <v>65</v>
      </c>
      <c r="C180">
        <v>1</v>
      </c>
      <c r="D180">
        <v>0</v>
      </c>
      <c r="E18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129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31353</v>
      </c>
      <c r="M1">
        <v>10</v>
      </c>
      <c r="N1">
        <v>11</v>
      </c>
      <c r="O1">
        <v>11</v>
      </c>
      <c r="P1">
        <v>0</v>
      </c>
      <c r="Q1">
        <v>3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2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5</v>
      </c>
      <c r="BI12" s="1" t="s">
        <v>6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1</v>
      </c>
      <c r="BU12" s="1">
        <v>0</v>
      </c>
      <c r="BV12" s="1">
        <v>1</v>
      </c>
      <c r="BW12" s="1">
        <v>1</v>
      </c>
      <c r="BX12" s="1">
        <v>0</v>
      </c>
      <c r="BY12" s="1" t="s">
        <v>7</v>
      </c>
      <c r="BZ12" s="1" t="s">
        <v>8</v>
      </c>
      <c r="CA12" s="1" t="s">
        <v>9</v>
      </c>
      <c r="CB12" s="1" t="s">
        <v>9</v>
      </c>
      <c r="CC12" s="1" t="s">
        <v>9</v>
      </c>
      <c r="CD12" s="1" t="s">
        <v>9</v>
      </c>
      <c r="CE12" s="1" t="s">
        <v>10</v>
      </c>
      <c r="CF12" s="1">
        <v>0</v>
      </c>
      <c r="CG12" s="1">
        <v>0</v>
      </c>
      <c r="CH12" s="1">
        <v>10</v>
      </c>
      <c r="CI12" s="1" t="s">
        <v>3</v>
      </c>
      <c r="CJ12" s="1" t="s">
        <v>3</v>
      </c>
      <c r="CK12" s="1">
        <v>0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78163571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11</v>
      </c>
      <c r="D16" s="6" t="s">
        <v>12</v>
      </c>
      <c r="E16" s="7">
        <f>ROUND((Source!F121)/1000,2)</f>
        <v>0</v>
      </c>
      <c r="F16" s="7">
        <f>ROUND((Source!F122)/1000,2)</f>
        <v>0</v>
      </c>
      <c r="G16" s="7">
        <f>ROUND((Source!F113)/1000,2)</f>
        <v>0</v>
      </c>
      <c r="H16" s="7">
        <f>ROUND((Source!F123)/1000+(Source!F124)/1000,2)</f>
        <v>677.26</v>
      </c>
      <c r="I16" s="7">
        <f>E16+F16+G16+H16</f>
        <v>677.26</v>
      </c>
      <c r="J16" s="7">
        <f>ROUND((Source!F119+Source!F118)/1000,2)</f>
        <v>98.82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598987.32999999996</v>
      </c>
      <c r="AU16" s="7">
        <v>496031.86</v>
      </c>
      <c r="AV16" s="7">
        <v>0</v>
      </c>
      <c r="AW16" s="7">
        <v>0</v>
      </c>
      <c r="AX16" s="7">
        <v>0</v>
      </c>
      <c r="AY16" s="7">
        <v>8345.42</v>
      </c>
      <c r="AZ16" s="7">
        <v>4205.1000000000004</v>
      </c>
      <c r="BA16" s="7">
        <v>94610.05</v>
      </c>
      <c r="BB16" s="7">
        <v>0</v>
      </c>
      <c r="BC16" s="7">
        <v>0</v>
      </c>
      <c r="BD16" s="7">
        <v>677259.19</v>
      </c>
      <c r="BE16" s="7">
        <v>0</v>
      </c>
      <c r="BF16" s="7">
        <v>210.36788319999999</v>
      </c>
      <c r="BG16" s="7">
        <v>0</v>
      </c>
      <c r="BH16" s="7">
        <v>0</v>
      </c>
      <c r="BI16" s="7">
        <v>66227.03</v>
      </c>
      <c r="BJ16" s="7">
        <v>9461.01</v>
      </c>
      <c r="BK16" s="7">
        <v>677259.19</v>
      </c>
    </row>
    <row r="18" spans="1:19" x14ac:dyDescent="0.2">
      <c r="A18">
        <v>51</v>
      </c>
      <c r="E18" s="5">
        <f>SUMIF(A16:A17,3,E16:E17)</f>
        <v>0</v>
      </c>
      <c r="F18" s="5">
        <f>SUMIF(A16:A17,3,F16:F17)</f>
        <v>0</v>
      </c>
      <c r="G18" s="5">
        <f>SUMIF(A16:A17,3,G16:G17)</f>
        <v>0</v>
      </c>
      <c r="H18" s="5">
        <f>SUMIF(A16:A17,3,H16:H17)</f>
        <v>677.26</v>
      </c>
      <c r="I18" s="5">
        <f>SUMIF(A16:A17,3,I16:I17)</f>
        <v>677.26</v>
      </c>
      <c r="J18" s="5">
        <f>SUMIF(A16:A17,3,J16:J17)</f>
        <v>98.82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598987.32999999996</v>
      </c>
      <c r="G20" s="4" t="s">
        <v>50</v>
      </c>
      <c r="H20" s="4" t="s">
        <v>51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496031.86</v>
      </c>
      <c r="G21" s="4" t="s">
        <v>52</v>
      </c>
      <c r="H21" s="4" t="s">
        <v>53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54</v>
      </c>
      <c r="H22" s="4" t="s">
        <v>55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496031.86</v>
      </c>
      <c r="G23" s="4" t="s">
        <v>56</v>
      </c>
      <c r="H23" s="4" t="s">
        <v>57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496031.86</v>
      </c>
      <c r="G24" s="4" t="s">
        <v>58</v>
      </c>
      <c r="H24" s="4" t="s">
        <v>59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60</v>
      </c>
      <c r="H25" s="4" t="s">
        <v>61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496031.86</v>
      </c>
      <c r="G26" s="4" t="s">
        <v>62</v>
      </c>
      <c r="H26" s="4" t="s">
        <v>63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64</v>
      </c>
      <c r="H27" s="4" t="s">
        <v>65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66</v>
      </c>
      <c r="H28" s="4" t="s">
        <v>67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68</v>
      </c>
      <c r="H29" s="4" t="s">
        <v>69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8345.42</v>
      </c>
      <c r="G30" s="4" t="s">
        <v>70</v>
      </c>
      <c r="H30" s="4" t="s">
        <v>71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72</v>
      </c>
      <c r="H31" s="4" t="s">
        <v>73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4205.1000000000004</v>
      </c>
      <c r="G32" s="4" t="s">
        <v>74</v>
      </c>
      <c r="H32" s="4" t="s">
        <v>75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94610.05</v>
      </c>
      <c r="G33" s="4" t="s">
        <v>76</v>
      </c>
      <c r="H33" s="4" t="s">
        <v>77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78</v>
      </c>
      <c r="H34" s="4" t="s">
        <v>79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0</v>
      </c>
      <c r="F35" s="4">
        <v>0</v>
      </c>
      <c r="G35" s="4" t="s">
        <v>80</v>
      </c>
      <c r="H35" s="4" t="s">
        <v>81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0</v>
      </c>
      <c r="F36" s="4">
        <v>0</v>
      </c>
      <c r="G36" s="4" t="s">
        <v>82</v>
      </c>
      <c r="H36" s="4" t="s">
        <v>83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0</v>
      </c>
      <c r="F37" s="4">
        <v>677259.19</v>
      </c>
      <c r="G37" s="4" t="s">
        <v>84</v>
      </c>
      <c r="H37" s="4" t="s">
        <v>85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0</v>
      </c>
      <c r="F38" s="4">
        <v>0</v>
      </c>
      <c r="G38" s="4" t="s">
        <v>86</v>
      </c>
      <c r="H38" s="4" t="s">
        <v>87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0</v>
      </c>
      <c r="F39" s="4">
        <v>0</v>
      </c>
      <c r="G39" s="4" t="s">
        <v>88</v>
      </c>
      <c r="H39" s="4" t="s">
        <v>89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0</v>
      </c>
      <c r="F40" s="4">
        <v>210.36788319999999</v>
      </c>
      <c r="G40" s="4" t="s">
        <v>90</v>
      </c>
      <c r="H40" s="4" t="s">
        <v>91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0</v>
      </c>
      <c r="F41" s="4">
        <v>0</v>
      </c>
      <c r="G41" s="4" t="s">
        <v>92</v>
      </c>
      <c r="H41" s="4" t="s">
        <v>93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0</v>
      </c>
      <c r="F42" s="4">
        <v>0</v>
      </c>
      <c r="G42" s="4" t="s">
        <v>94</v>
      </c>
      <c r="H42" s="4" t="s">
        <v>95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0</v>
      </c>
      <c r="F43" s="4">
        <v>0</v>
      </c>
      <c r="G43" s="4" t="s">
        <v>96</v>
      </c>
      <c r="H43" s="4" t="s">
        <v>97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0</v>
      </c>
      <c r="F44" s="4">
        <v>66227.03</v>
      </c>
      <c r="G44" s="4" t="s">
        <v>98</v>
      </c>
      <c r="H44" s="4" t="s">
        <v>99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0</v>
      </c>
      <c r="F45" s="4">
        <v>9461.01</v>
      </c>
      <c r="G45" s="4" t="s">
        <v>100</v>
      </c>
      <c r="H45" s="4" t="s">
        <v>101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v>677259.19</v>
      </c>
      <c r="G46" s="4" t="s">
        <v>102</v>
      </c>
      <c r="H46" s="4" t="s">
        <v>103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677259.19</v>
      </c>
      <c r="G47" s="4" t="s">
        <v>119</v>
      </c>
      <c r="H47" s="4" t="s">
        <v>120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135451.84</v>
      </c>
      <c r="G48" s="4" t="s">
        <v>121</v>
      </c>
      <c r="H48" s="4" t="s">
        <v>122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1</v>
      </c>
      <c r="C49" s="4">
        <v>0</v>
      </c>
      <c r="D49" s="4">
        <v>2</v>
      </c>
      <c r="E49" s="4">
        <v>213</v>
      </c>
      <c r="F49" s="4">
        <v>812711.03</v>
      </c>
      <c r="G49" s="4" t="s">
        <v>123</v>
      </c>
      <c r="H49" s="4" t="s">
        <v>124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16" x14ac:dyDescent="0.2">
      <c r="A51">
        <v>-1</v>
      </c>
    </row>
    <row r="54" spans="1:16" x14ac:dyDescent="0.2">
      <c r="A54" s="3">
        <v>75</v>
      </c>
      <c r="B54" s="3" t="s">
        <v>128</v>
      </c>
      <c r="C54" s="3">
        <v>2025</v>
      </c>
      <c r="D54" s="3">
        <v>1</v>
      </c>
      <c r="E54" s="3">
        <v>0</v>
      </c>
      <c r="F54" s="3"/>
      <c r="G54" s="3">
        <v>0</v>
      </c>
      <c r="H54" s="3">
        <v>1</v>
      </c>
      <c r="I54" s="3">
        <v>0</v>
      </c>
      <c r="J54" s="3">
        <v>1</v>
      </c>
      <c r="K54" s="3">
        <v>95</v>
      </c>
      <c r="L54" s="3">
        <v>65</v>
      </c>
      <c r="M54" s="3">
        <v>0</v>
      </c>
      <c r="N54" s="3">
        <v>78163571</v>
      </c>
      <c r="O54" s="3">
        <v>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78163571</v>
      </c>
      <c r="C1">
        <v>78163344</v>
      </c>
      <c r="D1">
        <v>77806460</v>
      </c>
      <c r="E1">
        <v>37</v>
      </c>
      <c r="F1">
        <v>1</v>
      </c>
      <c r="G1">
        <v>37</v>
      </c>
      <c r="H1">
        <v>1</v>
      </c>
      <c r="I1" t="s">
        <v>130</v>
      </c>
      <c r="J1" t="s">
        <v>3</v>
      </c>
      <c r="K1" t="s">
        <v>131</v>
      </c>
      <c r="L1">
        <v>1191</v>
      </c>
      <c r="N1">
        <v>1013</v>
      </c>
      <c r="O1" t="s">
        <v>132</v>
      </c>
      <c r="P1" t="s">
        <v>132</v>
      </c>
      <c r="Q1">
        <v>1</v>
      </c>
      <c r="W1">
        <v>0</v>
      </c>
      <c r="X1">
        <v>476480486</v>
      </c>
      <c r="Y1">
        <f>(AT1*0.2)</f>
        <v>8.2560000000000002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41.28</v>
      </c>
      <c r="AU1" t="s">
        <v>20</v>
      </c>
      <c r="AV1">
        <v>1</v>
      </c>
      <c r="AW1">
        <v>2</v>
      </c>
      <c r="AX1">
        <v>78163579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17.397043199999999</v>
      </c>
      <c r="CW1">
        <v>0</v>
      </c>
      <c r="CX1">
        <f>ROUND(Y1*Source!I28,9)</f>
        <v>17.397043199999999</v>
      </c>
      <c r="CY1">
        <f>AD1</f>
        <v>0</v>
      </c>
      <c r="CZ1">
        <f>AH1</f>
        <v>0</v>
      </c>
      <c r="DA1">
        <f>AL1</f>
        <v>1</v>
      </c>
      <c r="DB1">
        <f>ROUND((ROUND(AT1*CZ1,2)*0.2),6)</f>
        <v>0</v>
      </c>
      <c r="DC1">
        <f>ROUND((ROUND(AT1*AG1,2)*0.2),6)</f>
        <v>0</v>
      </c>
      <c r="DD1" t="s">
        <v>3</v>
      </c>
      <c r="DE1" t="s">
        <v>3</v>
      </c>
      <c r="DF1">
        <f t="shared" ref="DF1:DF32" si="0">ROUND(ROUND(AE1,2)*CX1,2)</f>
        <v>0</v>
      </c>
      <c r="DG1">
        <f t="shared" ref="DG1:DG32" si="1">ROUND(ROUND(AF1,2)*CX1,2)</f>
        <v>0</v>
      </c>
      <c r="DH1">
        <f t="shared" ref="DH1:DH32" si="2">ROUND(ROUND(AG1,2)*CX1,2)</f>
        <v>0</v>
      </c>
      <c r="DI1">
        <f t="shared" ref="DI1:DI32" si="3">ROUND(ROUND(AH1,2)*CX1,2)</f>
        <v>0</v>
      </c>
      <c r="DJ1">
        <f>DI1</f>
        <v>0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78163571</v>
      </c>
      <c r="C2">
        <v>78163344</v>
      </c>
      <c r="D2">
        <v>77807931</v>
      </c>
      <c r="E2">
        <v>1</v>
      </c>
      <c r="F2">
        <v>1</v>
      </c>
      <c r="G2">
        <v>37</v>
      </c>
      <c r="H2">
        <v>2</v>
      </c>
      <c r="I2" t="s">
        <v>133</v>
      </c>
      <c r="J2" t="s">
        <v>134</v>
      </c>
      <c r="K2" t="s">
        <v>135</v>
      </c>
      <c r="L2">
        <v>1368</v>
      </c>
      <c r="N2">
        <v>1011</v>
      </c>
      <c r="O2" t="s">
        <v>136</v>
      </c>
      <c r="P2" t="s">
        <v>136</v>
      </c>
      <c r="Q2">
        <v>1</v>
      </c>
      <c r="W2">
        <v>0</v>
      </c>
      <c r="X2">
        <v>1477707851</v>
      </c>
      <c r="Y2">
        <f>(AT2*0.2)</f>
        <v>8.4000000000000005E-2</v>
      </c>
      <c r="AA2">
        <v>0</v>
      </c>
      <c r="AB2">
        <v>60.72</v>
      </c>
      <c r="AC2">
        <v>0.55000000000000004</v>
      </c>
      <c r="AD2">
        <v>0</v>
      </c>
      <c r="AE2">
        <v>0</v>
      </c>
      <c r="AF2">
        <v>60.72</v>
      </c>
      <c r="AG2">
        <v>0.55000000000000004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0.42</v>
      </c>
      <c r="AU2" t="s">
        <v>20</v>
      </c>
      <c r="AV2">
        <v>0</v>
      </c>
      <c r="AW2">
        <v>2</v>
      </c>
      <c r="AX2">
        <v>78163580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0.17700479999999999</v>
      </c>
      <c r="CY2">
        <f>AB2</f>
        <v>60.72</v>
      </c>
      <c r="CZ2">
        <f>AF2</f>
        <v>60.72</v>
      </c>
      <c r="DA2">
        <f>AJ2</f>
        <v>1</v>
      </c>
      <c r="DB2">
        <f>ROUND((ROUND(AT2*CZ2,2)*0.2),6)</f>
        <v>5.0999999999999996</v>
      </c>
      <c r="DC2">
        <f>ROUND((ROUND(AT2*AG2,2)*0.2),6)</f>
        <v>4.5999999999999999E-2</v>
      </c>
      <c r="DD2" t="s">
        <v>3</v>
      </c>
      <c r="DE2" t="s">
        <v>3</v>
      </c>
      <c r="DF2">
        <f t="shared" si="0"/>
        <v>0</v>
      </c>
      <c r="DG2">
        <f t="shared" si="1"/>
        <v>10.75</v>
      </c>
      <c r="DH2">
        <f t="shared" si="2"/>
        <v>0.1</v>
      </c>
      <c r="DI2">
        <f t="shared" si="3"/>
        <v>0</v>
      </c>
      <c r="DJ2">
        <f>DG2</f>
        <v>10.75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78163571</v>
      </c>
      <c r="C3">
        <v>78163344</v>
      </c>
      <c r="D3">
        <v>77808392</v>
      </c>
      <c r="E3">
        <v>1</v>
      </c>
      <c r="F3">
        <v>1</v>
      </c>
      <c r="G3">
        <v>37</v>
      </c>
      <c r="H3">
        <v>2</v>
      </c>
      <c r="I3" t="s">
        <v>137</v>
      </c>
      <c r="J3" t="s">
        <v>138</v>
      </c>
      <c r="K3" t="s">
        <v>139</v>
      </c>
      <c r="L3">
        <v>1368</v>
      </c>
      <c r="N3">
        <v>1011</v>
      </c>
      <c r="O3" t="s">
        <v>136</v>
      </c>
      <c r="P3" t="s">
        <v>136</v>
      </c>
      <c r="Q3">
        <v>1</v>
      </c>
      <c r="W3">
        <v>0</v>
      </c>
      <c r="X3">
        <v>246536153</v>
      </c>
      <c r="Y3">
        <f>(AT3*0.2)</f>
        <v>1.54</v>
      </c>
      <c r="AA3">
        <v>0</v>
      </c>
      <c r="AB3">
        <v>33.69</v>
      </c>
      <c r="AC3">
        <v>0.03</v>
      </c>
      <c r="AD3">
        <v>0</v>
      </c>
      <c r="AE3">
        <v>0</v>
      </c>
      <c r="AF3">
        <v>33.69</v>
      </c>
      <c r="AG3">
        <v>0.03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7.7</v>
      </c>
      <c r="AU3" t="s">
        <v>20</v>
      </c>
      <c r="AV3">
        <v>0</v>
      </c>
      <c r="AW3">
        <v>2</v>
      </c>
      <c r="AX3">
        <v>78163581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3.245088</v>
      </c>
      <c r="CY3">
        <f>AB3</f>
        <v>33.69</v>
      </c>
      <c r="CZ3">
        <f>AF3</f>
        <v>33.69</v>
      </c>
      <c r="DA3">
        <f>AJ3</f>
        <v>1</v>
      </c>
      <c r="DB3">
        <f>ROUND((ROUND(AT3*CZ3,2)*0.2),6)</f>
        <v>51.881999999999998</v>
      </c>
      <c r="DC3">
        <f>ROUND((ROUND(AT3*AG3,2)*0.2),6)</f>
        <v>4.5999999999999999E-2</v>
      </c>
      <c r="DD3" t="s">
        <v>3</v>
      </c>
      <c r="DE3" t="s">
        <v>3</v>
      </c>
      <c r="DF3">
        <f t="shared" si="0"/>
        <v>0</v>
      </c>
      <c r="DG3">
        <f t="shared" si="1"/>
        <v>109.33</v>
      </c>
      <c r="DH3">
        <f t="shared" si="2"/>
        <v>0.1</v>
      </c>
      <c r="DI3">
        <f t="shared" si="3"/>
        <v>0</v>
      </c>
      <c r="DJ3">
        <f>DG3</f>
        <v>109.33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ROW(Source!A28)</f>
        <v>28</v>
      </c>
      <c r="B4">
        <v>78163571</v>
      </c>
      <c r="C4">
        <v>78163344</v>
      </c>
      <c r="D4">
        <v>77807605</v>
      </c>
      <c r="E4">
        <v>1</v>
      </c>
      <c r="F4">
        <v>1</v>
      </c>
      <c r="G4">
        <v>37</v>
      </c>
      <c r="H4">
        <v>2</v>
      </c>
      <c r="I4" t="s">
        <v>140</v>
      </c>
      <c r="J4" t="s">
        <v>141</v>
      </c>
      <c r="K4" t="s">
        <v>142</v>
      </c>
      <c r="L4">
        <v>1368</v>
      </c>
      <c r="N4">
        <v>1011</v>
      </c>
      <c r="O4" t="s">
        <v>136</v>
      </c>
      <c r="P4" t="s">
        <v>136</v>
      </c>
      <c r="Q4">
        <v>1</v>
      </c>
      <c r="W4">
        <v>0</v>
      </c>
      <c r="X4">
        <v>726862742</v>
      </c>
      <c r="Y4">
        <f>(AT4*0.2)</f>
        <v>0.79200000000000004</v>
      </c>
      <c r="AA4">
        <v>0</v>
      </c>
      <c r="AB4">
        <v>14.52</v>
      </c>
      <c r="AC4">
        <v>0.03</v>
      </c>
      <c r="AD4">
        <v>0</v>
      </c>
      <c r="AE4">
        <v>0</v>
      </c>
      <c r="AF4">
        <v>14.52</v>
      </c>
      <c r="AG4">
        <v>0.03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3.96</v>
      </c>
      <c r="AU4" t="s">
        <v>20</v>
      </c>
      <c r="AV4">
        <v>0</v>
      </c>
      <c r="AW4">
        <v>2</v>
      </c>
      <c r="AX4">
        <v>78163582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1.6689023999999999</v>
      </c>
      <c r="CY4">
        <f>AB4</f>
        <v>14.52</v>
      </c>
      <c r="CZ4">
        <f>AF4</f>
        <v>14.52</v>
      </c>
      <c r="DA4">
        <f>AJ4</f>
        <v>1</v>
      </c>
      <c r="DB4">
        <f>ROUND((ROUND(AT4*CZ4,2)*0.2),6)</f>
        <v>11.5</v>
      </c>
      <c r="DC4">
        <f>ROUND((ROUND(AT4*AG4,2)*0.2),6)</f>
        <v>2.4E-2</v>
      </c>
      <c r="DD4" t="s">
        <v>3</v>
      </c>
      <c r="DE4" t="s">
        <v>3</v>
      </c>
      <c r="DF4">
        <f t="shared" si="0"/>
        <v>0</v>
      </c>
      <c r="DG4">
        <f t="shared" si="1"/>
        <v>24.23</v>
      </c>
      <c r="DH4">
        <f t="shared" si="2"/>
        <v>0.05</v>
      </c>
      <c r="DI4">
        <f t="shared" si="3"/>
        <v>0</v>
      </c>
      <c r="DJ4">
        <f>DG4</f>
        <v>24.23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ROW(Source!A28)</f>
        <v>28</v>
      </c>
      <c r="B5">
        <v>78163571</v>
      </c>
      <c r="C5">
        <v>78163344</v>
      </c>
      <c r="D5">
        <v>77809525</v>
      </c>
      <c r="E5">
        <v>1</v>
      </c>
      <c r="F5">
        <v>1</v>
      </c>
      <c r="G5">
        <v>37</v>
      </c>
      <c r="H5">
        <v>3</v>
      </c>
      <c r="I5" t="s">
        <v>143</v>
      </c>
      <c r="J5" t="s">
        <v>144</v>
      </c>
      <c r="K5" t="s">
        <v>145</v>
      </c>
      <c r="L5">
        <v>1348</v>
      </c>
      <c r="N5">
        <v>1009</v>
      </c>
      <c r="O5" t="s">
        <v>17</v>
      </c>
      <c r="P5" t="s">
        <v>17</v>
      </c>
      <c r="Q5">
        <v>1000</v>
      </c>
      <c r="W5">
        <v>0</v>
      </c>
      <c r="X5">
        <v>-1470955817</v>
      </c>
      <c r="Y5">
        <f>(AT5*0)</f>
        <v>0</v>
      </c>
      <c r="AA5">
        <v>173260.69</v>
      </c>
      <c r="AB5">
        <v>0</v>
      </c>
      <c r="AC5">
        <v>0</v>
      </c>
      <c r="AD5">
        <v>0</v>
      </c>
      <c r="AE5">
        <v>173260.69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1.0500000000000001E-2</v>
      </c>
      <c r="AU5" t="s">
        <v>19</v>
      </c>
      <c r="AV5">
        <v>0</v>
      </c>
      <c r="AW5">
        <v>2</v>
      </c>
      <c r="AX5">
        <v>78163583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0</v>
      </c>
      <c r="CY5">
        <f>AA5</f>
        <v>173260.69</v>
      </c>
      <c r="CZ5">
        <f>AE5</f>
        <v>173260.69</v>
      </c>
      <c r="DA5">
        <f>AI5</f>
        <v>1</v>
      </c>
      <c r="DB5">
        <f>ROUND((ROUND(AT5*CZ5,2)*0),6)</f>
        <v>0</v>
      </c>
      <c r="DC5">
        <f>ROUND((ROUND(AT5*AG5,2)*0),6)</f>
        <v>0</v>
      </c>
      <c r="DD5" t="s">
        <v>3</v>
      </c>
      <c r="DE5" t="s">
        <v>3</v>
      </c>
      <c r="DF5">
        <f t="shared" si="0"/>
        <v>0</v>
      </c>
      <c r="DG5">
        <f t="shared" si="1"/>
        <v>0</v>
      </c>
      <c r="DH5">
        <f t="shared" si="2"/>
        <v>0</v>
      </c>
      <c r="DI5">
        <f t="shared" si="3"/>
        <v>0</v>
      </c>
      <c r="DJ5">
        <f>DF5</f>
        <v>0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ROW(Source!A28)</f>
        <v>28</v>
      </c>
      <c r="B6">
        <v>78163571</v>
      </c>
      <c r="C6">
        <v>78163344</v>
      </c>
      <c r="D6">
        <v>77810399</v>
      </c>
      <c r="E6">
        <v>1</v>
      </c>
      <c r="F6">
        <v>1</v>
      </c>
      <c r="G6">
        <v>37</v>
      </c>
      <c r="H6">
        <v>3</v>
      </c>
      <c r="I6" t="s">
        <v>146</v>
      </c>
      <c r="J6" t="s">
        <v>147</v>
      </c>
      <c r="K6" t="s">
        <v>148</v>
      </c>
      <c r="L6">
        <v>1348</v>
      </c>
      <c r="N6">
        <v>1009</v>
      </c>
      <c r="O6" t="s">
        <v>17</v>
      </c>
      <c r="P6" t="s">
        <v>17</v>
      </c>
      <c r="Q6">
        <v>1000</v>
      </c>
      <c r="W6">
        <v>0</v>
      </c>
      <c r="X6">
        <v>1930382025</v>
      </c>
      <c r="Y6">
        <f>(AT6*0)</f>
        <v>0</v>
      </c>
      <c r="AA6">
        <v>106831.32</v>
      </c>
      <c r="AB6">
        <v>0</v>
      </c>
      <c r="AC6">
        <v>0</v>
      </c>
      <c r="AD6">
        <v>0</v>
      </c>
      <c r="AE6">
        <v>106831.32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4.0000000000000001E-3</v>
      </c>
      <c r="AU6" t="s">
        <v>19</v>
      </c>
      <c r="AV6">
        <v>0</v>
      </c>
      <c r="AW6">
        <v>2</v>
      </c>
      <c r="AX6">
        <v>78163584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0</v>
      </c>
      <c r="CY6">
        <f>AA6</f>
        <v>106831.32</v>
      </c>
      <c r="CZ6">
        <f>AE6</f>
        <v>106831.32</v>
      </c>
      <c r="DA6">
        <f>AI6</f>
        <v>1</v>
      </c>
      <c r="DB6">
        <f>ROUND((ROUND(AT6*CZ6,2)*0),6)</f>
        <v>0</v>
      </c>
      <c r="DC6">
        <f>ROUND((ROUND(AT6*AG6,2)*0),6)</f>
        <v>0</v>
      </c>
      <c r="DD6" t="s">
        <v>3</v>
      </c>
      <c r="DE6" t="s">
        <v>3</v>
      </c>
      <c r="DF6">
        <f t="shared" si="0"/>
        <v>0</v>
      </c>
      <c r="DG6">
        <f t="shared" si="1"/>
        <v>0</v>
      </c>
      <c r="DH6">
        <f t="shared" si="2"/>
        <v>0</v>
      </c>
      <c r="DI6">
        <f t="shared" si="3"/>
        <v>0</v>
      </c>
      <c r="DJ6">
        <f>DF6</f>
        <v>0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ROW(Source!A28)</f>
        <v>28</v>
      </c>
      <c r="B7">
        <v>78163571</v>
      </c>
      <c r="C7">
        <v>78163344</v>
      </c>
      <c r="D7">
        <v>77812637</v>
      </c>
      <c r="E7">
        <v>1</v>
      </c>
      <c r="F7">
        <v>1</v>
      </c>
      <c r="G7">
        <v>37</v>
      </c>
      <c r="H7">
        <v>3</v>
      </c>
      <c r="I7" t="s">
        <v>149</v>
      </c>
      <c r="J7" t="s">
        <v>150</v>
      </c>
      <c r="K7" t="s">
        <v>151</v>
      </c>
      <c r="L7">
        <v>1348</v>
      </c>
      <c r="N7">
        <v>1009</v>
      </c>
      <c r="O7" t="s">
        <v>17</v>
      </c>
      <c r="P7" t="s">
        <v>17</v>
      </c>
      <c r="Q7">
        <v>1000</v>
      </c>
      <c r="W7">
        <v>0</v>
      </c>
      <c r="X7">
        <v>-507214976</v>
      </c>
      <c r="Y7">
        <f>(AT7*0)</f>
        <v>0</v>
      </c>
      <c r="AA7">
        <v>160649.89000000001</v>
      </c>
      <c r="AB7">
        <v>0</v>
      </c>
      <c r="AC7">
        <v>0</v>
      </c>
      <c r="AD7">
        <v>0</v>
      </c>
      <c r="AE7">
        <v>160649.89000000001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1E-3</v>
      </c>
      <c r="AU7" t="s">
        <v>19</v>
      </c>
      <c r="AV7">
        <v>0</v>
      </c>
      <c r="AW7">
        <v>2</v>
      </c>
      <c r="AX7">
        <v>78163585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</v>
      </c>
      <c r="CY7">
        <f>AA7</f>
        <v>160649.89000000001</v>
      </c>
      <c r="CZ7">
        <f>AE7</f>
        <v>160649.89000000001</v>
      </c>
      <c r="DA7">
        <f>AI7</f>
        <v>1</v>
      </c>
      <c r="DB7">
        <f>ROUND((ROUND(AT7*CZ7,2)*0),6)</f>
        <v>0</v>
      </c>
      <c r="DC7">
        <f>ROUND((ROUND(AT7*AG7,2)*0),6)</f>
        <v>0</v>
      </c>
      <c r="DD7" t="s">
        <v>3</v>
      </c>
      <c r="DE7" t="s">
        <v>3</v>
      </c>
      <c r="DF7">
        <f t="shared" si="0"/>
        <v>0</v>
      </c>
      <c r="DG7">
        <f t="shared" si="1"/>
        <v>0</v>
      </c>
      <c r="DH7">
        <f t="shared" si="2"/>
        <v>0</v>
      </c>
      <c r="DI7">
        <f t="shared" si="3"/>
        <v>0</v>
      </c>
      <c r="DJ7">
        <f>DF7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ROW(Source!A28)</f>
        <v>28</v>
      </c>
      <c r="B8">
        <v>78163571</v>
      </c>
      <c r="C8">
        <v>78163344</v>
      </c>
      <c r="D8">
        <v>77812651</v>
      </c>
      <c r="E8">
        <v>1</v>
      </c>
      <c r="F8">
        <v>1</v>
      </c>
      <c r="G8">
        <v>37</v>
      </c>
      <c r="H8">
        <v>3</v>
      </c>
      <c r="I8" t="s">
        <v>152</v>
      </c>
      <c r="J8" t="s">
        <v>153</v>
      </c>
      <c r="K8" t="s">
        <v>154</v>
      </c>
      <c r="L8">
        <v>1348</v>
      </c>
      <c r="N8">
        <v>1009</v>
      </c>
      <c r="O8" t="s">
        <v>17</v>
      </c>
      <c r="P8" t="s">
        <v>17</v>
      </c>
      <c r="Q8">
        <v>1000</v>
      </c>
      <c r="W8">
        <v>0</v>
      </c>
      <c r="X8">
        <v>-115899999</v>
      </c>
      <c r="Y8">
        <f>(AT8*0)</f>
        <v>0</v>
      </c>
      <c r="AA8">
        <v>153505.48000000001</v>
      </c>
      <c r="AB8">
        <v>0</v>
      </c>
      <c r="AC8">
        <v>0</v>
      </c>
      <c r="AD8">
        <v>0</v>
      </c>
      <c r="AE8">
        <v>153505.48000000001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1</v>
      </c>
      <c r="AU8" t="s">
        <v>19</v>
      </c>
      <c r="AV8">
        <v>0</v>
      </c>
      <c r="AW8">
        <v>2</v>
      </c>
      <c r="AX8">
        <v>78163586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0</v>
      </c>
      <c r="CY8">
        <f>AA8</f>
        <v>153505.48000000001</v>
      </c>
      <c r="CZ8">
        <f>AE8</f>
        <v>153505.48000000001</v>
      </c>
      <c r="DA8">
        <f>AI8</f>
        <v>1</v>
      </c>
      <c r="DB8">
        <f>ROUND((ROUND(AT8*CZ8,2)*0),6)</f>
        <v>0</v>
      </c>
      <c r="DC8">
        <f>ROUND((ROUND(AT8*AG8,2)*0),6)</f>
        <v>0</v>
      </c>
      <c r="DD8" t="s">
        <v>3</v>
      </c>
      <c r="DE8" t="s">
        <v>3</v>
      </c>
      <c r="DF8">
        <f t="shared" si="0"/>
        <v>0</v>
      </c>
      <c r="DG8">
        <f t="shared" si="1"/>
        <v>0</v>
      </c>
      <c r="DH8">
        <f t="shared" si="2"/>
        <v>0</v>
      </c>
      <c r="DI8">
        <f t="shared" si="3"/>
        <v>0</v>
      </c>
      <c r="DJ8">
        <f>DF8</f>
        <v>0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ROW(Source!A29)</f>
        <v>29</v>
      </c>
      <c r="B9">
        <v>78163571</v>
      </c>
      <c r="C9">
        <v>78163361</v>
      </c>
      <c r="D9">
        <v>77806460</v>
      </c>
      <c r="E9">
        <v>37</v>
      </c>
      <c r="F9">
        <v>1</v>
      </c>
      <c r="G9">
        <v>37</v>
      </c>
      <c r="H9">
        <v>1</v>
      </c>
      <c r="I9" t="s">
        <v>130</v>
      </c>
      <c r="J9" t="s">
        <v>3</v>
      </c>
      <c r="K9" t="s">
        <v>131</v>
      </c>
      <c r="L9">
        <v>1191</v>
      </c>
      <c r="N9">
        <v>1013</v>
      </c>
      <c r="O9" t="s">
        <v>132</v>
      </c>
      <c r="P9" t="s">
        <v>132</v>
      </c>
      <c r="Q9">
        <v>1</v>
      </c>
      <c r="W9">
        <v>0</v>
      </c>
      <c r="X9">
        <v>476480486</v>
      </c>
      <c r="Y9">
        <f t="shared" ref="Y9:Y51" si="4">AT9</f>
        <v>41.28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41.28</v>
      </c>
      <c r="AU9" t="s">
        <v>3</v>
      </c>
      <c r="AV9">
        <v>1</v>
      </c>
      <c r="AW9">
        <v>2</v>
      </c>
      <c r="AX9">
        <v>78163587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ROUND(AT9*Source!I29*AH9*AL9,2)</f>
        <v>0</v>
      </c>
      <c r="CV9">
        <f>ROUND(Y9*Source!I29,9)</f>
        <v>86.985215999999994</v>
      </c>
      <c r="CW9">
        <v>0</v>
      </c>
      <c r="CX9">
        <f>ROUND(Y9*Source!I29,9)</f>
        <v>86.985215999999994</v>
      </c>
      <c r="CY9">
        <f>AD9</f>
        <v>0</v>
      </c>
      <c r="CZ9">
        <f>AH9</f>
        <v>0</v>
      </c>
      <c r="DA9">
        <f>AL9</f>
        <v>1</v>
      </c>
      <c r="DB9">
        <f t="shared" ref="DB9:DB51" si="5">ROUND(ROUND(AT9*CZ9,2),6)</f>
        <v>0</v>
      </c>
      <c r="DC9">
        <f t="shared" ref="DC9:DC51" si="6">ROUND(ROUND(AT9*AG9,2),6)</f>
        <v>0</v>
      </c>
      <c r="DD9" t="s">
        <v>3</v>
      </c>
      <c r="DE9" t="s">
        <v>3</v>
      </c>
      <c r="DF9">
        <f t="shared" si="0"/>
        <v>0</v>
      </c>
      <c r="DG9">
        <f t="shared" si="1"/>
        <v>0</v>
      </c>
      <c r="DH9">
        <f t="shared" si="2"/>
        <v>0</v>
      </c>
      <c r="DI9">
        <f t="shared" si="3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ROW(Source!A29)</f>
        <v>29</v>
      </c>
      <c r="B10">
        <v>78163571</v>
      </c>
      <c r="C10">
        <v>78163361</v>
      </c>
      <c r="D10">
        <v>77807931</v>
      </c>
      <c r="E10">
        <v>1</v>
      </c>
      <c r="F10">
        <v>1</v>
      </c>
      <c r="G10">
        <v>37</v>
      </c>
      <c r="H10">
        <v>2</v>
      </c>
      <c r="I10" t="s">
        <v>133</v>
      </c>
      <c r="J10" t="s">
        <v>134</v>
      </c>
      <c r="K10" t="s">
        <v>135</v>
      </c>
      <c r="L10">
        <v>1368</v>
      </c>
      <c r="N10">
        <v>1011</v>
      </c>
      <c r="O10" t="s">
        <v>136</v>
      </c>
      <c r="P10" t="s">
        <v>136</v>
      </c>
      <c r="Q10">
        <v>1</v>
      </c>
      <c r="W10">
        <v>0</v>
      </c>
      <c r="X10">
        <v>1477707851</v>
      </c>
      <c r="Y10">
        <f t="shared" si="4"/>
        <v>0.42</v>
      </c>
      <c r="AA10">
        <v>0</v>
      </c>
      <c r="AB10">
        <v>60.72</v>
      </c>
      <c r="AC10">
        <v>0.55000000000000004</v>
      </c>
      <c r="AD10">
        <v>0</v>
      </c>
      <c r="AE10">
        <v>0</v>
      </c>
      <c r="AF10">
        <v>60.72</v>
      </c>
      <c r="AG10">
        <v>0.55000000000000004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3</v>
      </c>
      <c r="AT10">
        <v>0.42</v>
      </c>
      <c r="AU10" t="s">
        <v>3</v>
      </c>
      <c r="AV10">
        <v>0</v>
      </c>
      <c r="AW10">
        <v>2</v>
      </c>
      <c r="AX10">
        <v>78163588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ROUND(Y10*Source!I29*DO10,9)</f>
        <v>0</v>
      </c>
      <c r="CX10">
        <f>ROUND(Y10*Source!I29,9)</f>
        <v>0.88502400000000003</v>
      </c>
      <c r="CY10">
        <f>AB10</f>
        <v>60.72</v>
      </c>
      <c r="CZ10">
        <f>AF10</f>
        <v>60.72</v>
      </c>
      <c r="DA10">
        <f>AJ10</f>
        <v>1</v>
      </c>
      <c r="DB10">
        <f t="shared" si="5"/>
        <v>25.5</v>
      </c>
      <c r="DC10">
        <f t="shared" si="6"/>
        <v>0.23</v>
      </c>
      <c r="DD10" t="s">
        <v>3</v>
      </c>
      <c r="DE10" t="s">
        <v>3</v>
      </c>
      <c r="DF10">
        <f t="shared" si="0"/>
        <v>0</v>
      </c>
      <c r="DG10">
        <f t="shared" si="1"/>
        <v>53.74</v>
      </c>
      <c r="DH10">
        <f t="shared" si="2"/>
        <v>0.49</v>
      </c>
      <c r="DI10">
        <f t="shared" si="3"/>
        <v>0</v>
      </c>
      <c r="DJ10">
        <f>DG10</f>
        <v>53.74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ROW(Source!A29)</f>
        <v>29</v>
      </c>
      <c r="B11">
        <v>78163571</v>
      </c>
      <c r="C11">
        <v>78163361</v>
      </c>
      <c r="D11">
        <v>77808392</v>
      </c>
      <c r="E11">
        <v>1</v>
      </c>
      <c r="F11">
        <v>1</v>
      </c>
      <c r="G11">
        <v>37</v>
      </c>
      <c r="H11">
        <v>2</v>
      </c>
      <c r="I11" t="s">
        <v>137</v>
      </c>
      <c r="J11" t="s">
        <v>138</v>
      </c>
      <c r="K11" t="s">
        <v>139</v>
      </c>
      <c r="L11">
        <v>1368</v>
      </c>
      <c r="N11">
        <v>1011</v>
      </c>
      <c r="O11" t="s">
        <v>136</v>
      </c>
      <c r="P11" t="s">
        <v>136</v>
      </c>
      <c r="Q11">
        <v>1</v>
      </c>
      <c r="W11">
        <v>0</v>
      </c>
      <c r="X11">
        <v>246536153</v>
      </c>
      <c r="Y11">
        <f t="shared" si="4"/>
        <v>7.7</v>
      </c>
      <c r="AA11">
        <v>0</v>
      </c>
      <c r="AB11">
        <v>33.69</v>
      </c>
      <c r="AC11">
        <v>0.03</v>
      </c>
      <c r="AD11">
        <v>0</v>
      </c>
      <c r="AE11">
        <v>0</v>
      </c>
      <c r="AF11">
        <v>33.69</v>
      </c>
      <c r="AG11">
        <v>0.03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7.7</v>
      </c>
      <c r="AU11" t="s">
        <v>3</v>
      </c>
      <c r="AV11">
        <v>0</v>
      </c>
      <c r="AW11">
        <v>2</v>
      </c>
      <c r="AX11">
        <v>78163589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ROUND(Y11*Source!I29*DO11,9)</f>
        <v>0</v>
      </c>
      <c r="CX11">
        <f>ROUND(Y11*Source!I29,9)</f>
        <v>16.225439999999999</v>
      </c>
      <c r="CY11">
        <f>AB11</f>
        <v>33.69</v>
      </c>
      <c r="CZ11">
        <f>AF11</f>
        <v>33.69</v>
      </c>
      <c r="DA11">
        <f>AJ11</f>
        <v>1</v>
      </c>
      <c r="DB11">
        <f t="shared" si="5"/>
        <v>259.41000000000003</v>
      </c>
      <c r="DC11">
        <f t="shared" si="6"/>
        <v>0.23</v>
      </c>
      <c r="DD11" t="s">
        <v>3</v>
      </c>
      <c r="DE11" t="s">
        <v>3</v>
      </c>
      <c r="DF11">
        <f t="shared" si="0"/>
        <v>0</v>
      </c>
      <c r="DG11">
        <f t="shared" si="1"/>
        <v>546.64</v>
      </c>
      <c r="DH11">
        <f t="shared" si="2"/>
        <v>0.49</v>
      </c>
      <c r="DI11">
        <f t="shared" si="3"/>
        <v>0</v>
      </c>
      <c r="DJ11">
        <f>DG11</f>
        <v>546.64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ROW(Source!A29)</f>
        <v>29</v>
      </c>
      <c r="B12">
        <v>78163571</v>
      </c>
      <c r="C12">
        <v>78163361</v>
      </c>
      <c r="D12">
        <v>77807605</v>
      </c>
      <c r="E12">
        <v>1</v>
      </c>
      <c r="F12">
        <v>1</v>
      </c>
      <c r="G12">
        <v>37</v>
      </c>
      <c r="H12">
        <v>2</v>
      </c>
      <c r="I12" t="s">
        <v>140</v>
      </c>
      <c r="J12" t="s">
        <v>141</v>
      </c>
      <c r="K12" t="s">
        <v>142</v>
      </c>
      <c r="L12">
        <v>1368</v>
      </c>
      <c r="N12">
        <v>1011</v>
      </c>
      <c r="O12" t="s">
        <v>136</v>
      </c>
      <c r="P12" t="s">
        <v>136</v>
      </c>
      <c r="Q12">
        <v>1</v>
      </c>
      <c r="W12">
        <v>0</v>
      </c>
      <c r="X12">
        <v>726862742</v>
      </c>
      <c r="Y12">
        <f t="shared" si="4"/>
        <v>3.96</v>
      </c>
      <c r="AA12">
        <v>0</v>
      </c>
      <c r="AB12">
        <v>14.52</v>
      </c>
      <c r="AC12">
        <v>0.03</v>
      </c>
      <c r="AD12">
        <v>0</v>
      </c>
      <c r="AE12">
        <v>0</v>
      </c>
      <c r="AF12">
        <v>14.52</v>
      </c>
      <c r="AG12">
        <v>0.03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3</v>
      </c>
      <c r="AT12">
        <v>3.96</v>
      </c>
      <c r="AU12" t="s">
        <v>3</v>
      </c>
      <c r="AV12">
        <v>0</v>
      </c>
      <c r="AW12">
        <v>2</v>
      </c>
      <c r="AX12">
        <v>78163590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ROUND(Y12*Source!I29*DO12,9)</f>
        <v>0</v>
      </c>
      <c r="CX12">
        <f>ROUND(Y12*Source!I29,9)</f>
        <v>8.3445119999999999</v>
      </c>
      <c r="CY12">
        <f>AB12</f>
        <v>14.52</v>
      </c>
      <c r="CZ12">
        <f>AF12</f>
        <v>14.52</v>
      </c>
      <c r="DA12">
        <f>AJ12</f>
        <v>1</v>
      </c>
      <c r="DB12">
        <f t="shared" si="5"/>
        <v>57.5</v>
      </c>
      <c r="DC12">
        <f t="shared" si="6"/>
        <v>0.12</v>
      </c>
      <c r="DD12" t="s">
        <v>3</v>
      </c>
      <c r="DE12" t="s">
        <v>3</v>
      </c>
      <c r="DF12">
        <f t="shared" si="0"/>
        <v>0</v>
      </c>
      <c r="DG12">
        <f t="shared" si="1"/>
        <v>121.16</v>
      </c>
      <c r="DH12">
        <f t="shared" si="2"/>
        <v>0.25</v>
      </c>
      <c r="DI12">
        <f t="shared" si="3"/>
        <v>0</v>
      </c>
      <c r="DJ12">
        <f>DG12</f>
        <v>121.16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ROW(Source!A29)</f>
        <v>29</v>
      </c>
      <c r="B13">
        <v>78163571</v>
      </c>
      <c r="C13">
        <v>78163361</v>
      </c>
      <c r="D13">
        <v>77809250</v>
      </c>
      <c r="E13">
        <v>1</v>
      </c>
      <c r="F13">
        <v>1</v>
      </c>
      <c r="G13">
        <v>37</v>
      </c>
      <c r="H13">
        <v>3</v>
      </c>
      <c r="I13" t="s">
        <v>28</v>
      </c>
      <c r="J13" t="s">
        <v>30</v>
      </c>
      <c r="K13" t="s">
        <v>29</v>
      </c>
      <c r="L13">
        <v>1348</v>
      </c>
      <c r="N13">
        <v>1009</v>
      </c>
      <c r="O13" t="s">
        <v>17</v>
      </c>
      <c r="P13" t="s">
        <v>17</v>
      </c>
      <c r="Q13">
        <v>1000</v>
      </c>
      <c r="W13">
        <v>0</v>
      </c>
      <c r="X13">
        <v>1059393972</v>
      </c>
      <c r="Y13">
        <f t="shared" si="4"/>
        <v>6.7210000000000006E-2</v>
      </c>
      <c r="AA13">
        <v>52726.39</v>
      </c>
      <c r="AB13">
        <v>0</v>
      </c>
      <c r="AC13">
        <v>0</v>
      </c>
      <c r="AD13">
        <v>0</v>
      </c>
      <c r="AE13">
        <v>52726.39</v>
      </c>
      <c r="AF13">
        <v>0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3</v>
      </c>
      <c r="AT13">
        <v>6.7210000000000006E-2</v>
      </c>
      <c r="AU13" t="s">
        <v>3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ROUND(Y13*Source!I29,9)</f>
        <v>0.14162491199999999</v>
      </c>
      <c r="CY13">
        <f>AA13</f>
        <v>52726.39</v>
      </c>
      <c r="CZ13">
        <f>AE13</f>
        <v>52726.39</v>
      </c>
      <c r="DA13">
        <f>AI13</f>
        <v>1</v>
      </c>
      <c r="DB13">
        <f t="shared" si="5"/>
        <v>3543.74</v>
      </c>
      <c r="DC13">
        <f t="shared" si="6"/>
        <v>0</v>
      </c>
      <c r="DD13" t="s">
        <v>3</v>
      </c>
      <c r="DE13" t="s">
        <v>3</v>
      </c>
      <c r="DF13">
        <f t="shared" si="0"/>
        <v>7467.37</v>
      </c>
      <c r="DG13">
        <f t="shared" si="1"/>
        <v>0</v>
      </c>
      <c r="DH13">
        <f t="shared" si="2"/>
        <v>0</v>
      </c>
      <c r="DI13">
        <f t="shared" si="3"/>
        <v>0</v>
      </c>
      <c r="DJ13">
        <f>DF13</f>
        <v>7467.37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ROW(Source!A29)</f>
        <v>29</v>
      </c>
      <c r="B14">
        <v>78163571</v>
      </c>
      <c r="C14">
        <v>78163361</v>
      </c>
      <c r="D14">
        <v>77809525</v>
      </c>
      <c r="E14">
        <v>1</v>
      </c>
      <c r="F14">
        <v>1</v>
      </c>
      <c r="G14">
        <v>37</v>
      </c>
      <c r="H14">
        <v>3</v>
      </c>
      <c r="I14" t="s">
        <v>143</v>
      </c>
      <c r="J14" t="s">
        <v>144</v>
      </c>
      <c r="K14" t="s">
        <v>145</v>
      </c>
      <c r="L14">
        <v>1348</v>
      </c>
      <c r="N14">
        <v>1009</v>
      </c>
      <c r="O14" t="s">
        <v>17</v>
      </c>
      <c r="P14" t="s">
        <v>17</v>
      </c>
      <c r="Q14">
        <v>1000</v>
      </c>
      <c r="W14">
        <v>0</v>
      </c>
      <c r="X14">
        <v>-1470955817</v>
      </c>
      <c r="Y14">
        <f t="shared" si="4"/>
        <v>1.0500000000000001E-2</v>
      </c>
      <c r="AA14">
        <v>173260.69</v>
      </c>
      <c r="AB14">
        <v>0</v>
      </c>
      <c r="AC14">
        <v>0</v>
      </c>
      <c r="AD14">
        <v>0</v>
      </c>
      <c r="AE14">
        <v>173260.69</v>
      </c>
      <c r="AF14">
        <v>0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M14">
        <v>-2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1.0500000000000001E-2</v>
      </c>
      <c r="AU14" t="s">
        <v>3</v>
      </c>
      <c r="AV14">
        <v>0</v>
      </c>
      <c r="AW14">
        <v>2</v>
      </c>
      <c r="AX14">
        <v>78163591</v>
      </c>
      <c r="AY14">
        <v>1</v>
      </c>
      <c r="AZ14">
        <v>0</v>
      </c>
      <c r="BA14">
        <v>13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ROUND(Y14*Source!I29,9)</f>
        <v>2.2125599999999999E-2</v>
      </c>
      <c r="CY14">
        <f>AA14</f>
        <v>173260.69</v>
      </c>
      <c r="CZ14">
        <f>AE14</f>
        <v>173260.69</v>
      </c>
      <c r="DA14">
        <f>AI14</f>
        <v>1</v>
      </c>
      <c r="DB14">
        <f t="shared" si="5"/>
        <v>1819.24</v>
      </c>
      <c r="DC14">
        <f t="shared" si="6"/>
        <v>0</v>
      </c>
      <c r="DD14" t="s">
        <v>3</v>
      </c>
      <c r="DE14" t="s">
        <v>3</v>
      </c>
      <c r="DF14">
        <f t="shared" si="0"/>
        <v>3833.5</v>
      </c>
      <c r="DG14">
        <f t="shared" si="1"/>
        <v>0</v>
      </c>
      <c r="DH14">
        <f t="shared" si="2"/>
        <v>0</v>
      </c>
      <c r="DI14">
        <f t="shared" si="3"/>
        <v>0</v>
      </c>
      <c r="DJ14">
        <f>DF14</f>
        <v>3833.5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ROW(Source!A29)</f>
        <v>29</v>
      </c>
      <c r="B15">
        <v>78163571</v>
      </c>
      <c r="C15">
        <v>78163361</v>
      </c>
      <c r="D15">
        <v>77810399</v>
      </c>
      <c r="E15">
        <v>1</v>
      </c>
      <c r="F15">
        <v>1</v>
      </c>
      <c r="G15">
        <v>37</v>
      </c>
      <c r="H15">
        <v>3</v>
      </c>
      <c r="I15" t="s">
        <v>146</v>
      </c>
      <c r="J15" t="s">
        <v>147</v>
      </c>
      <c r="K15" t="s">
        <v>148</v>
      </c>
      <c r="L15">
        <v>1348</v>
      </c>
      <c r="N15">
        <v>1009</v>
      </c>
      <c r="O15" t="s">
        <v>17</v>
      </c>
      <c r="P15" t="s">
        <v>17</v>
      </c>
      <c r="Q15">
        <v>1000</v>
      </c>
      <c r="W15">
        <v>0</v>
      </c>
      <c r="X15">
        <v>1930382025</v>
      </c>
      <c r="Y15">
        <f t="shared" si="4"/>
        <v>4.0000000000000001E-3</v>
      </c>
      <c r="AA15">
        <v>106831.32</v>
      </c>
      <c r="AB15">
        <v>0</v>
      </c>
      <c r="AC15">
        <v>0</v>
      </c>
      <c r="AD15">
        <v>0</v>
      </c>
      <c r="AE15">
        <v>106831.32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M15">
        <v>-2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4.0000000000000001E-3</v>
      </c>
      <c r="AU15" t="s">
        <v>3</v>
      </c>
      <c r="AV15">
        <v>0</v>
      </c>
      <c r="AW15">
        <v>2</v>
      </c>
      <c r="AX15">
        <v>78163592</v>
      </c>
      <c r="AY15">
        <v>1</v>
      </c>
      <c r="AZ15">
        <v>0</v>
      </c>
      <c r="BA15">
        <v>14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ROUND(Y15*Source!I29,9)</f>
        <v>8.4288000000000002E-3</v>
      </c>
      <c r="CY15">
        <f>AA15</f>
        <v>106831.32</v>
      </c>
      <c r="CZ15">
        <f>AE15</f>
        <v>106831.32</v>
      </c>
      <c r="DA15">
        <f>AI15</f>
        <v>1</v>
      </c>
      <c r="DB15">
        <f t="shared" si="5"/>
        <v>427.33</v>
      </c>
      <c r="DC15">
        <f t="shared" si="6"/>
        <v>0</v>
      </c>
      <c r="DD15" t="s">
        <v>3</v>
      </c>
      <c r="DE15" t="s">
        <v>3</v>
      </c>
      <c r="DF15">
        <f t="shared" si="0"/>
        <v>900.46</v>
      </c>
      <c r="DG15">
        <f t="shared" si="1"/>
        <v>0</v>
      </c>
      <c r="DH15">
        <f t="shared" si="2"/>
        <v>0</v>
      </c>
      <c r="DI15">
        <f t="shared" si="3"/>
        <v>0</v>
      </c>
      <c r="DJ15">
        <f>DF15</f>
        <v>900.46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ROW(Source!A29)</f>
        <v>29</v>
      </c>
      <c r="B16">
        <v>78163571</v>
      </c>
      <c r="C16">
        <v>78163361</v>
      </c>
      <c r="D16">
        <v>77812637</v>
      </c>
      <c r="E16">
        <v>1</v>
      </c>
      <c r="F16">
        <v>1</v>
      </c>
      <c r="G16">
        <v>37</v>
      </c>
      <c r="H16">
        <v>3</v>
      </c>
      <c r="I16" t="s">
        <v>149</v>
      </c>
      <c r="J16" t="s">
        <v>150</v>
      </c>
      <c r="K16" t="s">
        <v>151</v>
      </c>
      <c r="L16">
        <v>1348</v>
      </c>
      <c r="N16">
        <v>1009</v>
      </c>
      <c r="O16" t="s">
        <v>17</v>
      </c>
      <c r="P16" t="s">
        <v>17</v>
      </c>
      <c r="Q16">
        <v>1000</v>
      </c>
      <c r="W16">
        <v>0</v>
      </c>
      <c r="X16">
        <v>-507214976</v>
      </c>
      <c r="Y16">
        <f t="shared" si="4"/>
        <v>1E-3</v>
      </c>
      <c r="AA16">
        <v>160649.89000000001</v>
      </c>
      <c r="AB16">
        <v>0</v>
      </c>
      <c r="AC16">
        <v>0</v>
      </c>
      <c r="AD16">
        <v>0</v>
      </c>
      <c r="AE16">
        <v>160649.89000000001</v>
      </c>
      <c r="AF16">
        <v>0</v>
      </c>
      <c r="AG16">
        <v>0</v>
      </c>
      <c r="AH16">
        <v>0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1E-3</v>
      </c>
      <c r="AU16" t="s">
        <v>3</v>
      </c>
      <c r="AV16">
        <v>0</v>
      </c>
      <c r="AW16">
        <v>2</v>
      </c>
      <c r="AX16">
        <v>78163593</v>
      </c>
      <c r="AY16">
        <v>1</v>
      </c>
      <c r="AZ16">
        <v>0</v>
      </c>
      <c r="BA16">
        <v>15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ROUND(Y16*Source!I29,9)</f>
        <v>2.1072E-3</v>
      </c>
      <c r="CY16">
        <f>AA16</f>
        <v>160649.89000000001</v>
      </c>
      <c r="CZ16">
        <f>AE16</f>
        <v>160649.89000000001</v>
      </c>
      <c r="DA16">
        <f>AI16</f>
        <v>1</v>
      </c>
      <c r="DB16">
        <f t="shared" si="5"/>
        <v>160.65</v>
      </c>
      <c r="DC16">
        <f t="shared" si="6"/>
        <v>0</v>
      </c>
      <c r="DD16" t="s">
        <v>3</v>
      </c>
      <c r="DE16" t="s">
        <v>3</v>
      </c>
      <c r="DF16">
        <f t="shared" si="0"/>
        <v>338.52</v>
      </c>
      <c r="DG16">
        <f t="shared" si="1"/>
        <v>0</v>
      </c>
      <c r="DH16">
        <f t="shared" si="2"/>
        <v>0</v>
      </c>
      <c r="DI16">
        <f t="shared" si="3"/>
        <v>0</v>
      </c>
      <c r="DJ16">
        <f>DF16</f>
        <v>338.52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ROW(Source!A29)</f>
        <v>29</v>
      </c>
      <c r="B17">
        <v>78163571</v>
      </c>
      <c r="C17">
        <v>78163361</v>
      </c>
      <c r="D17">
        <v>77812651</v>
      </c>
      <c r="E17">
        <v>1</v>
      </c>
      <c r="F17">
        <v>1</v>
      </c>
      <c r="G17">
        <v>37</v>
      </c>
      <c r="H17">
        <v>3</v>
      </c>
      <c r="I17" t="s">
        <v>152</v>
      </c>
      <c r="J17" t="s">
        <v>153</v>
      </c>
      <c r="K17" t="s">
        <v>154</v>
      </c>
      <c r="L17">
        <v>1348</v>
      </c>
      <c r="N17">
        <v>1009</v>
      </c>
      <c r="O17" t="s">
        <v>17</v>
      </c>
      <c r="P17" t="s">
        <v>17</v>
      </c>
      <c r="Q17">
        <v>1000</v>
      </c>
      <c r="W17">
        <v>0</v>
      </c>
      <c r="X17">
        <v>-115899999</v>
      </c>
      <c r="Y17">
        <f t="shared" si="4"/>
        <v>1</v>
      </c>
      <c r="AA17">
        <v>153505.48000000001</v>
      </c>
      <c r="AB17">
        <v>0</v>
      </c>
      <c r="AC17">
        <v>0</v>
      </c>
      <c r="AD17">
        <v>0</v>
      </c>
      <c r="AE17">
        <v>153505.48000000001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</v>
      </c>
      <c r="AU17" t="s">
        <v>3</v>
      </c>
      <c r="AV17">
        <v>0</v>
      </c>
      <c r="AW17">
        <v>2</v>
      </c>
      <c r="AX17">
        <v>78163594</v>
      </c>
      <c r="AY17">
        <v>1</v>
      </c>
      <c r="AZ17">
        <v>0</v>
      </c>
      <c r="BA17">
        <v>16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ROUND(Y17*Source!I29,9)</f>
        <v>2.1072000000000002</v>
      </c>
      <c r="CY17">
        <f>AA17</f>
        <v>153505.48000000001</v>
      </c>
      <c r="CZ17">
        <f>AE17</f>
        <v>153505.48000000001</v>
      </c>
      <c r="DA17">
        <f>AI17</f>
        <v>1</v>
      </c>
      <c r="DB17">
        <f t="shared" si="5"/>
        <v>153505.48000000001</v>
      </c>
      <c r="DC17">
        <f t="shared" si="6"/>
        <v>0</v>
      </c>
      <c r="DD17" t="s">
        <v>3</v>
      </c>
      <c r="DE17" t="s">
        <v>3</v>
      </c>
      <c r="DF17">
        <f t="shared" si="0"/>
        <v>323466.75</v>
      </c>
      <c r="DG17">
        <f t="shared" si="1"/>
        <v>0</v>
      </c>
      <c r="DH17">
        <f t="shared" si="2"/>
        <v>0</v>
      </c>
      <c r="DI17">
        <f t="shared" si="3"/>
        <v>0</v>
      </c>
      <c r="DJ17">
        <f>DF17</f>
        <v>323466.75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ROW(Source!A31)</f>
        <v>31</v>
      </c>
      <c r="B18">
        <v>78163571</v>
      </c>
      <c r="C18">
        <v>78163380</v>
      </c>
      <c r="D18">
        <v>77806460</v>
      </c>
      <c r="E18">
        <v>37</v>
      </c>
      <c r="F18">
        <v>1</v>
      </c>
      <c r="G18">
        <v>37</v>
      </c>
      <c r="H18">
        <v>1</v>
      </c>
      <c r="I18" t="s">
        <v>130</v>
      </c>
      <c r="J18" t="s">
        <v>3</v>
      </c>
      <c r="K18" t="s">
        <v>131</v>
      </c>
      <c r="L18">
        <v>1191</v>
      </c>
      <c r="N18">
        <v>1013</v>
      </c>
      <c r="O18" t="s">
        <v>132</v>
      </c>
      <c r="P18" t="s">
        <v>132</v>
      </c>
      <c r="Q18">
        <v>1</v>
      </c>
      <c r="W18">
        <v>0</v>
      </c>
      <c r="X18">
        <v>476480486</v>
      </c>
      <c r="Y18">
        <f t="shared" si="4"/>
        <v>28.63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-2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28.63</v>
      </c>
      <c r="AU18" t="s">
        <v>3</v>
      </c>
      <c r="AV18">
        <v>1</v>
      </c>
      <c r="AW18">
        <v>2</v>
      </c>
      <c r="AX18">
        <v>78163595</v>
      </c>
      <c r="AY18">
        <v>1</v>
      </c>
      <c r="AZ18">
        <v>0</v>
      </c>
      <c r="BA18">
        <v>17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ROUND(AT18*Source!I31*AH18*AL18,2)</f>
        <v>0</v>
      </c>
      <c r="CV18">
        <f>ROUND(Y18*Source!I31,9)</f>
        <v>87.206980000000001</v>
      </c>
      <c r="CW18">
        <v>0</v>
      </c>
      <c r="CX18">
        <f>ROUND(Y18*Source!I31,9)</f>
        <v>87.206980000000001</v>
      </c>
      <c r="CY18">
        <f>AD18</f>
        <v>0</v>
      </c>
      <c r="CZ18">
        <f>AH18</f>
        <v>0</v>
      </c>
      <c r="DA18">
        <f>AL18</f>
        <v>1</v>
      </c>
      <c r="DB18">
        <f t="shared" si="5"/>
        <v>0</v>
      </c>
      <c r="DC18">
        <f t="shared" si="6"/>
        <v>0</v>
      </c>
      <c r="DD18" t="s">
        <v>3</v>
      </c>
      <c r="DE18" t="s">
        <v>3</v>
      </c>
      <c r="DF18">
        <f t="shared" si="0"/>
        <v>0</v>
      </c>
      <c r="DG18">
        <f t="shared" si="1"/>
        <v>0</v>
      </c>
      <c r="DH18">
        <f t="shared" si="2"/>
        <v>0</v>
      </c>
      <c r="DI18">
        <f t="shared" si="3"/>
        <v>0</v>
      </c>
      <c r="DJ18">
        <f>DI18</f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ROW(Source!A31)</f>
        <v>31</v>
      </c>
      <c r="B19">
        <v>78163571</v>
      </c>
      <c r="C19">
        <v>78163380</v>
      </c>
      <c r="D19">
        <v>77807925</v>
      </c>
      <c r="E19">
        <v>1</v>
      </c>
      <c r="F19">
        <v>1</v>
      </c>
      <c r="G19">
        <v>37</v>
      </c>
      <c r="H19">
        <v>2</v>
      </c>
      <c r="I19" t="s">
        <v>155</v>
      </c>
      <c r="J19" t="s">
        <v>156</v>
      </c>
      <c r="K19" t="s">
        <v>157</v>
      </c>
      <c r="L19">
        <v>1368</v>
      </c>
      <c r="N19">
        <v>1011</v>
      </c>
      <c r="O19" t="s">
        <v>136</v>
      </c>
      <c r="P19" t="s">
        <v>136</v>
      </c>
      <c r="Q19">
        <v>1</v>
      </c>
      <c r="W19">
        <v>0</v>
      </c>
      <c r="X19">
        <v>-982416638</v>
      </c>
      <c r="Y19">
        <f t="shared" si="4"/>
        <v>3.53</v>
      </c>
      <c r="AA19">
        <v>0</v>
      </c>
      <c r="AB19">
        <v>34.270000000000003</v>
      </c>
      <c r="AC19">
        <v>0.23</v>
      </c>
      <c r="AD19">
        <v>0</v>
      </c>
      <c r="AE19">
        <v>0</v>
      </c>
      <c r="AF19">
        <v>34.270000000000003</v>
      </c>
      <c r="AG19">
        <v>0.23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3.53</v>
      </c>
      <c r="AU19" t="s">
        <v>3</v>
      </c>
      <c r="AV19">
        <v>0</v>
      </c>
      <c r="AW19">
        <v>2</v>
      </c>
      <c r="AX19">
        <v>78163596</v>
      </c>
      <c r="AY19">
        <v>1</v>
      </c>
      <c r="AZ19">
        <v>0</v>
      </c>
      <c r="BA19">
        <v>18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f>ROUND(Y19*Source!I31*DO19,9)</f>
        <v>0</v>
      </c>
      <c r="CX19">
        <f>ROUND(Y19*Source!I31,9)</f>
        <v>10.75238</v>
      </c>
      <c r="CY19">
        <f>AB19</f>
        <v>34.270000000000003</v>
      </c>
      <c r="CZ19">
        <f>AF19</f>
        <v>34.270000000000003</v>
      </c>
      <c r="DA19">
        <f>AJ19</f>
        <v>1</v>
      </c>
      <c r="DB19">
        <f t="shared" si="5"/>
        <v>120.97</v>
      </c>
      <c r="DC19">
        <f t="shared" si="6"/>
        <v>0.81</v>
      </c>
      <c r="DD19" t="s">
        <v>3</v>
      </c>
      <c r="DE19" t="s">
        <v>3</v>
      </c>
      <c r="DF19">
        <f t="shared" si="0"/>
        <v>0</v>
      </c>
      <c r="DG19">
        <f t="shared" si="1"/>
        <v>368.48</v>
      </c>
      <c r="DH19">
        <f t="shared" si="2"/>
        <v>2.4700000000000002</v>
      </c>
      <c r="DI19">
        <f t="shared" si="3"/>
        <v>0</v>
      </c>
      <c r="DJ19">
        <f>DG19</f>
        <v>368.48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ROW(Source!A31)</f>
        <v>31</v>
      </c>
      <c r="B20">
        <v>78163571</v>
      </c>
      <c r="C20">
        <v>78163380</v>
      </c>
      <c r="D20">
        <v>77808326</v>
      </c>
      <c r="E20">
        <v>1</v>
      </c>
      <c r="F20">
        <v>1</v>
      </c>
      <c r="G20">
        <v>37</v>
      </c>
      <c r="H20">
        <v>2</v>
      </c>
      <c r="I20" t="s">
        <v>158</v>
      </c>
      <c r="J20" t="s">
        <v>159</v>
      </c>
      <c r="K20" t="s">
        <v>160</v>
      </c>
      <c r="L20">
        <v>1368</v>
      </c>
      <c r="N20">
        <v>1011</v>
      </c>
      <c r="O20" t="s">
        <v>136</v>
      </c>
      <c r="P20" t="s">
        <v>136</v>
      </c>
      <c r="Q20">
        <v>1</v>
      </c>
      <c r="W20">
        <v>0</v>
      </c>
      <c r="X20">
        <v>1391077869</v>
      </c>
      <c r="Y20">
        <f t="shared" si="4"/>
        <v>0.03</v>
      </c>
      <c r="AA20">
        <v>0</v>
      </c>
      <c r="AB20">
        <v>1335.8</v>
      </c>
      <c r="AC20">
        <v>668.13</v>
      </c>
      <c r="AD20">
        <v>0</v>
      </c>
      <c r="AE20">
        <v>0</v>
      </c>
      <c r="AF20">
        <v>1335.8</v>
      </c>
      <c r="AG20">
        <v>668.13</v>
      </c>
      <c r="AH20">
        <v>0</v>
      </c>
      <c r="AI20">
        <v>1</v>
      </c>
      <c r="AJ20">
        <v>1</v>
      </c>
      <c r="AK20">
        <v>1</v>
      </c>
      <c r="AL20">
        <v>1</v>
      </c>
      <c r="AM20">
        <v>-2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0.03</v>
      </c>
      <c r="AU20" t="s">
        <v>3</v>
      </c>
      <c r="AV20">
        <v>0</v>
      </c>
      <c r="AW20">
        <v>2</v>
      </c>
      <c r="AX20">
        <v>78163597</v>
      </c>
      <c r="AY20">
        <v>1</v>
      </c>
      <c r="AZ20">
        <v>0</v>
      </c>
      <c r="BA20">
        <v>19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ROUND(Y20*Source!I31*DO20,9)</f>
        <v>0</v>
      </c>
      <c r="CX20">
        <f>ROUND(Y20*Source!I31,9)</f>
        <v>9.1380000000000003E-2</v>
      </c>
      <c r="CY20">
        <f>AB20</f>
        <v>1335.8</v>
      </c>
      <c r="CZ20">
        <f>AF20</f>
        <v>1335.8</v>
      </c>
      <c r="DA20">
        <f>AJ20</f>
        <v>1</v>
      </c>
      <c r="DB20">
        <f t="shared" si="5"/>
        <v>40.07</v>
      </c>
      <c r="DC20">
        <f t="shared" si="6"/>
        <v>20.04</v>
      </c>
      <c r="DD20" t="s">
        <v>3</v>
      </c>
      <c r="DE20" t="s">
        <v>3</v>
      </c>
      <c r="DF20">
        <f t="shared" si="0"/>
        <v>0</v>
      </c>
      <c r="DG20">
        <f t="shared" si="1"/>
        <v>122.07</v>
      </c>
      <c r="DH20">
        <f t="shared" si="2"/>
        <v>61.05</v>
      </c>
      <c r="DI20">
        <f t="shared" si="3"/>
        <v>0</v>
      </c>
      <c r="DJ20">
        <f>DG20</f>
        <v>122.07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ROW(Source!A31)</f>
        <v>31</v>
      </c>
      <c r="B21">
        <v>78163571</v>
      </c>
      <c r="C21">
        <v>78163380</v>
      </c>
      <c r="D21">
        <v>77808366</v>
      </c>
      <c r="E21">
        <v>1</v>
      </c>
      <c r="F21">
        <v>1</v>
      </c>
      <c r="G21">
        <v>37</v>
      </c>
      <c r="H21">
        <v>2</v>
      </c>
      <c r="I21" t="s">
        <v>161</v>
      </c>
      <c r="J21" t="s">
        <v>162</v>
      </c>
      <c r="K21" t="s">
        <v>163</v>
      </c>
      <c r="L21">
        <v>1368</v>
      </c>
      <c r="N21">
        <v>1011</v>
      </c>
      <c r="O21" t="s">
        <v>136</v>
      </c>
      <c r="P21" t="s">
        <v>136</v>
      </c>
      <c r="Q21">
        <v>1</v>
      </c>
      <c r="W21">
        <v>0</v>
      </c>
      <c r="X21">
        <v>-1806812241</v>
      </c>
      <c r="Y21">
        <f t="shared" si="4"/>
        <v>21.46</v>
      </c>
      <c r="AA21">
        <v>0</v>
      </c>
      <c r="AB21">
        <v>4.74</v>
      </c>
      <c r="AC21">
        <v>0.02</v>
      </c>
      <c r="AD21">
        <v>0</v>
      </c>
      <c r="AE21">
        <v>0</v>
      </c>
      <c r="AF21">
        <v>4.74</v>
      </c>
      <c r="AG21">
        <v>0.02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21.46</v>
      </c>
      <c r="AU21" t="s">
        <v>3</v>
      </c>
      <c r="AV21">
        <v>0</v>
      </c>
      <c r="AW21">
        <v>2</v>
      </c>
      <c r="AX21">
        <v>78163598</v>
      </c>
      <c r="AY21">
        <v>1</v>
      </c>
      <c r="AZ21">
        <v>0</v>
      </c>
      <c r="BA21">
        <v>20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f>ROUND(Y21*Source!I31*DO21,9)</f>
        <v>0</v>
      </c>
      <c r="CX21">
        <f>ROUND(Y21*Source!I31,9)</f>
        <v>65.367159999999998</v>
      </c>
      <c r="CY21">
        <f>AB21</f>
        <v>4.74</v>
      </c>
      <c r="CZ21">
        <f>AF21</f>
        <v>4.74</v>
      </c>
      <c r="DA21">
        <f>AJ21</f>
        <v>1</v>
      </c>
      <c r="DB21">
        <f t="shared" si="5"/>
        <v>101.72</v>
      </c>
      <c r="DC21">
        <f t="shared" si="6"/>
        <v>0.43</v>
      </c>
      <c r="DD21" t="s">
        <v>3</v>
      </c>
      <c r="DE21" t="s">
        <v>3</v>
      </c>
      <c r="DF21">
        <f t="shared" si="0"/>
        <v>0</v>
      </c>
      <c r="DG21">
        <f t="shared" si="1"/>
        <v>309.83999999999997</v>
      </c>
      <c r="DH21">
        <f t="shared" si="2"/>
        <v>1.31</v>
      </c>
      <c r="DI21">
        <f t="shared" si="3"/>
        <v>0</v>
      </c>
      <c r="DJ21">
        <f>DG21</f>
        <v>309.83999999999997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ROW(Source!A31)</f>
        <v>31</v>
      </c>
      <c r="B22">
        <v>78163571</v>
      </c>
      <c r="C22">
        <v>78163380</v>
      </c>
      <c r="D22">
        <v>77808375</v>
      </c>
      <c r="E22">
        <v>1</v>
      </c>
      <c r="F22">
        <v>1</v>
      </c>
      <c r="G22">
        <v>37</v>
      </c>
      <c r="H22">
        <v>2</v>
      </c>
      <c r="I22" t="s">
        <v>164</v>
      </c>
      <c r="J22" t="s">
        <v>165</v>
      </c>
      <c r="K22" t="s">
        <v>166</v>
      </c>
      <c r="L22">
        <v>1368</v>
      </c>
      <c r="N22">
        <v>1011</v>
      </c>
      <c r="O22" t="s">
        <v>136</v>
      </c>
      <c r="P22" t="s">
        <v>136</v>
      </c>
      <c r="Q22">
        <v>1</v>
      </c>
      <c r="W22">
        <v>0</v>
      </c>
      <c r="X22">
        <v>-959077724</v>
      </c>
      <c r="Y22">
        <f t="shared" si="4"/>
        <v>0.19</v>
      </c>
      <c r="AA22">
        <v>0</v>
      </c>
      <c r="AB22">
        <v>17.14</v>
      </c>
      <c r="AC22">
        <v>1.33</v>
      </c>
      <c r="AD22">
        <v>0</v>
      </c>
      <c r="AE22">
        <v>0</v>
      </c>
      <c r="AF22">
        <v>17.14</v>
      </c>
      <c r="AG22">
        <v>1.33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1</v>
      </c>
      <c r="AP22">
        <v>0</v>
      </c>
      <c r="AQ22">
        <v>0</v>
      </c>
      <c r="AR22">
        <v>0</v>
      </c>
      <c r="AS22" t="s">
        <v>3</v>
      </c>
      <c r="AT22">
        <v>0.19</v>
      </c>
      <c r="AU22" t="s">
        <v>3</v>
      </c>
      <c r="AV22">
        <v>0</v>
      </c>
      <c r="AW22">
        <v>2</v>
      </c>
      <c r="AX22">
        <v>78163599</v>
      </c>
      <c r="AY22">
        <v>1</v>
      </c>
      <c r="AZ22">
        <v>0</v>
      </c>
      <c r="BA22">
        <v>21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f>ROUND(Y22*Source!I31*DO22,9)</f>
        <v>0</v>
      </c>
      <c r="CX22">
        <f>ROUND(Y22*Source!I31,9)</f>
        <v>0.57874000000000003</v>
      </c>
      <c r="CY22">
        <f>AB22</f>
        <v>17.14</v>
      </c>
      <c r="CZ22">
        <f>AF22</f>
        <v>17.14</v>
      </c>
      <c r="DA22">
        <f>AJ22</f>
        <v>1</v>
      </c>
      <c r="DB22">
        <f t="shared" si="5"/>
        <v>3.26</v>
      </c>
      <c r="DC22">
        <f t="shared" si="6"/>
        <v>0.25</v>
      </c>
      <c r="DD22" t="s">
        <v>3</v>
      </c>
      <c r="DE22" t="s">
        <v>3</v>
      </c>
      <c r="DF22">
        <f t="shared" si="0"/>
        <v>0</v>
      </c>
      <c r="DG22">
        <f t="shared" si="1"/>
        <v>9.92</v>
      </c>
      <c r="DH22">
        <f t="shared" si="2"/>
        <v>0.77</v>
      </c>
      <c r="DI22">
        <f t="shared" si="3"/>
        <v>0</v>
      </c>
      <c r="DJ22">
        <f>DG22</f>
        <v>9.92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ROW(Source!A31)</f>
        <v>31</v>
      </c>
      <c r="B23">
        <v>78163571</v>
      </c>
      <c r="C23">
        <v>78163380</v>
      </c>
      <c r="D23">
        <v>77808387</v>
      </c>
      <c r="E23">
        <v>1</v>
      </c>
      <c r="F23">
        <v>1</v>
      </c>
      <c r="G23">
        <v>37</v>
      </c>
      <c r="H23">
        <v>2</v>
      </c>
      <c r="I23" t="s">
        <v>167</v>
      </c>
      <c r="J23" t="s">
        <v>168</v>
      </c>
      <c r="K23" t="s">
        <v>169</v>
      </c>
      <c r="L23">
        <v>1368</v>
      </c>
      <c r="N23">
        <v>1011</v>
      </c>
      <c r="O23" t="s">
        <v>136</v>
      </c>
      <c r="P23" t="s">
        <v>136</v>
      </c>
      <c r="Q23">
        <v>1</v>
      </c>
      <c r="W23">
        <v>0</v>
      </c>
      <c r="X23">
        <v>1381500738</v>
      </c>
      <c r="Y23">
        <f t="shared" si="4"/>
        <v>0.34</v>
      </c>
      <c r="AA23">
        <v>0</v>
      </c>
      <c r="AB23">
        <v>763.41</v>
      </c>
      <c r="AC23">
        <v>685.33</v>
      </c>
      <c r="AD23">
        <v>0</v>
      </c>
      <c r="AE23">
        <v>0</v>
      </c>
      <c r="AF23">
        <v>763.41</v>
      </c>
      <c r="AG23">
        <v>685.33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0.34</v>
      </c>
      <c r="AU23" t="s">
        <v>3</v>
      </c>
      <c r="AV23">
        <v>0</v>
      </c>
      <c r="AW23">
        <v>2</v>
      </c>
      <c r="AX23">
        <v>78163600</v>
      </c>
      <c r="AY23">
        <v>1</v>
      </c>
      <c r="AZ23">
        <v>0</v>
      </c>
      <c r="BA23">
        <v>22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f>ROUND(Y23*Source!I31*DO23,9)</f>
        <v>0</v>
      </c>
      <c r="CX23">
        <f>ROUND(Y23*Source!I31,9)</f>
        <v>1.0356399999999999</v>
      </c>
      <c r="CY23">
        <f>AB23</f>
        <v>763.41</v>
      </c>
      <c r="CZ23">
        <f>AF23</f>
        <v>763.41</v>
      </c>
      <c r="DA23">
        <f>AJ23</f>
        <v>1</v>
      </c>
      <c r="DB23">
        <f t="shared" si="5"/>
        <v>259.56</v>
      </c>
      <c r="DC23">
        <f t="shared" si="6"/>
        <v>233.01</v>
      </c>
      <c r="DD23" t="s">
        <v>3</v>
      </c>
      <c r="DE23" t="s">
        <v>3</v>
      </c>
      <c r="DF23">
        <f t="shared" si="0"/>
        <v>0</v>
      </c>
      <c r="DG23">
        <f t="shared" si="1"/>
        <v>790.62</v>
      </c>
      <c r="DH23">
        <f t="shared" si="2"/>
        <v>709.76</v>
      </c>
      <c r="DI23">
        <f t="shared" si="3"/>
        <v>0</v>
      </c>
      <c r="DJ23">
        <f>DG23</f>
        <v>790.62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ROW(Source!A31)</f>
        <v>31</v>
      </c>
      <c r="B24">
        <v>78163571</v>
      </c>
      <c r="C24">
        <v>78163380</v>
      </c>
      <c r="D24">
        <v>77809504</v>
      </c>
      <c r="E24">
        <v>1</v>
      </c>
      <c r="F24">
        <v>1</v>
      </c>
      <c r="G24">
        <v>37</v>
      </c>
      <c r="H24">
        <v>3</v>
      </c>
      <c r="I24" t="s">
        <v>170</v>
      </c>
      <c r="J24" t="s">
        <v>171</v>
      </c>
      <c r="K24" t="s">
        <v>172</v>
      </c>
      <c r="L24">
        <v>1348</v>
      </c>
      <c r="N24">
        <v>1009</v>
      </c>
      <c r="O24" t="s">
        <v>17</v>
      </c>
      <c r="P24" t="s">
        <v>17</v>
      </c>
      <c r="Q24">
        <v>1000</v>
      </c>
      <c r="W24">
        <v>0</v>
      </c>
      <c r="X24">
        <v>-1506970354</v>
      </c>
      <c r="Y24">
        <f t="shared" si="4"/>
        <v>1.7999999999999999E-2</v>
      </c>
      <c r="AA24">
        <v>313897.40999999997</v>
      </c>
      <c r="AB24">
        <v>0</v>
      </c>
      <c r="AC24">
        <v>0</v>
      </c>
      <c r="AD24">
        <v>0</v>
      </c>
      <c r="AE24">
        <v>313897.40999999997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1.7999999999999999E-2</v>
      </c>
      <c r="AU24" t="s">
        <v>3</v>
      </c>
      <c r="AV24">
        <v>0</v>
      </c>
      <c r="AW24">
        <v>2</v>
      </c>
      <c r="AX24">
        <v>78163601</v>
      </c>
      <c r="AY24">
        <v>1</v>
      </c>
      <c r="AZ24">
        <v>0</v>
      </c>
      <c r="BA24">
        <v>23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ROUND(Y24*Source!I31,9)</f>
        <v>5.4828000000000002E-2</v>
      </c>
      <c r="CY24">
        <f t="shared" ref="CY24:CY32" si="7">AA24</f>
        <v>313897.40999999997</v>
      </c>
      <c r="CZ24">
        <f t="shared" ref="CZ24:CZ32" si="8">AE24</f>
        <v>313897.40999999997</v>
      </c>
      <c r="DA24">
        <f t="shared" ref="DA24:DA32" si="9">AI24</f>
        <v>1</v>
      </c>
      <c r="DB24">
        <f t="shared" si="5"/>
        <v>5650.15</v>
      </c>
      <c r="DC24">
        <f t="shared" si="6"/>
        <v>0</v>
      </c>
      <c r="DD24" t="s">
        <v>3</v>
      </c>
      <c r="DE24" t="s">
        <v>3</v>
      </c>
      <c r="DF24">
        <f t="shared" si="0"/>
        <v>17210.37</v>
      </c>
      <c r="DG24">
        <f t="shared" si="1"/>
        <v>0</v>
      </c>
      <c r="DH24">
        <f t="shared" si="2"/>
        <v>0</v>
      </c>
      <c r="DI24">
        <f t="shared" si="3"/>
        <v>0</v>
      </c>
      <c r="DJ24">
        <f t="shared" ref="DJ24:DJ32" si="10">DF24</f>
        <v>17210.37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ROW(Source!A31)</f>
        <v>31</v>
      </c>
      <c r="B25">
        <v>78163571</v>
      </c>
      <c r="C25">
        <v>78163380</v>
      </c>
      <c r="D25">
        <v>77810391</v>
      </c>
      <c r="E25">
        <v>1</v>
      </c>
      <c r="F25">
        <v>1</v>
      </c>
      <c r="G25">
        <v>37</v>
      </c>
      <c r="H25">
        <v>3</v>
      </c>
      <c r="I25" t="s">
        <v>173</v>
      </c>
      <c r="J25" t="s">
        <v>174</v>
      </c>
      <c r="K25" t="s">
        <v>175</v>
      </c>
      <c r="L25">
        <v>1346</v>
      </c>
      <c r="N25">
        <v>1009</v>
      </c>
      <c r="O25" t="s">
        <v>176</v>
      </c>
      <c r="P25" t="s">
        <v>176</v>
      </c>
      <c r="Q25">
        <v>1</v>
      </c>
      <c r="W25">
        <v>0</v>
      </c>
      <c r="X25">
        <v>737612236</v>
      </c>
      <c r="Y25">
        <f t="shared" si="4"/>
        <v>0.439</v>
      </c>
      <c r="AA25">
        <v>168.83</v>
      </c>
      <c r="AB25">
        <v>0</v>
      </c>
      <c r="AC25">
        <v>0</v>
      </c>
      <c r="AD25">
        <v>0</v>
      </c>
      <c r="AE25">
        <v>168.83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0.439</v>
      </c>
      <c r="AU25" t="s">
        <v>3</v>
      </c>
      <c r="AV25">
        <v>0</v>
      </c>
      <c r="AW25">
        <v>2</v>
      </c>
      <c r="AX25">
        <v>78163602</v>
      </c>
      <c r="AY25">
        <v>1</v>
      </c>
      <c r="AZ25">
        <v>0</v>
      </c>
      <c r="BA25">
        <v>24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ROUND(Y25*Source!I31,9)</f>
        <v>1.337194</v>
      </c>
      <c r="CY25">
        <f t="shared" si="7"/>
        <v>168.83</v>
      </c>
      <c r="CZ25">
        <f t="shared" si="8"/>
        <v>168.83</v>
      </c>
      <c r="DA25">
        <f t="shared" si="9"/>
        <v>1</v>
      </c>
      <c r="DB25">
        <f t="shared" si="5"/>
        <v>74.12</v>
      </c>
      <c r="DC25">
        <f t="shared" si="6"/>
        <v>0</v>
      </c>
      <c r="DD25" t="s">
        <v>3</v>
      </c>
      <c r="DE25" t="s">
        <v>3</v>
      </c>
      <c r="DF25">
        <f t="shared" si="0"/>
        <v>225.76</v>
      </c>
      <c r="DG25">
        <f t="shared" si="1"/>
        <v>0</v>
      </c>
      <c r="DH25">
        <f t="shared" si="2"/>
        <v>0</v>
      </c>
      <c r="DI25">
        <f t="shared" si="3"/>
        <v>0</v>
      </c>
      <c r="DJ25">
        <f t="shared" si="10"/>
        <v>225.76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ROW(Source!A31)</f>
        <v>31</v>
      </c>
      <c r="B26">
        <v>78163571</v>
      </c>
      <c r="C26">
        <v>78163380</v>
      </c>
      <c r="D26">
        <v>77811275</v>
      </c>
      <c r="E26">
        <v>1</v>
      </c>
      <c r="F26">
        <v>1</v>
      </c>
      <c r="G26">
        <v>37</v>
      </c>
      <c r="H26">
        <v>3</v>
      </c>
      <c r="I26" t="s">
        <v>177</v>
      </c>
      <c r="J26" t="s">
        <v>178</v>
      </c>
      <c r="K26" t="s">
        <v>179</v>
      </c>
      <c r="L26">
        <v>1354</v>
      </c>
      <c r="N26">
        <v>1010</v>
      </c>
      <c r="O26" t="s">
        <v>180</v>
      </c>
      <c r="P26" t="s">
        <v>180</v>
      </c>
      <c r="Q26">
        <v>1</v>
      </c>
      <c r="W26">
        <v>0</v>
      </c>
      <c r="X26">
        <v>23491763</v>
      </c>
      <c r="Y26">
        <f t="shared" si="4"/>
        <v>42.63</v>
      </c>
      <c r="AA26">
        <v>30.05</v>
      </c>
      <c r="AB26">
        <v>0</v>
      </c>
      <c r="AC26">
        <v>0</v>
      </c>
      <c r="AD26">
        <v>0</v>
      </c>
      <c r="AE26">
        <v>30.05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42.63</v>
      </c>
      <c r="AU26" t="s">
        <v>3</v>
      </c>
      <c r="AV26">
        <v>0</v>
      </c>
      <c r="AW26">
        <v>2</v>
      </c>
      <c r="AX26">
        <v>78163603</v>
      </c>
      <c r="AY26">
        <v>1</v>
      </c>
      <c r="AZ26">
        <v>0</v>
      </c>
      <c r="BA26">
        <v>25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v>0</v>
      </c>
      <c r="CX26">
        <f>ROUND(Y26*Source!I31,9)</f>
        <v>129.85097999999999</v>
      </c>
      <c r="CY26">
        <f t="shared" si="7"/>
        <v>30.05</v>
      </c>
      <c r="CZ26">
        <f t="shared" si="8"/>
        <v>30.05</v>
      </c>
      <c r="DA26">
        <f t="shared" si="9"/>
        <v>1</v>
      </c>
      <c r="DB26">
        <f t="shared" si="5"/>
        <v>1281.03</v>
      </c>
      <c r="DC26">
        <f t="shared" si="6"/>
        <v>0</v>
      </c>
      <c r="DD26" t="s">
        <v>3</v>
      </c>
      <c r="DE26" t="s">
        <v>3</v>
      </c>
      <c r="DF26">
        <f t="shared" si="0"/>
        <v>3902.02</v>
      </c>
      <c r="DG26">
        <f t="shared" si="1"/>
        <v>0</v>
      </c>
      <c r="DH26">
        <f t="shared" si="2"/>
        <v>0</v>
      </c>
      <c r="DI26">
        <f t="shared" si="3"/>
        <v>0</v>
      </c>
      <c r="DJ26">
        <f t="shared" si="10"/>
        <v>3902.02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ROW(Source!A31)</f>
        <v>31</v>
      </c>
      <c r="B27">
        <v>78163571</v>
      </c>
      <c r="C27">
        <v>78163380</v>
      </c>
      <c r="D27">
        <v>77811140</v>
      </c>
      <c r="E27">
        <v>1</v>
      </c>
      <c r="F27">
        <v>1</v>
      </c>
      <c r="G27">
        <v>37</v>
      </c>
      <c r="H27">
        <v>3</v>
      </c>
      <c r="I27" t="s">
        <v>181</v>
      </c>
      <c r="J27" t="s">
        <v>182</v>
      </c>
      <c r="K27" t="s">
        <v>183</v>
      </c>
      <c r="L27">
        <v>1354</v>
      </c>
      <c r="N27">
        <v>1010</v>
      </c>
      <c r="O27" t="s">
        <v>180</v>
      </c>
      <c r="P27" t="s">
        <v>180</v>
      </c>
      <c r="Q27">
        <v>1</v>
      </c>
      <c r="W27">
        <v>0</v>
      </c>
      <c r="X27">
        <v>-831186859</v>
      </c>
      <c r="Y27">
        <f t="shared" si="4"/>
        <v>0.222</v>
      </c>
      <c r="AA27">
        <v>80.48</v>
      </c>
      <c r="AB27">
        <v>0</v>
      </c>
      <c r="AC27">
        <v>0</v>
      </c>
      <c r="AD27">
        <v>0</v>
      </c>
      <c r="AE27">
        <v>80.48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M27">
        <v>-2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0.222</v>
      </c>
      <c r="AU27" t="s">
        <v>3</v>
      </c>
      <c r="AV27">
        <v>0</v>
      </c>
      <c r="AW27">
        <v>2</v>
      </c>
      <c r="AX27">
        <v>78163604</v>
      </c>
      <c r="AY27">
        <v>1</v>
      </c>
      <c r="AZ27">
        <v>0</v>
      </c>
      <c r="BA27">
        <v>26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ROUND(Y27*Source!I31,9)</f>
        <v>0.67621200000000004</v>
      </c>
      <c r="CY27">
        <f t="shared" si="7"/>
        <v>80.48</v>
      </c>
      <c r="CZ27">
        <f t="shared" si="8"/>
        <v>80.48</v>
      </c>
      <c r="DA27">
        <f t="shared" si="9"/>
        <v>1</v>
      </c>
      <c r="DB27">
        <f t="shared" si="5"/>
        <v>17.87</v>
      </c>
      <c r="DC27">
        <f t="shared" si="6"/>
        <v>0</v>
      </c>
      <c r="DD27" t="s">
        <v>3</v>
      </c>
      <c r="DE27" t="s">
        <v>3</v>
      </c>
      <c r="DF27">
        <f t="shared" si="0"/>
        <v>54.42</v>
      </c>
      <c r="DG27">
        <f t="shared" si="1"/>
        <v>0</v>
      </c>
      <c r="DH27">
        <f t="shared" si="2"/>
        <v>0</v>
      </c>
      <c r="DI27">
        <f t="shared" si="3"/>
        <v>0</v>
      </c>
      <c r="DJ27">
        <f t="shared" si="10"/>
        <v>54.42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ROW(Source!A31)</f>
        <v>31</v>
      </c>
      <c r="B28">
        <v>78163571</v>
      </c>
      <c r="C28">
        <v>78163380</v>
      </c>
      <c r="D28">
        <v>77815309</v>
      </c>
      <c r="E28">
        <v>1</v>
      </c>
      <c r="F28">
        <v>1</v>
      </c>
      <c r="G28">
        <v>37</v>
      </c>
      <c r="H28">
        <v>3</v>
      </c>
      <c r="I28" t="s">
        <v>184</v>
      </c>
      <c r="J28" t="s">
        <v>185</v>
      </c>
      <c r="K28" t="s">
        <v>186</v>
      </c>
      <c r="L28">
        <v>1301</v>
      </c>
      <c r="N28">
        <v>1003</v>
      </c>
      <c r="O28" t="s">
        <v>187</v>
      </c>
      <c r="P28" t="s">
        <v>187</v>
      </c>
      <c r="Q28">
        <v>1</v>
      </c>
      <c r="W28">
        <v>0</v>
      </c>
      <c r="X28">
        <v>1175220695</v>
      </c>
      <c r="Y28">
        <f t="shared" si="4"/>
        <v>22.22</v>
      </c>
      <c r="AA28">
        <v>481.95</v>
      </c>
      <c r="AB28">
        <v>0</v>
      </c>
      <c r="AC28">
        <v>0</v>
      </c>
      <c r="AD28">
        <v>0</v>
      </c>
      <c r="AE28">
        <v>481.95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1</v>
      </c>
      <c r="AL28">
        <v>1</v>
      </c>
      <c r="AM28">
        <v>-2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22.22</v>
      </c>
      <c r="AU28" t="s">
        <v>3</v>
      </c>
      <c r="AV28">
        <v>0</v>
      </c>
      <c r="AW28">
        <v>2</v>
      </c>
      <c r="AX28">
        <v>78163606</v>
      </c>
      <c r="AY28">
        <v>1</v>
      </c>
      <c r="AZ28">
        <v>0</v>
      </c>
      <c r="BA28">
        <v>27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ROUND(Y28*Source!I31,9)</f>
        <v>67.682119999999998</v>
      </c>
      <c r="CY28">
        <f t="shared" si="7"/>
        <v>481.95</v>
      </c>
      <c r="CZ28">
        <f t="shared" si="8"/>
        <v>481.95</v>
      </c>
      <c r="DA28">
        <f t="shared" si="9"/>
        <v>1</v>
      </c>
      <c r="DB28">
        <f t="shared" si="5"/>
        <v>10708.93</v>
      </c>
      <c r="DC28">
        <f t="shared" si="6"/>
        <v>0</v>
      </c>
      <c r="DD28" t="s">
        <v>3</v>
      </c>
      <c r="DE28" t="s">
        <v>3</v>
      </c>
      <c r="DF28">
        <f t="shared" si="0"/>
        <v>32619.4</v>
      </c>
      <c r="DG28">
        <f t="shared" si="1"/>
        <v>0</v>
      </c>
      <c r="DH28">
        <f t="shared" si="2"/>
        <v>0</v>
      </c>
      <c r="DI28">
        <f t="shared" si="3"/>
        <v>0</v>
      </c>
      <c r="DJ28">
        <f t="shared" si="10"/>
        <v>32619.4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ROW(Source!A31)</f>
        <v>31</v>
      </c>
      <c r="B29">
        <v>78163571</v>
      </c>
      <c r="C29">
        <v>78163380</v>
      </c>
      <c r="D29">
        <v>77808715</v>
      </c>
      <c r="E29">
        <v>1</v>
      </c>
      <c r="F29">
        <v>1</v>
      </c>
      <c r="G29">
        <v>37</v>
      </c>
      <c r="H29">
        <v>3</v>
      </c>
      <c r="I29" t="s">
        <v>188</v>
      </c>
      <c r="J29" t="s">
        <v>189</v>
      </c>
      <c r="K29" t="s">
        <v>190</v>
      </c>
      <c r="L29">
        <v>1339</v>
      </c>
      <c r="N29">
        <v>1007</v>
      </c>
      <c r="O29" t="s">
        <v>191</v>
      </c>
      <c r="P29" t="s">
        <v>191</v>
      </c>
      <c r="Q29">
        <v>1</v>
      </c>
      <c r="W29">
        <v>0</v>
      </c>
      <c r="X29">
        <v>-67080174</v>
      </c>
      <c r="Y29">
        <f t="shared" si="4"/>
        <v>0.63600000000000001</v>
      </c>
      <c r="AA29">
        <v>479.86</v>
      </c>
      <c r="AB29">
        <v>0</v>
      </c>
      <c r="AC29">
        <v>0</v>
      </c>
      <c r="AD29">
        <v>0</v>
      </c>
      <c r="AE29">
        <v>479.86</v>
      </c>
      <c r="AF29">
        <v>0</v>
      </c>
      <c r="AG29">
        <v>0</v>
      </c>
      <c r="AH29">
        <v>0</v>
      </c>
      <c r="AI29">
        <v>1</v>
      </c>
      <c r="AJ29">
        <v>1</v>
      </c>
      <c r="AK29">
        <v>1</v>
      </c>
      <c r="AL29">
        <v>1</v>
      </c>
      <c r="AM29">
        <v>-2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0.63600000000000001</v>
      </c>
      <c r="AU29" t="s">
        <v>3</v>
      </c>
      <c r="AV29">
        <v>0</v>
      </c>
      <c r="AW29">
        <v>2</v>
      </c>
      <c r="AX29">
        <v>78163605</v>
      </c>
      <c r="AY29">
        <v>1</v>
      </c>
      <c r="AZ29">
        <v>0</v>
      </c>
      <c r="BA29">
        <v>28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ROUND(Y29*Source!I31,9)</f>
        <v>1.9372560000000001</v>
      </c>
      <c r="CY29">
        <f t="shared" si="7"/>
        <v>479.86</v>
      </c>
      <c r="CZ29">
        <f t="shared" si="8"/>
        <v>479.86</v>
      </c>
      <c r="DA29">
        <f t="shared" si="9"/>
        <v>1</v>
      </c>
      <c r="DB29">
        <f t="shared" si="5"/>
        <v>305.19</v>
      </c>
      <c r="DC29">
        <f t="shared" si="6"/>
        <v>0</v>
      </c>
      <c r="DD29" t="s">
        <v>3</v>
      </c>
      <c r="DE29" t="s">
        <v>3</v>
      </c>
      <c r="DF29">
        <f t="shared" si="0"/>
        <v>929.61</v>
      </c>
      <c r="DG29">
        <f t="shared" si="1"/>
        <v>0</v>
      </c>
      <c r="DH29">
        <f t="shared" si="2"/>
        <v>0</v>
      </c>
      <c r="DI29">
        <f t="shared" si="3"/>
        <v>0</v>
      </c>
      <c r="DJ29">
        <f t="shared" si="10"/>
        <v>929.61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ROW(Source!A31)</f>
        <v>31</v>
      </c>
      <c r="B30">
        <v>78163571</v>
      </c>
      <c r="C30">
        <v>78163380</v>
      </c>
      <c r="D30">
        <v>77813323</v>
      </c>
      <c r="E30">
        <v>1</v>
      </c>
      <c r="F30">
        <v>1</v>
      </c>
      <c r="G30">
        <v>37</v>
      </c>
      <c r="H30">
        <v>3</v>
      </c>
      <c r="I30" t="s">
        <v>192</v>
      </c>
      <c r="J30" t="s">
        <v>193</v>
      </c>
      <c r="K30" t="s">
        <v>194</v>
      </c>
      <c r="L30">
        <v>1354</v>
      </c>
      <c r="N30">
        <v>1010</v>
      </c>
      <c r="O30" t="s">
        <v>180</v>
      </c>
      <c r="P30" t="s">
        <v>180</v>
      </c>
      <c r="Q30">
        <v>1</v>
      </c>
      <c r="W30">
        <v>0</v>
      </c>
      <c r="X30">
        <v>-1578719328</v>
      </c>
      <c r="Y30">
        <f t="shared" si="4"/>
        <v>11</v>
      </c>
      <c r="AA30">
        <v>979.95</v>
      </c>
      <c r="AB30">
        <v>0</v>
      </c>
      <c r="AC30">
        <v>0</v>
      </c>
      <c r="AD30">
        <v>0</v>
      </c>
      <c r="AE30">
        <v>979.95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11</v>
      </c>
      <c r="AU30" t="s">
        <v>3</v>
      </c>
      <c r="AV30">
        <v>0</v>
      </c>
      <c r="AW30">
        <v>2</v>
      </c>
      <c r="AX30">
        <v>78163607</v>
      </c>
      <c r="AY30">
        <v>1</v>
      </c>
      <c r="AZ30">
        <v>0</v>
      </c>
      <c r="BA30">
        <v>29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ROUND(Y30*Source!I31,9)</f>
        <v>33.506</v>
      </c>
      <c r="CY30">
        <f t="shared" si="7"/>
        <v>979.95</v>
      </c>
      <c r="CZ30">
        <f t="shared" si="8"/>
        <v>979.95</v>
      </c>
      <c r="DA30">
        <f t="shared" si="9"/>
        <v>1</v>
      </c>
      <c r="DB30">
        <f t="shared" si="5"/>
        <v>10779.45</v>
      </c>
      <c r="DC30">
        <f t="shared" si="6"/>
        <v>0</v>
      </c>
      <c r="DD30" t="s">
        <v>3</v>
      </c>
      <c r="DE30" t="s">
        <v>3</v>
      </c>
      <c r="DF30">
        <f t="shared" si="0"/>
        <v>32834.199999999997</v>
      </c>
      <c r="DG30">
        <f t="shared" si="1"/>
        <v>0</v>
      </c>
      <c r="DH30">
        <f t="shared" si="2"/>
        <v>0</v>
      </c>
      <c r="DI30">
        <f t="shared" si="3"/>
        <v>0</v>
      </c>
      <c r="DJ30">
        <f t="shared" si="10"/>
        <v>32834.199999999997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ROW(Source!A31)</f>
        <v>31</v>
      </c>
      <c r="B31">
        <v>78163571</v>
      </c>
      <c r="C31">
        <v>78163380</v>
      </c>
      <c r="D31">
        <v>77813324</v>
      </c>
      <c r="E31">
        <v>1</v>
      </c>
      <c r="F31">
        <v>1</v>
      </c>
      <c r="G31">
        <v>37</v>
      </c>
      <c r="H31">
        <v>3</v>
      </c>
      <c r="I31" t="s">
        <v>195</v>
      </c>
      <c r="J31" t="s">
        <v>196</v>
      </c>
      <c r="K31" t="s">
        <v>197</v>
      </c>
      <c r="L31">
        <v>1354</v>
      </c>
      <c r="N31">
        <v>1010</v>
      </c>
      <c r="O31" t="s">
        <v>180</v>
      </c>
      <c r="P31" t="s">
        <v>180</v>
      </c>
      <c r="Q31">
        <v>1</v>
      </c>
      <c r="W31">
        <v>0</v>
      </c>
      <c r="X31">
        <v>-1864413139</v>
      </c>
      <c r="Y31">
        <f t="shared" si="4"/>
        <v>11</v>
      </c>
      <c r="AA31">
        <v>622.54999999999995</v>
      </c>
      <c r="AB31">
        <v>0</v>
      </c>
      <c r="AC31">
        <v>0</v>
      </c>
      <c r="AD31">
        <v>0</v>
      </c>
      <c r="AE31">
        <v>622.54999999999995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11</v>
      </c>
      <c r="AU31" t="s">
        <v>3</v>
      </c>
      <c r="AV31">
        <v>0</v>
      </c>
      <c r="AW31">
        <v>2</v>
      </c>
      <c r="AX31">
        <v>78163608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ROUND(Y31*Source!I31,9)</f>
        <v>33.506</v>
      </c>
      <c r="CY31">
        <f t="shared" si="7"/>
        <v>622.54999999999995</v>
      </c>
      <c r="CZ31">
        <f t="shared" si="8"/>
        <v>622.54999999999995</v>
      </c>
      <c r="DA31">
        <f t="shared" si="9"/>
        <v>1</v>
      </c>
      <c r="DB31">
        <f t="shared" si="5"/>
        <v>6848.05</v>
      </c>
      <c r="DC31">
        <f t="shared" si="6"/>
        <v>0</v>
      </c>
      <c r="DD31" t="s">
        <v>3</v>
      </c>
      <c r="DE31" t="s">
        <v>3</v>
      </c>
      <c r="DF31">
        <f t="shared" si="0"/>
        <v>20859.16</v>
      </c>
      <c r="DG31">
        <f t="shared" si="1"/>
        <v>0</v>
      </c>
      <c r="DH31">
        <f t="shared" si="2"/>
        <v>0</v>
      </c>
      <c r="DI31">
        <f t="shared" si="3"/>
        <v>0</v>
      </c>
      <c r="DJ31">
        <f t="shared" si="10"/>
        <v>20859.16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ROW(Source!A31)</f>
        <v>31</v>
      </c>
      <c r="B32">
        <v>78163571</v>
      </c>
      <c r="C32">
        <v>78163380</v>
      </c>
      <c r="D32">
        <v>77813325</v>
      </c>
      <c r="E32">
        <v>1</v>
      </c>
      <c r="F32">
        <v>1</v>
      </c>
      <c r="G32">
        <v>37</v>
      </c>
      <c r="H32">
        <v>3</v>
      </c>
      <c r="I32" t="s">
        <v>198</v>
      </c>
      <c r="J32" t="s">
        <v>199</v>
      </c>
      <c r="K32" t="s">
        <v>200</v>
      </c>
      <c r="L32">
        <v>1354</v>
      </c>
      <c r="N32">
        <v>1010</v>
      </c>
      <c r="O32" t="s">
        <v>180</v>
      </c>
      <c r="P32" t="s">
        <v>180</v>
      </c>
      <c r="Q32">
        <v>1</v>
      </c>
      <c r="W32">
        <v>0</v>
      </c>
      <c r="X32">
        <v>196781382</v>
      </c>
      <c r="Y32">
        <f t="shared" si="4"/>
        <v>22</v>
      </c>
      <c r="AA32">
        <v>514.42999999999995</v>
      </c>
      <c r="AB32">
        <v>0</v>
      </c>
      <c r="AC32">
        <v>0</v>
      </c>
      <c r="AD32">
        <v>0</v>
      </c>
      <c r="AE32">
        <v>514.42999999999995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22</v>
      </c>
      <c r="AU32" t="s">
        <v>3</v>
      </c>
      <c r="AV32">
        <v>0</v>
      </c>
      <c r="AW32">
        <v>2</v>
      </c>
      <c r="AX32">
        <v>78163609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ROUND(Y32*Source!I31,9)</f>
        <v>67.012</v>
      </c>
      <c r="CY32">
        <f t="shared" si="7"/>
        <v>514.42999999999995</v>
      </c>
      <c r="CZ32">
        <f t="shared" si="8"/>
        <v>514.42999999999995</v>
      </c>
      <c r="DA32">
        <f t="shared" si="9"/>
        <v>1</v>
      </c>
      <c r="DB32">
        <f t="shared" si="5"/>
        <v>11317.46</v>
      </c>
      <c r="DC32">
        <f t="shared" si="6"/>
        <v>0</v>
      </c>
      <c r="DD32" t="s">
        <v>3</v>
      </c>
      <c r="DE32" t="s">
        <v>3</v>
      </c>
      <c r="DF32">
        <f t="shared" si="0"/>
        <v>34472.980000000003</v>
      </c>
      <c r="DG32">
        <f t="shared" si="1"/>
        <v>0</v>
      </c>
      <c r="DH32">
        <f t="shared" si="2"/>
        <v>0</v>
      </c>
      <c r="DI32">
        <f t="shared" si="3"/>
        <v>0</v>
      </c>
      <c r="DJ32">
        <f t="shared" si="10"/>
        <v>34472.980000000003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ROW(Source!A32)</f>
        <v>32</v>
      </c>
      <c r="B33">
        <v>78163571</v>
      </c>
      <c r="C33">
        <v>78163411</v>
      </c>
      <c r="D33">
        <v>77806460</v>
      </c>
      <c r="E33">
        <v>37</v>
      </c>
      <c r="F33">
        <v>1</v>
      </c>
      <c r="G33">
        <v>37</v>
      </c>
      <c r="H33">
        <v>1</v>
      </c>
      <c r="I33" t="s">
        <v>130</v>
      </c>
      <c r="J33" t="s">
        <v>3</v>
      </c>
      <c r="K33" t="s">
        <v>131</v>
      </c>
      <c r="L33">
        <v>1191</v>
      </c>
      <c r="N33">
        <v>1013</v>
      </c>
      <c r="O33" t="s">
        <v>132</v>
      </c>
      <c r="P33" t="s">
        <v>132</v>
      </c>
      <c r="Q33">
        <v>1</v>
      </c>
      <c r="W33">
        <v>0</v>
      </c>
      <c r="X33">
        <v>476480486</v>
      </c>
      <c r="Y33">
        <f t="shared" si="4"/>
        <v>87.29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87.29</v>
      </c>
      <c r="AU33" t="s">
        <v>3</v>
      </c>
      <c r="AV33">
        <v>1</v>
      </c>
      <c r="AW33">
        <v>2</v>
      </c>
      <c r="AX33">
        <v>78163610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ROUND(AT33*Source!I32*AH33*AL33,2)</f>
        <v>0</v>
      </c>
      <c r="CV33">
        <f>ROUND(Y33*Source!I32,9)</f>
        <v>0.31424400000000002</v>
      </c>
      <c r="CW33">
        <v>0</v>
      </c>
      <c r="CX33">
        <f>ROUND(Y33*Source!I32,9)</f>
        <v>0.31424400000000002</v>
      </c>
      <c r="CY33">
        <f>AD33</f>
        <v>0</v>
      </c>
      <c r="CZ33">
        <f>AH33</f>
        <v>0</v>
      </c>
      <c r="DA33">
        <f>AL33</f>
        <v>1</v>
      </c>
      <c r="DB33">
        <f t="shared" si="5"/>
        <v>0</v>
      </c>
      <c r="DC33">
        <f t="shared" si="6"/>
        <v>0</v>
      </c>
      <c r="DD33" t="s">
        <v>3</v>
      </c>
      <c r="DE33" t="s">
        <v>3</v>
      </c>
      <c r="DF33">
        <f t="shared" ref="DF33:DF53" si="11">ROUND(ROUND(AE33,2)*CX33,2)</f>
        <v>0</v>
      </c>
      <c r="DG33">
        <f t="shared" ref="DG33:DG53" si="12">ROUND(ROUND(AF33,2)*CX33,2)</f>
        <v>0</v>
      </c>
      <c r="DH33">
        <f t="shared" ref="DH33:DH53" si="13">ROUND(ROUND(AG33,2)*CX33,2)</f>
        <v>0</v>
      </c>
      <c r="DI33">
        <f t="shared" ref="DI33:DI53" si="14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ROW(Source!A32)</f>
        <v>32</v>
      </c>
      <c r="B34">
        <v>78163571</v>
      </c>
      <c r="C34">
        <v>78163411</v>
      </c>
      <c r="D34">
        <v>77807505</v>
      </c>
      <c r="E34">
        <v>1</v>
      </c>
      <c r="F34">
        <v>1</v>
      </c>
      <c r="G34">
        <v>37</v>
      </c>
      <c r="H34">
        <v>2</v>
      </c>
      <c r="I34" t="s">
        <v>201</v>
      </c>
      <c r="J34" t="s">
        <v>202</v>
      </c>
      <c r="K34" t="s">
        <v>203</v>
      </c>
      <c r="L34">
        <v>1368</v>
      </c>
      <c r="N34">
        <v>1011</v>
      </c>
      <c r="O34" t="s">
        <v>136</v>
      </c>
      <c r="P34" t="s">
        <v>136</v>
      </c>
      <c r="Q34">
        <v>1</v>
      </c>
      <c r="W34">
        <v>0</v>
      </c>
      <c r="X34">
        <v>-432311974</v>
      </c>
      <c r="Y34">
        <f t="shared" si="4"/>
        <v>1.59</v>
      </c>
      <c r="AA34">
        <v>0</v>
      </c>
      <c r="AB34">
        <v>1112.05</v>
      </c>
      <c r="AC34">
        <v>667.4</v>
      </c>
      <c r="AD34">
        <v>0</v>
      </c>
      <c r="AE34">
        <v>0</v>
      </c>
      <c r="AF34">
        <v>1112.05</v>
      </c>
      <c r="AG34">
        <v>667.4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-2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1.59</v>
      </c>
      <c r="AU34" t="s">
        <v>3</v>
      </c>
      <c r="AV34">
        <v>0</v>
      </c>
      <c r="AW34">
        <v>2</v>
      </c>
      <c r="AX34">
        <v>78163611</v>
      </c>
      <c r="AY34">
        <v>1</v>
      </c>
      <c r="AZ34">
        <v>0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ROUND(Y34*Source!I32*DO34,9)</f>
        <v>0</v>
      </c>
      <c r="CX34">
        <f>ROUND(Y34*Source!I32,9)</f>
        <v>5.7239999999999999E-3</v>
      </c>
      <c r="CY34">
        <f>AB34</f>
        <v>1112.05</v>
      </c>
      <c r="CZ34">
        <f>AF34</f>
        <v>1112.05</v>
      </c>
      <c r="DA34">
        <f>AJ34</f>
        <v>1</v>
      </c>
      <c r="DB34">
        <f t="shared" si="5"/>
        <v>1768.16</v>
      </c>
      <c r="DC34">
        <f t="shared" si="6"/>
        <v>1061.17</v>
      </c>
      <c r="DD34" t="s">
        <v>3</v>
      </c>
      <c r="DE34" t="s">
        <v>3</v>
      </c>
      <c r="DF34">
        <f t="shared" si="11"/>
        <v>0</v>
      </c>
      <c r="DG34">
        <f t="shared" si="12"/>
        <v>6.37</v>
      </c>
      <c r="DH34">
        <f t="shared" si="13"/>
        <v>3.82</v>
      </c>
      <c r="DI34">
        <f t="shared" si="14"/>
        <v>0</v>
      </c>
      <c r="DJ34">
        <f>DG34</f>
        <v>6.37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ROW(Source!A32)</f>
        <v>32</v>
      </c>
      <c r="B35">
        <v>78163571</v>
      </c>
      <c r="C35">
        <v>78163411</v>
      </c>
      <c r="D35">
        <v>77807665</v>
      </c>
      <c r="E35">
        <v>1</v>
      </c>
      <c r="F35">
        <v>1</v>
      </c>
      <c r="G35">
        <v>37</v>
      </c>
      <c r="H35">
        <v>2</v>
      </c>
      <c r="I35" t="s">
        <v>204</v>
      </c>
      <c r="J35" t="s">
        <v>205</v>
      </c>
      <c r="K35" t="s">
        <v>206</v>
      </c>
      <c r="L35">
        <v>1368</v>
      </c>
      <c r="N35">
        <v>1011</v>
      </c>
      <c r="O35" t="s">
        <v>136</v>
      </c>
      <c r="P35" t="s">
        <v>136</v>
      </c>
      <c r="Q35">
        <v>1</v>
      </c>
      <c r="W35">
        <v>0</v>
      </c>
      <c r="X35">
        <v>886480239</v>
      </c>
      <c r="Y35">
        <f t="shared" si="4"/>
        <v>5.15</v>
      </c>
      <c r="AA35">
        <v>0</v>
      </c>
      <c r="AB35">
        <v>2251.6</v>
      </c>
      <c r="AC35">
        <v>797.66</v>
      </c>
      <c r="AD35">
        <v>0</v>
      </c>
      <c r="AE35">
        <v>0</v>
      </c>
      <c r="AF35">
        <v>2251.6</v>
      </c>
      <c r="AG35">
        <v>797.66</v>
      </c>
      <c r="AH35">
        <v>0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3</v>
      </c>
      <c r="AT35">
        <v>5.15</v>
      </c>
      <c r="AU35" t="s">
        <v>3</v>
      </c>
      <c r="AV35">
        <v>0</v>
      </c>
      <c r="AW35">
        <v>2</v>
      </c>
      <c r="AX35">
        <v>78163612</v>
      </c>
      <c r="AY35">
        <v>1</v>
      </c>
      <c r="AZ35">
        <v>0</v>
      </c>
      <c r="BA35">
        <v>34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ROUND(Y35*Source!I32*DO35,9)</f>
        <v>0</v>
      </c>
      <c r="CX35">
        <f>ROUND(Y35*Source!I32,9)</f>
        <v>1.8540000000000001E-2</v>
      </c>
      <c r="CY35">
        <f>AB35</f>
        <v>2251.6</v>
      </c>
      <c r="CZ35">
        <f>AF35</f>
        <v>2251.6</v>
      </c>
      <c r="DA35">
        <f>AJ35</f>
        <v>1</v>
      </c>
      <c r="DB35">
        <f t="shared" si="5"/>
        <v>11595.74</v>
      </c>
      <c r="DC35">
        <f t="shared" si="6"/>
        <v>4107.95</v>
      </c>
      <c r="DD35" t="s">
        <v>3</v>
      </c>
      <c r="DE35" t="s">
        <v>3</v>
      </c>
      <c r="DF35">
        <f t="shared" si="11"/>
        <v>0</v>
      </c>
      <c r="DG35">
        <f t="shared" si="12"/>
        <v>41.74</v>
      </c>
      <c r="DH35">
        <f t="shared" si="13"/>
        <v>14.79</v>
      </c>
      <c r="DI35">
        <f t="shared" si="14"/>
        <v>0</v>
      </c>
      <c r="DJ35">
        <f>DG35</f>
        <v>41.74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ROW(Source!A32)</f>
        <v>32</v>
      </c>
      <c r="B36">
        <v>78163571</v>
      </c>
      <c r="C36">
        <v>78163411</v>
      </c>
      <c r="D36">
        <v>77807651</v>
      </c>
      <c r="E36">
        <v>1</v>
      </c>
      <c r="F36">
        <v>1</v>
      </c>
      <c r="G36">
        <v>37</v>
      </c>
      <c r="H36">
        <v>2</v>
      </c>
      <c r="I36" t="s">
        <v>207</v>
      </c>
      <c r="J36" t="s">
        <v>208</v>
      </c>
      <c r="K36" t="s">
        <v>209</v>
      </c>
      <c r="L36">
        <v>1368</v>
      </c>
      <c r="N36">
        <v>1011</v>
      </c>
      <c r="O36" t="s">
        <v>136</v>
      </c>
      <c r="P36" t="s">
        <v>136</v>
      </c>
      <c r="Q36">
        <v>1</v>
      </c>
      <c r="W36">
        <v>0</v>
      </c>
      <c r="X36">
        <v>-1547220326</v>
      </c>
      <c r="Y36">
        <f t="shared" si="4"/>
        <v>11.26</v>
      </c>
      <c r="AA36">
        <v>0</v>
      </c>
      <c r="AB36">
        <v>1591.69</v>
      </c>
      <c r="AC36">
        <v>856.07</v>
      </c>
      <c r="AD36">
        <v>0</v>
      </c>
      <c r="AE36">
        <v>0</v>
      </c>
      <c r="AF36">
        <v>1591.69</v>
      </c>
      <c r="AG36">
        <v>856.07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11.26</v>
      </c>
      <c r="AU36" t="s">
        <v>3</v>
      </c>
      <c r="AV36">
        <v>0</v>
      </c>
      <c r="AW36">
        <v>2</v>
      </c>
      <c r="AX36">
        <v>78163613</v>
      </c>
      <c r="AY36">
        <v>1</v>
      </c>
      <c r="AZ36">
        <v>0</v>
      </c>
      <c r="BA36">
        <v>35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ROUND(Y36*Source!I32*DO36,9)</f>
        <v>0</v>
      </c>
      <c r="CX36">
        <f>ROUND(Y36*Source!I32,9)</f>
        <v>4.0536000000000003E-2</v>
      </c>
      <c r="CY36">
        <f>AB36</f>
        <v>1591.69</v>
      </c>
      <c r="CZ36">
        <f>AF36</f>
        <v>1591.69</v>
      </c>
      <c r="DA36">
        <f>AJ36</f>
        <v>1</v>
      </c>
      <c r="DB36">
        <f t="shared" si="5"/>
        <v>17922.43</v>
      </c>
      <c r="DC36">
        <f t="shared" si="6"/>
        <v>9639.35</v>
      </c>
      <c r="DD36" t="s">
        <v>3</v>
      </c>
      <c r="DE36" t="s">
        <v>3</v>
      </c>
      <c r="DF36">
        <f t="shared" si="11"/>
        <v>0</v>
      </c>
      <c r="DG36">
        <f t="shared" si="12"/>
        <v>64.52</v>
      </c>
      <c r="DH36">
        <f t="shared" si="13"/>
        <v>34.700000000000003</v>
      </c>
      <c r="DI36">
        <f t="shared" si="14"/>
        <v>0</v>
      </c>
      <c r="DJ36">
        <f>DG36</f>
        <v>64.52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ROW(Source!A32)</f>
        <v>32</v>
      </c>
      <c r="B37">
        <v>78163571</v>
      </c>
      <c r="C37">
        <v>78163411</v>
      </c>
      <c r="D37">
        <v>77807652</v>
      </c>
      <c r="E37">
        <v>1</v>
      </c>
      <c r="F37">
        <v>1</v>
      </c>
      <c r="G37">
        <v>37</v>
      </c>
      <c r="H37">
        <v>2</v>
      </c>
      <c r="I37" t="s">
        <v>210</v>
      </c>
      <c r="J37" t="s">
        <v>211</v>
      </c>
      <c r="K37" t="s">
        <v>212</v>
      </c>
      <c r="L37">
        <v>1368</v>
      </c>
      <c r="N37">
        <v>1011</v>
      </c>
      <c r="O37" t="s">
        <v>136</v>
      </c>
      <c r="P37" t="s">
        <v>136</v>
      </c>
      <c r="Q37">
        <v>1</v>
      </c>
      <c r="W37">
        <v>0</v>
      </c>
      <c r="X37">
        <v>1544061258</v>
      </c>
      <c r="Y37">
        <f t="shared" si="4"/>
        <v>32.19</v>
      </c>
      <c r="AA37">
        <v>0</v>
      </c>
      <c r="AB37">
        <v>2245.2600000000002</v>
      </c>
      <c r="AC37">
        <v>1163.82</v>
      </c>
      <c r="AD37">
        <v>0</v>
      </c>
      <c r="AE37">
        <v>0</v>
      </c>
      <c r="AF37">
        <v>2245.2600000000002</v>
      </c>
      <c r="AG37">
        <v>1163.82</v>
      </c>
      <c r="AH37">
        <v>0</v>
      </c>
      <c r="AI37">
        <v>1</v>
      </c>
      <c r="AJ37">
        <v>1</v>
      </c>
      <c r="AK37">
        <v>1</v>
      </c>
      <c r="AL37">
        <v>1</v>
      </c>
      <c r="AM37">
        <v>-2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32.19</v>
      </c>
      <c r="AU37" t="s">
        <v>3</v>
      </c>
      <c r="AV37">
        <v>0</v>
      </c>
      <c r="AW37">
        <v>2</v>
      </c>
      <c r="AX37">
        <v>78163614</v>
      </c>
      <c r="AY37">
        <v>1</v>
      </c>
      <c r="AZ37">
        <v>0</v>
      </c>
      <c r="BA37">
        <v>36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ROUND(Y37*Source!I32*DO37,9)</f>
        <v>0</v>
      </c>
      <c r="CX37">
        <f>ROUND(Y37*Source!I32,9)</f>
        <v>0.115884</v>
      </c>
      <c r="CY37">
        <f>AB37</f>
        <v>2245.2600000000002</v>
      </c>
      <c r="CZ37">
        <f>AF37</f>
        <v>2245.2600000000002</v>
      </c>
      <c r="DA37">
        <f>AJ37</f>
        <v>1</v>
      </c>
      <c r="DB37">
        <f t="shared" si="5"/>
        <v>72274.92</v>
      </c>
      <c r="DC37">
        <f t="shared" si="6"/>
        <v>37463.370000000003</v>
      </c>
      <c r="DD37" t="s">
        <v>3</v>
      </c>
      <c r="DE37" t="s">
        <v>3</v>
      </c>
      <c r="DF37">
        <f t="shared" si="11"/>
        <v>0</v>
      </c>
      <c r="DG37">
        <f t="shared" si="12"/>
        <v>260.19</v>
      </c>
      <c r="DH37">
        <f t="shared" si="13"/>
        <v>134.87</v>
      </c>
      <c r="DI37">
        <f t="shared" si="14"/>
        <v>0</v>
      </c>
      <c r="DJ37">
        <f>DG37</f>
        <v>260.19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ROW(Source!A32)</f>
        <v>32</v>
      </c>
      <c r="B38">
        <v>78163571</v>
      </c>
      <c r="C38">
        <v>78163411</v>
      </c>
      <c r="D38">
        <v>77807689</v>
      </c>
      <c r="E38">
        <v>1</v>
      </c>
      <c r="F38">
        <v>1</v>
      </c>
      <c r="G38">
        <v>37</v>
      </c>
      <c r="H38">
        <v>2</v>
      </c>
      <c r="I38" t="s">
        <v>213</v>
      </c>
      <c r="J38" t="s">
        <v>214</v>
      </c>
      <c r="K38" t="s">
        <v>215</v>
      </c>
      <c r="L38">
        <v>1368</v>
      </c>
      <c r="N38">
        <v>1011</v>
      </c>
      <c r="O38" t="s">
        <v>136</v>
      </c>
      <c r="P38" t="s">
        <v>136</v>
      </c>
      <c r="Q38">
        <v>1</v>
      </c>
      <c r="W38">
        <v>0</v>
      </c>
      <c r="X38">
        <v>1767356786</v>
      </c>
      <c r="Y38">
        <f t="shared" si="4"/>
        <v>5.81</v>
      </c>
      <c r="AA38">
        <v>0</v>
      </c>
      <c r="AB38">
        <v>2156.7800000000002</v>
      </c>
      <c r="AC38">
        <v>1157.51</v>
      </c>
      <c r="AD38">
        <v>0</v>
      </c>
      <c r="AE38">
        <v>0</v>
      </c>
      <c r="AF38">
        <v>2156.7800000000002</v>
      </c>
      <c r="AG38">
        <v>1157.51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3</v>
      </c>
      <c r="AT38">
        <v>5.81</v>
      </c>
      <c r="AU38" t="s">
        <v>3</v>
      </c>
      <c r="AV38">
        <v>0</v>
      </c>
      <c r="AW38">
        <v>2</v>
      </c>
      <c r="AX38">
        <v>78163615</v>
      </c>
      <c r="AY38">
        <v>1</v>
      </c>
      <c r="AZ38">
        <v>0</v>
      </c>
      <c r="BA38">
        <v>37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f>ROUND(Y38*Source!I32*DO38,9)</f>
        <v>0</v>
      </c>
      <c r="CX38">
        <f>ROUND(Y38*Source!I32,9)</f>
        <v>2.0916000000000001E-2</v>
      </c>
      <c r="CY38">
        <f>AB38</f>
        <v>2156.7800000000002</v>
      </c>
      <c r="CZ38">
        <f>AF38</f>
        <v>2156.7800000000002</v>
      </c>
      <c r="DA38">
        <f>AJ38</f>
        <v>1</v>
      </c>
      <c r="DB38">
        <f t="shared" si="5"/>
        <v>12530.89</v>
      </c>
      <c r="DC38">
        <f t="shared" si="6"/>
        <v>6725.13</v>
      </c>
      <c r="DD38" t="s">
        <v>3</v>
      </c>
      <c r="DE38" t="s">
        <v>3</v>
      </c>
      <c r="DF38">
        <f t="shared" si="11"/>
        <v>0</v>
      </c>
      <c r="DG38">
        <f t="shared" si="12"/>
        <v>45.11</v>
      </c>
      <c r="DH38">
        <f t="shared" si="13"/>
        <v>24.21</v>
      </c>
      <c r="DI38">
        <f t="shared" si="14"/>
        <v>0</v>
      </c>
      <c r="DJ38">
        <f>DG38</f>
        <v>45.11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ROW(Source!A32)</f>
        <v>32</v>
      </c>
      <c r="B39">
        <v>78163571</v>
      </c>
      <c r="C39">
        <v>78163411</v>
      </c>
      <c r="D39">
        <v>77809763</v>
      </c>
      <c r="E39">
        <v>1</v>
      </c>
      <c r="F39">
        <v>1</v>
      </c>
      <c r="G39">
        <v>37</v>
      </c>
      <c r="H39">
        <v>3</v>
      </c>
      <c r="I39" t="s">
        <v>216</v>
      </c>
      <c r="J39" t="s">
        <v>217</v>
      </c>
      <c r="K39" t="s">
        <v>218</v>
      </c>
      <c r="L39">
        <v>1339</v>
      </c>
      <c r="N39">
        <v>1007</v>
      </c>
      <c r="O39" t="s">
        <v>191</v>
      </c>
      <c r="P39" t="s">
        <v>191</v>
      </c>
      <c r="Q39">
        <v>1</v>
      </c>
      <c r="W39">
        <v>0</v>
      </c>
      <c r="X39">
        <v>-1601021275</v>
      </c>
      <c r="Y39">
        <f t="shared" si="4"/>
        <v>11.5</v>
      </c>
      <c r="AA39">
        <v>2971.32</v>
      </c>
      <c r="AB39">
        <v>0</v>
      </c>
      <c r="AC39">
        <v>0</v>
      </c>
      <c r="AD39">
        <v>0</v>
      </c>
      <c r="AE39">
        <v>2971.32</v>
      </c>
      <c r="AF39">
        <v>0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3</v>
      </c>
      <c r="AT39">
        <v>11.5</v>
      </c>
      <c r="AU39" t="s">
        <v>3</v>
      </c>
      <c r="AV39">
        <v>0</v>
      </c>
      <c r="AW39">
        <v>2</v>
      </c>
      <c r="AX39">
        <v>78163616</v>
      </c>
      <c r="AY39">
        <v>1</v>
      </c>
      <c r="AZ39">
        <v>0</v>
      </c>
      <c r="BA39">
        <v>38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v>0</v>
      </c>
      <c r="CX39">
        <f>ROUND(Y39*Source!I32,9)</f>
        <v>4.1399999999999999E-2</v>
      </c>
      <c r="CY39">
        <f>AA39</f>
        <v>2971.32</v>
      </c>
      <c r="CZ39">
        <f>AE39</f>
        <v>2971.32</v>
      </c>
      <c r="DA39">
        <f>AI39</f>
        <v>1</v>
      </c>
      <c r="DB39">
        <f t="shared" si="5"/>
        <v>34170.18</v>
      </c>
      <c r="DC39">
        <f t="shared" si="6"/>
        <v>0</v>
      </c>
      <c r="DD39" t="s">
        <v>3</v>
      </c>
      <c r="DE39" t="s">
        <v>3</v>
      </c>
      <c r="DF39">
        <f t="shared" si="11"/>
        <v>123.01</v>
      </c>
      <c r="DG39">
        <f t="shared" si="12"/>
        <v>0</v>
      </c>
      <c r="DH39">
        <f t="shared" si="13"/>
        <v>0</v>
      </c>
      <c r="DI39">
        <f t="shared" si="14"/>
        <v>0</v>
      </c>
      <c r="DJ39">
        <f>DF39</f>
        <v>123.01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ROW(Source!A32)</f>
        <v>32</v>
      </c>
      <c r="B40">
        <v>78163571</v>
      </c>
      <c r="C40">
        <v>78163411</v>
      </c>
      <c r="D40">
        <v>77809764</v>
      </c>
      <c r="E40">
        <v>1</v>
      </c>
      <c r="F40">
        <v>1</v>
      </c>
      <c r="G40">
        <v>37</v>
      </c>
      <c r="H40">
        <v>3</v>
      </c>
      <c r="I40" t="s">
        <v>219</v>
      </c>
      <c r="J40" t="s">
        <v>220</v>
      </c>
      <c r="K40" t="s">
        <v>221</v>
      </c>
      <c r="L40">
        <v>1339</v>
      </c>
      <c r="N40">
        <v>1007</v>
      </c>
      <c r="O40" t="s">
        <v>191</v>
      </c>
      <c r="P40" t="s">
        <v>191</v>
      </c>
      <c r="Q40">
        <v>1</v>
      </c>
      <c r="W40">
        <v>0</v>
      </c>
      <c r="X40">
        <v>1244762658</v>
      </c>
      <c r="Y40">
        <f t="shared" si="4"/>
        <v>55</v>
      </c>
      <c r="AA40">
        <v>2861.1</v>
      </c>
      <c r="AB40">
        <v>0</v>
      </c>
      <c r="AC40">
        <v>0</v>
      </c>
      <c r="AD40">
        <v>0</v>
      </c>
      <c r="AE40">
        <v>2861.1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3</v>
      </c>
      <c r="AT40">
        <v>55</v>
      </c>
      <c r="AU40" t="s">
        <v>3</v>
      </c>
      <c r="AV40">
        <v>0</v>
      </c>
      <c r="AW40">
        <v>2</v>
      </c>
      <c r="AX40">
        <v>78163617</v>
      </c>
      <c r="AY40">
        <v>1</v>
      </c>
      <c r="AZ40">
        <v>0</v>
      </c>
      <c r="BA40">
        <v>39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ROUND(Y40*Source!I32,9)</f>
        <v>0.19800000000000001</v>
      </c>
      <c r="CY40">
        <f>AA40</f>
        <v>2861.1</v>
      </c>
      <c r="CZ40">
        <f>AE40</f>
        <v>2861.1</v>
      </c>
      <c r="DA40">
        <f>AI40</f>
        <v>1</v>
      </c>
      <c r="DB40">
        <f t="shared" si="5"/>
        <v>157360.5</v>
      </c>
      <c r="DC40">
        <f t="shared" si="6"/>
        <v>0</v>
      </c>
      <c r="DD40" t="s">
        <v>3</v>
      </c>
      <c r="DE40" t="s">
        <v>3</v>
      </c>
      <c r="DF40">
        <f t="shared" si="11"/>
        <v>566.5</v>
      </c>
      <c r="DG40">
        <f t="shared" si="12"/>
        <v>0</v>
      </c>
      <c r="DH40">
        <f t="shared" si="13"/>
        <v>0</v>
      </c>
      <c r="DI40">
        <f t="shared" si="14"/>
        <v>0</v>
      </c>
      <c r="DJ40">
        <f>DF40</f>
        <v>566.5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ROW(Source!A32)</f>
        <v>32</v>
      </c>
      <c r="B41">
        <v>78163571</v>
      </c>
      <c r="C41">
        <v>78163411</v>
      </c>
      <c r="D41">
        <v>77810520</v>
      </c>
      <c r="E41">
        <v>1</v>
      </c>
      <c r="F41">
        <v>1</v>
      </c>
      <c r="G41">
        <v>37</v>
      </c>
      <c r="H41">
        <v>3</v>
      </c>
      <c r="I41" t="s">
        <v>222</v>
      </c>
      <c r="J41" t="s">
        <v>223</v>
      </c>
      <c r="K41" t="s">
        <v>224</v>
      </c>
      <c r="L41">
        <v>1339</v>
      </c>
      <c r="N41">
        <v>1007</v>
      </c>
      <c r="O41" t="s">
        <v>191</v>
      </c>
      <c r="P41" t="s">
        <v>191</v>
      </c>
      <c r="Q41">
        <v>1</v>
      </c>
      <c r="W41">
        <v>0</v>
      </c>
      <c r="X41">
        <v>-1393929784</v>
      </c>
      <c r="Y41">
        <f t="shared" si="4"/>
        <v>25</v>
      </c>
      <c r="AA41">
        <v>49.83</v>
      </c>
      <c r="AB41">
        <v>0</v>
      </c>
      <c r="AC41">
        <v>0</v>
      </c>
      <c r="AD41">
        <v>0</v>
      </c>
      <c r="AE41">
        <v>49.83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25</v>
      </c>
      <c r="AU41" t="s">
        <v>3</v>
      </c>
      <c r="AV41">
        <v>0</v>
      </c>
      <c r="AW41">
        <v>2</v>
      </c>
      <c r="AX41">
        <v>78163618</v>
      </c>
      <c r="AY41">
        <v>1</v>
      </c>
      <c r="AZ41">
        <v>0</v>
      </c>
      <c r="BA41">
        <v>40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ROUND(Y41*Source!I32,9)</f>
        <v>0.09</v>
      </c>
      <c r="CY41">
        <f>AA41</f>
        <v>49.83</v>
      </c>
      <c r="CZ41">
        <f>AE41</f>
        <v>49.83</v>
      </c>
      <c r="DA41">
        <f>AI41</f>
        <v>1</v>
      </c>
      <c r="DB41">
        <f t="shared" si="5"/>
        <v>1245.75</v>
      </c>
      <c r="DC41">
        <f t="shared" si="6"/>
        <v>0</v>
      </c>
      <c r="DD41" t="s">
        <v>3</v>
      </c>
      <c r="DE41" t="s">
        <v>3</v>
      </c>
      <c r="DF41">
        <f t="shared" si="11"/>
        <v>4.4800000000000004</v>
      </c>
      <c r="DG41">
        <f t="shared" si="12"/>
        <v>0</v>
      </c>
      <c r="DH41">
        <f t="shared" si="13"/>
        <v>0</v>
      </c>
      <c r="DI41">
        <f t="shared" si="14"/>
        <v>0</v>
      </c>
      <c r="DJ41">
        <f>DF41</f>
        <v>4.4800000000000004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ROW(Source!A33)</f>
        <v>33</v>
      </c>
      <c r="B42">
        <v>78163571</v>
      </c>
      <c r="C42">
        <v>78163430</v>
      </c>
      <c r="D42">
        <v>77806460</v>
      </c>
      <c r="E42">
        <v>37</v>
      </c>
      <c r="F42">
        <v>1</v>
      </c>
      <c r="G42">
        <v>37</v>
      </c>
      <c r="H42">
        <v>1</v>
      </c>
      <c r="I42" t="s">
        <v>130</v>
      </c>
      <c r="J42" t="s">
        <v>3</v>
      </c>
      <c r="K42" t="s">
        <v>131</v>
      </c>
      <c r="L42">
        <v>1191</v>
      </c>
      <c r="N42">
        <v>1013</v>
      </c>
      <c r="O42" t="s">
        <v>132</v>
      </c>
      <c r="P42" t="s">
        <v>132</v>
      </c>
      <c r="Q42">
        <v>1</v>
      </c>
      <c r="W42">
        <v>0</v>
      </c>
      <c r="X42">
        <v>476480486</v>
      </c>
      <c r="Y42">
        <f t="shared" si="4"/>
        <v>13.57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M42">
        <v>-2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13.57</v>
      </c>
      <c r="AU42" t="s">
        <v>3</v>
      </c>
      <c r="AV42">
        <v>1</v>
      </c>
      <c r="AW42">
        <v>2</v>
      </c>
      <c r="AX42">
        <v>78163619</v>
      </c>
      <c r="AY42">
        <v>1</v>
      </c>
      <c r="AZ42">
        <v>0</v>
      </c>
      <c r="BA42">
        <v>41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ROUND(AT42*Source!I33*AH42*AL42,2)</f>
        <v>0</v>
      </c>
      <c r="CV42">
        <f>ROUND(Y42*Source!I33,9)</f>
        <v>4.8852000000000002</v>
      </c>
      <c r="CW42">
        <v>0</v>
      </c>
      <c r="CX42">
        <f>ROUND(Y42*Source!I33,9)</f>
        <v>4.8852000000000002</v>
      </c>
      <c r="CY42">
        <f>AD42</f>
        <v>0</v>
      </c>
      <c r="CZ42">
        <f>AH42</f>
        <v>0</v>
      </c>
      <c r="DA42">
        <f>AL42</f>
        <v>1</v>
      </c>
      <c r="DB42">
        <f t="shared" si="5"/>
        <v>0</v>
      </c>
      <c r="DC42">
        <f t="shared" si="6"/>
        <v>0</v>
      </c>
      <c r="DD42" t="s">
        <v>3</v>
      </c>
      <c r="DE42" t="s">
        <v>3</v>
      </c>
      <c r="DF42">
        <f t="shared" si="11"/>
        <v>0</v>
      </c>
      <c r="DG42">
        <f t="shared" si="12"/>
        <v>0</v>
      </c>
      <c r="DH42">
        <f t="shared" si="13"/>
        <v>0</v>
      </c>
      <c r="DI42">
        <f t="shared" si="14"/>
        <v>0</v>
      </c>
      <c r="DJ42">
        <f>DI42</f>
        <v>0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ROW(Source!A33)</f>
        <v>33</v>
      </c>
      <c r="B43">
        <v>78163571</v>
      </c>
      <c r="C43">
        <v>78163430</v>
      </c>
      <c r="D43">
        <v>77807653</v>
      </c>
      <c r="E43">
        <v>1</v>
      </c>
      <c r="F43">
        <v>1</v>
      </c>
      <c r="G43">
        <v>37</v>
      </c>
      <c r="H43">
        <v>2</v>
      </c>
      <c r="I43" t="s">
        <v>225</v>
      </c>
      <c r="J43" t="s">
        <v>226</v>
      </c>
      <c r="K43" t="s">
        <v>227</v>
      </c>
      <c r="L43">
        <v>1368</v>
      </c>
      <c r="N43">
        <v>1011</v>
      </c>
      <c r="O43" t="s">
        <v>136</v>
      </c>
      <c r="P43" t="s">
        <v>136</v>
      </c>
      <c r="Q43">
        <v>1</v>
      </c>
      <c r="W43">
        <v>0</v>
      </c>
      <c r="X43">
        <v>1769674977</v>
      </c>
      <c r="Y43">
        <f t="shared" si="4"/>
        <v>0.46</v>
      </c>
      <c r="AA43">
        <v>0</v>
      </c>
      <c r="AB43">
        <v>1284.44</v>
      </c>
      <c r="AC43">
        <v>640.79999999999995</v>
      </c>
      <c r="AD43">
        <v>0</v>
      </c>
      <c r="AE43">
        <v>0</v>
      </c>
      <c r="AF43">
        <v>1284.44</v>
      </c>
      <c r="AG43">
        <v>640.79999999999995</v>
      </c>
      <c r="AH43">
        <v>0</v>
      </c>
      <c r="AI43">
        <v>1</v>
      </c>
      <c r="AJ43">
        <v>1</v>
      </c>
      <c r="AK43">
        <v>1</v>
      </c>
      <c r="AL43">
        <v>1</v>
      </c>
      <c r="AM43">
        <v>-2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0.46</v>
      </c>
      <c r="AU43" t="s">
        <v>3</v>
      </c>
      <c r="AV43">
        <v>0</v>
      </c>
      <c r="AW43">
        <v>2</v>
      </c>
      <c r="AX43">
        <v>78163620</v>
      </c>
      <c r="AY43">
        <v>1</v>
      </c>
      <c r="AZ43">
        <v>0</v>
      </c>
      <c r="BA43">
        <v>42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f>ROUND(Y43*Source!I33*DO43,9)</f>
        <v>0</v>
      </c>
      <c r="CX43">
        <f>ROUND(Y43*Source!I33,9)</f>
        <v>0.1656</v>
      </c>
      <c r="CY43">
        <f>AB43</f>
        <v>1284.44</v>
      </c>
      <c r="CZ43">
        <f>AF43</f>
        <v>1284.44</v>
      </c>
      <c r="DA43">
        <f>AJ43</f>
        <v>1</v>
      </c>
      <c r="DB43">
        <f t="shared" si="5"/>
        <v>590.84</v>
      </c>
      <c r="DC43">
        <f t="shared" si="6"/>
        <v>294.77</v>
      </c>
      <c r="DD43" t="s">
        <v>3</v>
      </c>
      <c r="DE43" t="s">
        <v>3</v>
      </c>
      <c r="DF43">
        <f t="shared" si="11"/>
        <v>0</v>
      </c>
      <c r="DG43">
        <f t="shared" si="12"/>
        <v>212.7</v>
      </c>
      <c r="DH43">
        <f t="shared" si="13"/>
        <v>106.12</v>
      </c>
      <c r="DI43">
        <f t="shared" si="14"/>
        <v>0</v>
      </c>
      <c r="DJ43">
        <f>DG43</f>
        <v>212.7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ROW(Source!A33)</f>
        <v>33</v>
      </c>
      <c r="B44">
        <v>78163571</v>
      </c>
      <c r="C44">
        <v>78163430</v>
      </c>
      <c r="D44">
        <v>77807654</v>
      </c>
      <c r="E44">
        <v>1</v>
      </c>
      <c r="F44">
        <v>1</v>
      </c>
      <c r="G44">
        <v>37</v>
      </c>
      <c r="H44">
        <v>2</v>
      </c>
      <c r="I44" t="s">
        <v>228</v>
      </c>
      <c r="J44" t="s">
        <v>229</v>
      </c>
      <c r="K44" t="s">
        <v>230</v>
      </c>
      <c r="L44">
        <v>1368</v>
      </c>
      <c r="N44">
        <v>1011</v>
      </c>
      <c r="O44" t="s">
        <v>136</v>
      </c>
      <c r="P44" t="s">
        <v>136</v>
      </c>
      <c r="Q44">
        <v>1</v>
      </c>
      <c r="W44">
        <v>0</v>
      </c>
      <c r="X44">
        <v>-1986679427</v>
      </c>
      <c r="Y44">
        <f t="shared" si="4"/>
        <v>1.39</v>
      </c>
      <c r="AA44">
        <v>0</v>
      </c>
      <c r="AB44">
        <v>1304.04</v>
      </c>
      <c r="AC44">
        <v>862.54</v>
      </c>
      <c r="AD44">
        <v>0</v>
      </c>
      <c r="AE44">
        <v>0</v>
      </c>
      <c r="AF44">
        <v>1304.04</v>
      </c>
      <c r="AG44">
        <v>862.54</v>
      </c>
      <c r="AH44">
        <v>0</v>
      </c>
      <c r="AI44">
        <v>1</v>
      </c>
      <c r="AJ44">
        <v>1</v>
      </c>
      <c r="AK44">
        <v>1</v>
      </c>
      <c r="AL44">
        <v>1</v>
      </c>
      <c r="AM44">
        <v>-2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1.39</v>
      </c>
      <c r="AU44" t="s">
        <v>3</v>
      </c>
      <c r="AV44">
        <v>0</v>
      </c>
      <c r="AW44">
        <v>2</v>
      </c>
      <c r="AX44">
        <v>78163621</v>
      </c>
      <c r="AY44">
        <v>1</v>
      </c>
      <c r="AZ44">
        <v>0</v>
      </c>
      <c r="BA44">
        <v>43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f>ROUND(Y44*Source!I33*DO44,9)</f>
        <v>0</v>
      </c>
      <c r="CX44">
        <f>ROUND(Y44*Source!I33,9)</f>
        <v>0.50039999999999996</v>
      </c>
      <c r="CY44">
        <f>AB44</f>
        <v>1304.04</v>
      </c>
      <c r="CZ44">
        <f>AF44</f>
        <v>1304.04</v>
      </c>
      <c r="DA44">
        <f>AJ44</f>
        <v>1</v>
      </c>
      <c r="DB44">
        <f t="shared" si="5"/>
        <v>1812.62</v>
      </c>
      <c r="DC44">
        <f t="shared" si="6"/>
        <v>1198.93</v>
      </c>
      <c r="DD44" t="s">
        <v>3</v>
      </c>
      <c r="DE44" t="s">
        <v>3</v>
      </c>
      <c r="DF44">
        <f t="shared" si="11"/>
        <v>0</v>
      </c>
      <c r="DG44">
        <f t="shared" si="12"/>
        <v>652.54</v>
      </c>
      <c r="DH44">
        <f t="shared" si="13"/>
        <v>431.62</v>
      </c>
      <c r="DI44">
        <f t="shared" si="14"/>
        <v>0</v>
      </c>
      <c r="DJ44">
        <f>DG44</f>
        <v>652.54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ROW(Source!A33)</f>
        <v>33</v>
      </c>
      <c r="B45">
        <v>78163571</v>
      </c>
      <c r="C45">
        <v>78163430</v>
      </c>
      <c r="D45">
        <v>77811742</v>
      </c>
      <c r="E45">
        <v>1</v>
      </c>
      <c r="F45">
        <v>1</v>
      </c>
      <c r="G45">
        <v>37</v>
      </c>
      <c r="H45">
        <v>3</v>
      </c>
      <c r="I45" t="s">
        <v>231</v>
      </c>
      <c r="J45" t="s">
        <v>232</v>
      </c>
      <c r="K45" t="s">
        <v>233</v>
      </c>
      <c r="L45">
        <v>1348</v>
      </c>
      <c r="N45">
        <v>1009</v>
      </c>
      <c r="O45" t="s">
        <v>17</v>
      </c>
      <c r="P45" t="s">
        <v>17</v>
      </c>
      <c r="Q45">
        <v>1000</v>
      </c>
      <c r="W45">
        <v>0</v>
      </c>
      <c r="X45">
        <v>717644448</v>
      </c>
      <c r="Y45">
        <f t="shared" si="4"/>
        <v>9.58</v>
      </c>
      <c r="AA45">
        <v>4597.8500000000004</v>
      </c>
      <c r="AB45">
        <v>0</v>
      </c>
      <c r="AC45">
        <v>0</v>
      </c>
      <c r="AD45">
        <v>0</v>
      </c>
      <c r="AE45">
        <v>4597.8500000000004</v>
      </c>
      <c r="AF45">
        <v>0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M45">
        <v>-2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9.58</v>
      </c>
      <c r="AU45" t="s">
        <v>3</v>
      </c>
      <c r="AV45">
        <v>0</v>
      </c>
      <c r="AW45">
        <v>2</v>
      </c>
      <c r="AX45">
        <v>78163622</v>
      </c>
      <c r="AY45">
        <v>1</v>
      </c>
      <c r="AZ45">
        <v>0</v>
      </c>
      <c r="BA45">
        <v>44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ROUND(Y45*Source!I33,9)</f>
        <v>3.4487999999999999</v>
      </c>
      <c r="CY45">
        <f>AA45</f>
        <v>4597.8500000000004</v>
      </c>
      <c r="CZ45">
        <f>AE45</f>
        <v>4597.8500000000004</v>
      </c>
      <c r="DA45">
        <f>AI45</f>
        <v>1</v>
      </c>
      <c r="DB45">
        <f t="shared" si="5"/>
        <v>44047.4</v>
      </c>
      <c r="DC45">
        <f t="shared" si="6"/>
        <v>0</v>
      </c>
      <c r="DD45" t="s">
        <v>3</v>
      </c>
      <c r="DE45" t="s">
        <v>3</v>
      </c>
      <c r="DF45">
        <f t="shared" si="11"/>
        <v>15857.07</v>
      </c>
      <c r="DG45">
        <f t="shared" si="12"/>
        <v>0</v>
      </c>
      <c r="DH45">
        <f t="shared" si="13"/>
        <v>0</v>
      </c>
      <c r="DI45">
        <f t="shared" si="14"/>
        <v>0</v>
      </c>
      <c r="DJ45">
        <f>DF45</f>
        <v>15857.07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ROW(Source!A34)</f>
        <v>34</v>
      </c>
      <c r="B46">
        <v>78163571</v>
      </c>
      <c r="C46">
        <v>78163439</v>
      </c>
      <c r="D46">
        <v>77806460</v>
      </c>
      <c r="E46">
        <v>37</v>
      </c>
      <c r="F46">
        <v>1</v>
      </c>
      <c r="G46">
        <v>37</v>
      </c>
      <c r="H46">
        <v>1</v>
      </c>
      <c r="I46" t="s">
        <v>130</v>
      </c>
      <c r="J46" t="s">
        <v>3</v>
      </c>
      <c r="K46" t="s">
        <v>131</v>
      </c>
      <c r="L46">
        <v>1191</v>
      </c>
      <c r="N46">
        <v>1013</v>
      </c>
      <c r="O46" t="s">
        <v>132</v>
      </c>
      <c r="P46" t="s">
        <v>132</v>
      </c>
      <c r="Q46">
        <v>1</v>
      </c>
      <c r="W46">
        <v>0</v>
      </c>
      <c r="X46">
        <v>476480486</v>
      </c>
      <c r="Y46">
        <f t="shared" si="4"/>
        <v>73.8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73.8</v>
      </c>
      <c r="AU46" t="s">
        <v>3</v>
      </c>
      <c r="AV46">
        <v>1</v>
      </c>
      <c r="AW46">
        <v>2</v>
      </c>
      <c r="AX46">
        <v>78163623</v>
      </c>
      <c r="AY46">
        <v>1</v>
      </c>
      <c r="AZ46">
        <v>0</v>
      </c>
      <c r="BA46">
        <v>45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U46">
        <f>ROUND(AT46*Source!I34*AH46*AL46,2)</f>
        <v>0</v>
      </c>
      <c r="CV46">
        <f>ROUND(Y46*Source!I34,9)</f>
        <v>13.5792</v>
      </c>
      <c r="CW46">
        <v>0</v>
      </c>
      <c r="CX46">
        <f>ROUND(Y46*Source!I34,9)</f>
        <v>13.5792</v>
      </c>
      <c r="CY46">
        <f>AD46</f>
        <v>0</v>
      </c>
      <c r="CZ46">
        <f>AH46</f>
        <v>0</v>
      </c>
      <c r="DA46">
        <f>AL46</f>
        <v>1</v>
      </c>
      <c r="DB46">
        <f t="shared" si="5"/>
        <v>0</v>
      </c>
      <c r="DC46">
        <f t="shared" si="6"/>
        <v>0</v>
      </c>
      <c r="DD46" t="s">
        <v>3</v>
      </c>
      <c r="DE46" t="s">
        <v>3</v>
      </c>
      <c r="DF46">
        <f t="shared" si="11"/>
        <v>0</v>
      </c>
      <c r="DG46">
        <f t="shared" si="12"/>
        <v>0</v>
      </c>
      <c r="DH46">
        <f t="shared" si="13"/>
        <v>0</v>
      </c>
      <c r="DI46">
        <f t="shared" si="14"/>
        <v>0</v>
      </c>
      <c r="DJ46">
        <f>DI46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ROW(Source!A34)</f>
        <v>34</v>
      </c>
      <c r="B47">
        <v>78163571</v>
      </c>
      <c r="C47">
        <v>78163439</v>
      </c>
      <c r="D47">
        <v>77808902</v>
      </c>
      <c r="E47">
        <v>1</v>
      </c>
      <c r="F47">
        <v>1</v>
      </c>
      <c r="G47">
        <v>37</v>
      </c>
      <c r="H47">
        <v>3</v>
      </c>
      <c r="I47" t="s">
        <v>234</v>
      </c>
      <c r="J47" t="s">
        <v>235</v>
      </c>
      <c r="K47" t="s">
        <v>236</v>
      </c>
      <c r="L47">
        <v>1348</v>
      </c>
      <c r="N47">
        <v>1009</v>
      </c>
      <c r="O47" t="s">
        <v>17</v>
      </c>
      <c r="P47" t="s">
        <v>17</v>
      </c>
      <c r="Q47">
        <v>1000</v>
      </c>
      <c r="W47">
        <v>0</v>
      </c>
      <c r="X47">
        <v>906229719</v>
      </c>
      <c r="Y47">
        <f t="shared" si="4"/>
        <v>1.1299999999999999E-2</v>
      </c>
      <c r="AA47">
        <v>120287.76</v>
      </c>
      <c r="AB47">
        <v>0</v>
      </c>
      <c r="AC47">
        <v>0</v>
      </c>
      <c r="AD47">
        <v>0</v>
      </c>
      <c r="AE47">
        <v>120287.76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1.1299999999999999E-2</v>
      </c>
      <c r="AU47" t="s">
        <v>3</v>
      </c>
      <c r="AV47">
        <v>0</v>
      </c>
      <c r="AW47">
        <v>2</v>
      </c>
      <c r="AX47">
        <v>78163624</v>
      </c>
      <c r="AY47">
        <v>1</v>
      </c>
      <c r="AZ47">
        <v>0</v>
      </c>
      <c r="BA47">
        <v>46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ROUND(Y47*Source!I34,9)</f>
        <v>2.0791999999999998E-3</v>
      </c>
      <c r="CY47">
        <f>AA47</f>
        <v>120287.76</v>
      </c>
      <c r="CZ47">
        <f>AE47</f>
        <v>120287.76</v>
      </c>
      <c r="DA47">
        <f>AI47</f>
        <v>1</v>
      </c>
      <c r="DB47">
        <f t="shared" si="5"/>
        <v>1359.25</v>
      </c>
      <c r="DC47">
        <f t="shared" si="6"/>
        <v>0</v>
      </c>
      <c r="DD47" t="s">
        <v>3</v>
      </c>
      <c r="DE47" t="s">
        <v>3</v>
      </c>
      <c r="DF47">
        <f t="shared" si="11"/>
        <v>250.1</v>
      </c>
      <c r="DG47">
        <f t="shared" si="12"/>
        <v>0</v>
      </c>
      <c r="DH47">
        <f t="shared" si="13"/>
        <v>0</v>
      </c>
      <c r="DI47">
        <f t="shared" si="14"/>
        <v>0</v>
      </c>
      <c r="DJ47">
        <f>DF47</f>
        <v>250.1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ROW(Source!A34)</f>
        <v>34</v>
      </c>
      <c r="B48">
        <v>78163571</v>
      </c>
      <c r="C48">
        <v>78163439</v>
      </c>
      <c r="D48">
        <v>77808945</v>
      </c>
      <c r="E48">
        <v>1</v>
      </c>
      <c r="F48">
        <v>1</v>
      </c>
      <c r="G48">
        <v>37</v>
      </c>
      <c r="H48">
        <v>3</v>
      </c>
      <c r="I48" t="s">
        <v>237</v>
      </c>
      <c r="J48" t="s">
        <v>238</v>
      </c>
      <c r="K48" t="s">
        <v>239</v>
      </c>
      <c r="L48">
        <v>1346</v>
      </c>
      <c r="N48">
        <v>1009</v>
      </c>
      <c r="O48" t="s">
        <v>176</v>
      </c>
      <c r="P48" t="s">
        <v>176</v>
      </c>
      <c r="Q48">
        <v>1</v>
      </c>
      <c r="W48">
        <v>0</v>
      </c>
      <c r="X48">
        <v>-911552969</v>
      </c>
      <c r="Y48">
        <f t="shared" si="4"/>
        <v>6.8</v>
      </c>
      <c r="AA48">
        <v>92.85</v>
      </c>
      <c r="AB48">
        <v>0</v>
      </c>
      <c r="AC48">
        <v>0</v>
      </c>
      <c r="AD48">
        <v>0</v>
      </c>
      <c r="AE48">
        <v>92.85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6.8</v>
      </c>
      <c r="AU48" t="s">
        <v>3</v>
      </c>
      <c r="AV48">
        <v>0</v>
      </c>
      <c r="AW48">
        <v>2</v>
      </c>
      <c r="AX48">
        <v>78163625</v>
      </c>
      <c r="AY48">
        <v>1</v>
      </c>
      <c r="AZ48">
        <v>0</v>
      </c>
      <c r="BA48">
        <v>47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ROUND(Y48*Source!I34,9)</f>
        <v>1.2512000000000001</v>
      </c>
      <c r="CY48">
        <f>AA48</f>
        <v>92.85</v>
      </c>
      <c r="CZ48">
        <f>AE48</f>
        <v>92.85</v>
      </c>
      <c r="DA48">
        <f>AI48</f>
        <v>1</v>
      </c>
      <c r="DB48">
        <f t="shared" si="5"/>
        <v>631.38</v>
      </c>
      <c r="DC48">
        <f t="shared" si="6"/>
        <v>0</v>
      </c>
      <c r="DD48" t="s">
        <v>3</v>
      </c>
      <c r="DE48" t="s">
        <v>3</v>
      </c>
      <c r="DF48">
        <f t="shared" si="11"/>
        <v>116.17</v>
      </c>
      <c r="DG48">
        <f t="shared" si="12"/>
        <v>0</v>
      </c>
      <c r="DH48">
        <f t="shared" si="13"/>
        <v>0</v>
      </c>
      <c r="DI48">
        <f t="shared" si="14"/>
        <v>0</v>
      </c>
      <c r="DJ48">
        <f>DF48</f>
        <v>116.17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ROW(Source!A70)</f>
        <v>70</v>
      </c>
      <c r="B49">
        <v>78163571</v>
      </c>
      <c r="C49">
        <v>78163502</v>
      </c>
      <c r="D49">
        <v>77807461</v>
      </c>
      <c r="E49">
        <v>1</v>
      </c>
      <c r="F49">
        <v>1</v>
      </c>
      <c r="G49">
        <v>37</v>
      </c>
      <c r="H49">
        <v>2</v>
      </c>
      <c r="I49" t="s">
        <v>240</v>
      </c>
      <c r="J49" t="s">
        <v>241</v>
      </c>
      <c r="K49" t="s">
        <v>242</v>
      </c>
      <c r="L49">
        <v>1368</v>
      </c>
      <c r="N49">
        <v>1011</v>
      </c>
      <c r="O49" t="s">
        <v>136</v>
      </c>
      <c r="P49" t="s">
        <v>136</v>
      </c>
      <c r="Q49">
        <v>1</v>
      </c>
      <c r="W49">
        <v>0</v>
      </c>
      <c r="X49">
        <v>337782330</v>
      </c>
      <c r="Y49">
        <f t="shared" si="4"/>
        <v>5.3699999999999998E-2</v>
      </c>
      <c r="AA49">
        <v>0</v>
      </c>
      <c r="AB49">
        <v>2006.63</v>
      </c>
      <c r="AC49">
        <v>777.22</v>
      </c>
      <c r="AD49">
        <v>0</v>
      </c>
      <c r="AE49">
        <v>0</v>
      </c>
      <c r="AF49">
        <v>2006.63</v>
      </c>
      <c r="AG49">
        <v>777.22</v>
      </c>
      <c r="AH49">
        <v>0</v>
      </c>
      <c r="AI49">
        <v>1</v>
      </c>
      <c r="AJ49">
        <v>1</v>
      </c>
      <c r="AK49">
        <v>1</v>
      </c>
      <c r="AL49">
        <v>1</v>
      </c>
      <c r="AM49">
        <v>-2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5.3699999999999998E-2</v>
      </c>
      <c r="AU49" t="s">
        <v>3</v>
      </c>
      <c r="AV49">
        <v>0</v>
      </c>
      <c r="AW49">
        <v>2</v>
      </c>
      <c r="AX49">
        <v>78163626</v>
      </c>
      <c r="AY49">
        <v>1</v>
      </c>
      <c r="AZ49">
        <v>0</v>
      </c>
      <c r="BA49">
        <v>48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f>ROUND(Y49*Source!I70*DO49,9)</f>
        <v>0</v>
      </c>
      <c r="CX49">
        <f>ROUND(Y49*Source!I70,9)</f>
        <v>0.11315664</v>
      </c>
      <c r="CY49">
        <f>AB49</f>
        <v>2006.63</v>
      </c>
      <c r="CZ49">
        <f>AF49</f>
        <v>2006.63</v>
      </c>
      <c r="DA49">
        <f>AJ49</f>
        <v>1</v>
      </c>
      <c r="DB49">
        <f t="shared" si="5"/>
        <v>107.76</v>
      </c>
      <c r="DC49">
        <f t="shared" si="6"/>
        <v>41.74</v>
      </c>
      <c r="DD49" t="s">
        <v>3</v>
      </c>
      <c r="DE49" t="s">
        <v>3</v>
      </c>
      <c r="DF49">
        <f t="shared" si="11"/>
        <v>0</v>
      </c>
      <c r="DG49">
        <f t="shared" si="12"/>
        <v>227.06</v>
      </c>
      <c r="DH49">
        <f t="shared" si="13"/>
        <v>87.95</v>
      </c>
      <c r="DI49">
        <f t="shared" si="14"/>
        <v>0</v>
      </c>
      <c r="DJ49">
        <f>DG49</f>
        <v>227.06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ROW(Source!A71)</f>
        <v>71</v>
      </c>
      <c r="B50">
        <v>78163571</v>
      </c>
      <c r="C50">
        <v>78163505</v>
      </c>
      <c r="D50">
        <v>77808318</v>
      </c>
      <c r="E50">
        <v>1</v>
      </c>
      <c r="F50">
        <v>1</v>
      </c>
      <c r="G50">
        <v>37</v>
      </c>
      <c r="H50">
        <v>2</v>
      </c>
      <c r="I50" t="s">
        <v>243</v>
      </c>
      <c r="J50" t="s">
        <v>244</v>
      </c>
      <c r="K50" t="s">
        <v>245</v>
      </c>
      <c r="L50">
        <v>1368</v>
      </c>
      <c r="N50">
        <v>1011</v>
      </c>
      <c r="O50" t="s">
        <v>136</v>
      </c>
      <c r="P50" t="s">
        <v>136</v>
      </c>
      <c r="Q50">
        <v>1</v>
      </c>
      <c r="W50">
        <v>0</v>
      </c>
      <c r="X50">
        <v>-1971507261</v>
      </c>
      <c r="Y50">
        <f t="shared" si="4"/>
        <v>0.02</v>
      </c>
      <c r="AA50">
        <v>0</v>
      </c>
      <c r="AB50">
        <v>1422.91</v>
      </c>
      <c r="AC50">
        <v>511.7</v>
      </c>
      <c r="AD50">
        <v>0</v>
      </c>
      <c r="AE50">
        <v>0</v>
      </c>
      <c r="AF50">
        <v>1422.91</v>
      </c>
      <c r="AG50">
        <v>511.7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0.02</v>
      </c>
      <c r="AU50" t="s">
        <v>3</v>
      </c>
      <c r="AV50">
        <v>0</v>
      </c>
      <c r="AW50">
        <v>2</v>
      </c>
      <c r="AX50">
        <v>78163627</v>
      </c>
      <c r="AY50">
        <v>1</v>
      </c>
      <c r="AZ50">
        <v>0</v>
      </c>
      <c r="BA50">
        <v>49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f>ROUND(Y50*Source!I71*DO50,9)</f>
        <v>0</v>
      </c>
      <c r="CX50">
        <f>ROUND(Y50*Source!I71,9)</f>
        <v>4.2144000000000001E-2</v>
      </c>
      <c r="CY50">
        <f>AB50</f>
        <v>1422.91</v>
      </c>
      <c r="CZ50">
        <f>AF50</f>
        <v>1422.91</v>
      </c>
      <c r="DA50">
        <f>AJ50</f>
        <v>1</v>
      </c>
      <c r="DB50">
        <f t="shared" si="5"/>
        <v>28.46</v>
      </c>
      <c r="DC50">
        <f t="shared" si="6"/>
        <v>10.23</v>
      </c>
      <c r="DD50" t="s">
        <v>3</v>
      </c>
      <c r="DE50" t="s">
        <v>3</v>
      </c>
      <c r="DF50">
        <f t="shared" si="11"/>
        <v>0</v>
      </c>
      <c r="DG50">
        <f t="shared" si="12"/>
        <v>59.97</v>
      </c>
      <c r="DH50">
        <f t="shared" si="13"/>
        <v>21.57</v>
      </c>
      <c r="DI50">
        <f t="shared" si="14"/>
        <v>0</v>
      </c>
      <c r="DJ50">
        <f>DG50</f>
        <v>59.97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ROW(Source!A71)</f>
        <v>71</v>
      </c>
      <c r="B51">
        <v>78163571</v>
      </c>
      <c r="C51">
        <v>78163505</v>
      </c>
      <c r="D51">
        <v>77808319</v>
      </c>
      <c r="E51">
        <v>1</v>
      </c>
      <c r="F51">
        <v>1</v>
      </c>
      <c r="G51">
        <v>37</v>
      </c>
      <c r="H51">
        <v>2</v>
      </c>
      <c r="I51" t="s">
        <v>246</v>
      </c>
      <c r="J51" t="s">
        <v>247</v>
      </c>
      <c r="K51" t="s">
        <v>248</v>
      </c>
      <c r="L51">
        <v>1368</v>
      </c>
      <c r="N51">
        <v>1011</v>
      </c>
      <c r="O51" t="s">
        <v>136</v>
      </c>
      <c r="P51" t="s">
        <v>136</v>
      </c>
      <c r="Q51">
        <v>1</v>
      </c>
      <c r="W51">
        <v>0</v>
      </c>
      <c r="X51">
        <v>-1141814917</v>
      </c>
      <c r="Y51">
        <f t="shared" si="4"/>
        <v>1.7999999999999999E-2</v>
      </c>
      <c r="AA51">
        <v>0</v>
      </c>
      <c r="AB51">
        <v>1437.02</v>
      </c>
      <c r="AC51">
        <v>512.22</v>
      </c>
      <c r="AD51">
        <v>0</v>
      </c>
      <c r="AE51">
        <v>0</v>
      </c>
      <c r="AF51">
        <v>1437.02</v>
      </c>
      <c r="AG51">
        <v>512.22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1.7999999999999999E-2</v>
      </c>
      <c r="AU51" t="s">
        <v>3</v>
      </c>
      <c r="AV51">
        <v>0</v>
      </c>
      <c r="AW51">
        <v>2</v>
      </c>
      <c r="AX51">
        <v>78163628</v>
      </c>
      <c r="AY51">
        <v>1</v>
      </c>
      <c r="AZ51">
        <v>0</v>
      </c>
      <c r="BA51">
        <v>50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f>ROUND(Y51*Source!I71*DO51,9)</f>
        <v>0</v>
      </c>
      <c r="CX51">
        <f>ROUND(Y51*Source!I71,9)</f>
        <v>3.7929600000000001E-2</v>
      </c>
      <c r="CY51">
        <f>AB51</f>
        <v>1437.02</v>
      </c>
      <c r="CZ51">
        <f>AF51</f>
        <v>1437.02</v>
      </c>
      <c r="DA51">
        <f>AJ51</f>
        <v>1</v>
      </c>
      <c r="DB51">
        <f t="shared" si="5"/>
        <v>25.87</v>
      </c>
      <c r="DC51">
        <f t="shared" si="6"/>
        <v>9.2200000000000006</v>
      </c>
      <c r="DD51" t="s">
        <v>3</v>
      </c>
      <c r="DE51" t="s">
        <v>3</v>
      </c>
      <c r="DF51">
        <f t="shared" si="11"/>
        <v>0</v>
      </c>
      <c r="DG51">
        <f t="shared" si="12"/>
        <v>54.51</v>
      </c>
      <c r="DH51">
        <f t="shared" si="13"/>
        <v>19.43</v>
      </c>
      <c r="DI51">
        <f t="shared" si="14"/>
        <v>0</v>
      </c>
      <c r="DJ51">
        <f>DG51</f>
        <v>54.51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ROW(Source!A72)</f>
        <v>72</v>
      </c>
      <c r="B52">
        <v>78163571</v>
      </c>
      <c r="C52">
        <v>78163510</v>
      </c>
      <c r="D52">
        <v>77808318</v>
      </c>
      <c r="E52">
        <v>1</v>
      </c>
      <c r="F52">
        <v>1</v>
      </c>
      <c r="G52">
        <v>37</v>
      </c>
      <c r="H52">
        <v>2</v>
      </c>
      <c r="I52" t="s">
        <v>243</v>
      </c>
      <c r="J52" t="s">
        <v>244</v>
      </c>
      <c r="K52" t="s">
        <v>245</v>
      </c>
      <c r="L52">
        <v>1368</v>
      </c>
      <c r="N52">
        <v>1011</v>
      </c>
      <c r="O52" t="s">
        <v>136</v>
      </c>
      <c r="P52" t="s">
        <v>136</v>
      </c>
      <c r="Q52">
        <v>1</v>
      </c>
      <c r="W52">
        <v>0</v>
      </c>
      <c r="X52">
        <v>-1971507261</v>
      </c>
      <c r="Y52">
        <f>(AT52*49)</f>
        <v>0.49</v>
      </c>
      <c r="AA52">
        <v>0</v>
      </c>
      <c r="AB52">
        <v>1422.91</v>
      </c>
      <c r="AC52">
        <v>511.7</v>
      </c>
      <c r="AD52">
        <v>0</v>
      </c>
      <c r="AE52">
        <v>0</v>
      </c>
      <c r="AF52">
        <v>1422.91</v>
      </c>
      <c r="AG52">
        <v>511.7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0.01</v>
      </c>
      <c r="AU52" t="s">
        <v>118</v>
      </c>
      <c r="AV52">
        <v>0</v>
      </c>
      <c r="AW52">
        <v>2</v>
      </c>
      <c r="AX52">
        <v>78163629</v>
      </c>
      <c r="AY52">
        <v>1</v>
      </c>
      <c r="AZ52">
        <v>0</v>
      </c>
      <c r="BA52">
        <v>51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f>ROUND(Y52*Source!I72*DO52,9)</f>
        <v>0</v>
      </c>
      <c r="CX52">
        <f>ROUND(Y52*Source!I72,9)</f>
        <v>1.0325279999999999</v>
      </c>
      <c r="CY52">
        <f>AB52</f>
        <v>1422.91</v>
      </c>
      <c r="CZ52">
        <f>AF52</f>
        <v>1422.91</v>
      </c>
      <c r="DA52">
        <f>AJ52</f>
        <v>1</v>
      </c>
      <c r="DB52">
        <f>ROUND((ROUND(AT52*CZ52,2)*49),6)</f>
        <v>697.27</v>
      </c>
      <c r="DC52">
        <f>ROUND((ROUND(AT52*AG52,2)*49),6)</f>
        <v>250.88</v>
      </c>
      <c r="DD52" t="s">
        <v>3</v>
      </c>
      <c r="DE52" t="s">
        <v>3</v>
      </c>
      <c r="DF52">
        <f t="shared" si="11"/>
        <v>0</v>
      </c>
      <c r="DG52">
        <f t="shared" si="12"/>
        <v>1469.19</v>
      </c>
      <c r="DH52">
        <f t="shared" si="13"/>
        <v>528.34</v>
      </c>
      <c r="DI52">
        <f t="shared" si="14"/>
        <v>0</v>
      </c>
      <c r="DJ52">
        <f>DG52</f>
        <v>1469.19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ROW(Source!A72)</f>
        <v>72</v>
      </c>
      <c r="B53">
        <v>78163571</v>
      </c>
      <c r="C53">
        <v>78163510</v>
      </c>
      <c r="D53">
        <v>77808319</v>
      </c>
      <c r="E53">
        <v>1</v>
      </c>
      <c r="F53">
        <v>1</v>
      </c>
      <c r="G53">
        <v>37</v>
      </c>
      <c r="H53">
        <v>2</v>
      </c>
      <c r="I53" t="s">
        <v>246</v>
      </c>
      <c r="J53" t="s">
        <v>247</v>
      </c>
      <c r="K53" t="s">
        <v>248</v>
      </c>
      <c r="L53">
        <v>1368</v>
      </c>
      <c r="N53">
        <v>1011</v>
      </c>
      <c r="O53" t="s">
        <v>136</v>
      </c>
      <c r="P53" t="s">
        <v>136</v>
      </c>
      <c r="Q53">
        <v>1</v>
      </c>
      <c r="W53">
        <v>0</v>
      </c>
      <c r="X53">
        <v>-1141814917</v>
      </c>
      <c r="Y53">
        <f>(AT53*49)</f>
        <v>0.39200000000000002</v>
      </c>
      <c r="AA53">
        <v>0</v>
      </c>
      <c r="AB53">
        <v>1437.02</v>
      </c>
      <c r="AC53">
        <v>512.22</v>
      </c>
      <c r="AD53">
        <v>0</v>
      </c>
      <c r="AE53">
        <v>0</v>
      </c>
      <c r="AF53">
        <v>1437.02</v>
      </c>
      <c r="AG53">
        <v>512.22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8.0000000000000002E-3</v>
      </c>
      <c r="AU53" t="s">
        <v>118</v>
      </c>
      <c r="AV53">
        <v>0</v>
      </c>
      <c r="AW53">
        <v>2</v>
      </c>
      <c r="AX53">
        <v>78163630</v>
      </c>
      <c r="AY53">
        <v>1</v>
      </c>
      <c r="AZ53">
        <v>0</v>
      </c>
      <c r="BA53">
        <v>52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ROUND(Y53*Source!I72*DO53,9)</f>
        <v>0</v>
      </c>
      <c r="CX53">
        <f>ROUND(Y53*Source!I72,9)</f>
        <v>0.82602240000000005</v>
      </c>
      <c r="CY53">
        <f>AB53</f>
        <v>1437.02</v>
      </c>
      <c r="CZ53">
        <f>AF53</f>
        <v>1437.02</v>
      </c>
      <c r="DA53">
        <f>AJ53</f>
        <v>1</v>
      </c>
      <c r="DB53">
        <f>ROUND((ROUND(AT53*CZ53,2)*49),6)</f>
        <v>563.5</v>
      </c>
      <c r="DC53">
        <f>ROUND((ROUND(AT53*AG53,2)*49),6)</f>
        <v>200.9</v>
      </c>
      <c r="DD53" t="s">
        <v>3</v>
      </c>
      <c r="DE53" t="s">
        <v>3</v>
      </c>
      <c r="DF53">
        <f t="shared" si="11"/>
        <v>0</v>
      </c>
      <c r="DG53">
        <f t="shared" si="12"/>
        <v>1187.01</v>
      </c>
      <c r="DH53">
        <f t="shared" si="13"/>
        <v>423.11</v>
      </c>
      <c r="DI53">
        <f t="shared" si="14"/>
        <v>0</v>
      </c>
      <c r="DJ53">
        <f>DG53</f>
        <v>1187.01</v>
      </c>
      <c r="DK53">
        <v>0</v>
      </c>
      <c r="DL53" t="s">
        <v>3</v>
      </c>
      <c r="DM53">
        <v>0</v>
      </c>
      <c r="DN53" t="s">
        <v>3</v>
      </c>
      <c r="DO5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78163579</v>
      </c>
      <c r="C1">
        <v>78163344</v>
      </c>
      <c r="D1">
        <v>77806460</v>
      </c>
      <c r="E1">
        <v>37</v>
      </c>
      <c r="F1">
        <v>1</v>
      </c>
      <c r="G1">
        <v>37</v>
      </c>
      <c r="H1">
        <v>1</v>
      </c>
      <c r="I1" t="s">
        <v>130</v>
      </c>
      <c r="J1" t="s">
        <v>3</v>
      </c>
      <c r="K1" t="s">
        <v>131</v>
      </c>
      <c r="L1">
        <v>1191</v>
      </c>
      <c r="N1">
        <v>1013</v>
      </c>
      <c r="O1" t="s">
        <v>132</v>
      </c>
      <c r="P1" t="s">
        <v>132</v>
      </c>
      <c r="Q1">
        <v>1</v>
      </c>
      <c r="X1">
        <v>41.28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20</v>
      </c>
      <c r="AG1">
        <v>8.2560000000000002</v>
      </c>
      <c r="AH1">
        <v>2</v>
      </c>
      <c r="AI1">
        <v>78163345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78163580</v>
      </c>
      <c r="C2">
        <v>78163344</v>
      </c>
      <c r="D2">
        <v>77807931</v>
      </c>
      <c r="E2">
        <v>1</v>
      </c>
      <c r="F2">
        <v>1</v>
      </c>
      <c r="G2">
        <v>37</v>
      </c>
      <c r="H2">
        <v>2</v>
      </c>
      <c r="I2" t="s">
        <v>133</v>
      </c>
      <c r="J2" t="s">
        <v>134</v>
      </c>
      <c r="K2" t="s">
        <v>135</v>
      </c>
      <c r="L2">
        <v>1368</v>
      </c>
      <c r="N2">
        <v>1011</v>
      </c>
      <c r="O2" t="s">
        <v>136</v>
      </c>
      <c r="P2" t="s">
        <v>136</v>
      </c>
      <c r="Q2">
        <v>1</v>
      </c>
      <c r="X2">
        <v>0.42</v>
      </c>
      <c r="Y2">
        <v>0</v>
      </c>
      <c r="Z2">
        <v>60.72</v>
      </c>
      <c r="AA2">
        <v>0.55000000000000004</v>
      </c>
      <c r="AB2">
        <v>0</v>
      </c>
      <c r="AC2">
        <v>0</v>
      </c>
      <c r="AD2">
        <v>1</v>
      </c>
      <c r="AE2">
        <v>0</v>
      </c>
      <c r="AF2" t="s">
        <v>20</v>
      </c>
      <c r="AG2">
        <v>8.4000000000000005E-2</v>
      </c>
      <c r="AH2">
        <v>2</v>
      </c>
      <c r="AI2">
        <v>78163346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78163581</v>
      </c>
      <c r="C3">
        <v>78163344</v>
      </c>
      <c r="D3">
        <v>77808392</v>
      </c>
      <c r="E3">
        <v>1</v>
      </c>
      <c r="F3">
        <v>1</v>
      </c>
      <c r="G3">
        <v>37</v>
      </c>
      <c r="H3">
        <v>2</v>
      </c>
      <c r="I3" t="s">
        <v>137</v>
      </c>
      <c r="J3" t="s">
        <v>138</v>
      </c>
      <c r="K3" t="s">
        <v>139</v>
      </c>
      <c r="L3">
        <v>1368</v>
      </c>
      <c r="N3">
        <v>1011</v>
      </c>
      <c r="O3" t="s">
        <v>136</v>
      </c>
      <c r="P3" t="s">
        <v>136</v>
      </c>
      <c r="Q3">
        <v>1</v>
      </c>
      <c r="X3">
        <v>7.7</v>
      </c>
      <c r="Y3">
        <v>0</v>
      </c>
      <c r="Z3">
        <v>33.69</v>
      </c>
      <c r="AA3">
        <v>0.03</v>
      </c>
      <c r="AB3">
        <v>0</v>
      </c>
      <c r="AC3">
        <v>0</v>
      </c>
      <c r="AD3">
        <v>1</v>
      </c>
      <c r="AE3">
        <v>0</v>
      </c>
      <c r="AF3" t="s">
        <v>20</v>
      </c>
      <c r="AG3">
        <v>1.54</v>
      </c>
      <c r="AH3">
        <v>2</v>
      </c>
      <c r="AI3">
        <v>78163347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ROW(Source!A28)</f>
        <v>28</v>
      </c>
      <c r="B4">
        <v>78163582</v>
      </c>
      <c r="C4">
        <v>78163344</v>
      </c>
      <c r="D4">
        <v>77807605</v>
      </c>
      <c r="E4">
        <v>1</v>
      </c>
      <c r="F4">
        <v>1</v>
      </c>
      <c r="G4">
        <v>37</v>
      </c>
      <c r="H4">
        <v>2</v>
      </c>
      <c r="I4" t="s">
        <v>140</v>
      </c>
      <c r="J4" t="s">
        <v>141</v>
      </c>
      <c r="K4" t="s">
        <v>142</v>
      </c>
      <c r="L4">
        <v>1368</v>
      </c>
      <c r="N4">
        <v>1011</v>
      </c>
      <c r="O4" t="s">
        <v>136</v>
      </c>
      <c r="P4" t="s">
        <v>136</v>
      </c>
      <c r="Q4">
        <v>1</v>
      </c>
      <c r="X4">
        <v>3.96</v>
      </c>
      <c r="Y4">
        <v>0</v>
      </c>
      <c r="Z4">
        <v>14.52</v>
      </c>
      <c r="AA4">
        <v>0.03</v>
      </c>
      <c r="AB4">
        <v>0</v>
      </c>
      <c r="AC4">
        <v>0</v>
      </c>
      <c r="AD4">
        <v>1</v>
      </c>
      <c r="AE4">
        <v>0</v>
      </c>
      <c r="AF4" t="s">
        <v>20</v>
      </c>
      <c r="AG4">
        <v>0.79200000000000004</v>
      </c>
      <c r="AH4">
        <v>2</v>
      </c>
      <c r="AI4">
        <v>78163348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ROW(Source!A28)</f>
        <v>28</v>
      </c>
      <c r="B5">
        <v>78163583</v>
      </c>
      <c r="C5">
        <v>78163344</v>
      </c>
      <c r="D5">
        <v>77809525</v>
      </c>
      <c r="E5">
        <v>1</v>
      </c>
      <c r="F5">
        <v>1</v>
      </c>
      <c r="G5">
        <v>37</v>
      </c>
      <c r="H5">
        <v>3</v>
      </c>
      <c r="I5" t="s">
        <v>143</v>
      </c>
      <c r="J5" t="s">
        <v>144</v>
      </c>
      <c r="K5" t="s">
        <v>145</v>
      </c>
      <c r="L5">
        <v>1348</v>
      </c>
      <c r="N5">
        <v>1009</v>
      </c>
      <c r="O5" t="s">
        <v>17</v>
      </c>
      <c r="P5" t="s">
        <v>17</v>
      </c>
      <c r="Q5">
        <v>1000</v>
      </c>
      <c r="X5">
        <v>1.0500000000000001E-2</v>
      </c>
      <c r="Y5">
        <v>173260.69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19</v>
      </c>
      <c r="AG5">
        <v>0</v>
      </c>
      <c r="AH5">
        <v>2</v>
      </c>
      <c r="AI5">
        <v>78163349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ROW(Source!A28)</f>
        <v>28</v>
      </c>
      <c r="B6">
        <v>78163584</v>
      </c>
      <c r="C6">
        <v>78163344</v>
      </c>
      <c r="D6">
        <v>77810399</v>
      </c>
      <c r="E6">
        <v>1</v>
      </c>
      <c r="F6">
        <v>1</v>
      </c>
      <c r="G6">
        <v>37</v>
      </c>
      <c r="H6">
        <v>3</v>
      </c>
      <c r="I6" t="s">
        <v>146</v>
      </c>
      <c r="J6" t="s">
        <v>147</v>
      </c>
      <c r="K6" t="s">
        <v>148</v>
      </c>
      <c r="L6">
        <v>1348</v>
      </c>
      <c r="N6">
        <v>1009</v>
      </c>
      <c r="O6" t="s">
        <v>17</v>
      </c>
      <c r="P6" t="s">
        <v>17</v>
      </c>
      <c r="Q6">
        <v>1000</v>
      </c>
      <c r="X6">
        <v>4.0000000000000001E-3</v>
      </c>
      <c r="Y6">
        <v>106831.32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19</v>
      </c>
      <c r="AG6">
        <v>0</v>
      </c>
      <c r="AH6">
        <v>2</v>
      </c>
      <c r="AI6">
        <v>78163350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ROW(Source!A28)</f>
        <v>28</v>
      </c>
      <c r="B7">
        <v>78163585</v>
      </c>
      <c r="C7">
        <v>78163344</v>
      </c>
      <c r="D7">
        <v>77812637</v>
      </c>
      <c r="E7">
        <v>1</v>
      </c>
      <c r="F7">
        <v>1</v>
      </c>
      <c r="G7">
        <v>37</v>
      </c>
      <c r="H7">
        <v>3</v>
      </c>
      <c r="I7" t="s">
        <v>149</v>
      </c>
      <c r="J7" t="s">
        <v>150</v>
      </c>
      <c r="K7" t="s">
        <v>151</v>
      </c>
      <c r="L7">
        <v>1348</v>
      </c>
      <c r="N7">
        <v>1009</v>
      </c>
      <c r="O7" t="s">
        <v>17</v>
      </c>
      <c r="P7" t="s">
        <v>17</v>
      </c>
      <c r="Q7">
        <v>1000</v>
      </c>
      <c r="X7">
        <v>1E-3</v>
      </c>
      <c r="Y7">
        <v>160649.89000000001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19</v>
      </c>
      <c r="AG7">
        <v>0</v>
      </c>
      <c r="AH7">
        <v>2</v>
      </c>
      <c r="AI7">
        <v>78163351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ROW(Source!A28)</f>
        <v>28</v>
      </c>
      <c r="B8">
        <v>78163586</v>
      </c>
      <c r="C8">
        <v>78163344</v>
      </c>
      <c r="D8">
        <v>77812651</v>
      </c>
      <c r="E8">
        <v>1</v>
      </c>
      <c r="F8">
        <v>1</v>
      </c>
      <c r="G8">
        <v>37</v>
      </c>
      <c r="H8">
        <v>3</v>
      </c>
      <c r="I8" t="s">
        <v>152</v>
      </c>
      <c r="J8" t="s">
        <v>153</v>
      </c>
      <c r="K8" t="s">
        <v>154</v>
      </c>
      <c r="L8">
        <v>1348</v>
      </c>
      <c r="N8">
        <v>1009</v>
      </c>
      <c r="O8" t="s">
        <v>17</v>
      </c>
      <c r="P8" t="s">
        <v>17</v>
      </c>
      <c r="Q8">
        <v>1000</v>
      </c>
      <c r="X8">
        <v>1</v>
      </c>
      <c r="Y8">
        <v>153505.48000000001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19</v>
      </c>
      <c r="AG8">
        <v>0</v>
      </c>
      <c r="AH8">
        <v>2</v>
      </c>
      <c r="AI8">
        <v>78163352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ROW(Source!A29)</f>
        <v>29</v>
      </c>
      <c r="B9">
        <v>78163587</v>
      </c>
      <c r="C9">
        <v>78163361</v>
      </c>
      <c r="D9">
        <v>77806460</v>
      </c>
      <c r="E9">
        <v>37</v>
      </c>
      <c r="F9">
        <v>1</v>
      </c>
      <c r="G9">
        <v>37</v>
      </c>
      <c r="H9">
        <v>1</v>
      </c>
      <c r="I9" t="s">
        <v>130</v>
      </c>
      <c r="J9" t="s">
        <v>3</v>
      </c>
      <c r="K9" t="s">
        <v>131</v>
      </c>
      <c r="L9">
        <v>1191</v>
      </c>
      <c r="N9">
        <v>1013</v>
      </c>
      <c r="O9" t="s">
        <v>132</v>
      </c>
      <c r="P9" t="s">
        <v>132</v>
      </c>
      <c r="Q9">
        <v>1</v>
      </c>
      <c r="X9">
        <v>41.28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1</v>
      </c>
      <c r="AF9" t="s">
        <v>3</v>
      </c>
      <c r="AG9">
        <v>41.28</v>
      </c>
      <c r="AH9">
        <v>2</v>
      </c>
      <c r="AI9">
        <v>78163362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ROW(Source!A29)</f>
        <v>29</v>
      </c>
      <c r="B10">
        <v>78163588</v>
      </c>
      <c r="C10">
        <v>78163361</v>
      </c>
      <c r="D10">
        <v>77807931</v>
      </c>
      <c r="E10">
        <v>1</v>
      </c>
      <c r="F10">
        <v>1</v>
      </c>
      <c r="G10">
        <v>37</v>
      </c>
      <c r="H10">
        <v>2</v>
      </c>
      <c r="I10" t="s">
        <v>133</v>
      </c>
      <c r="J10" t="s">
        <v>134</v>
      </c>
      <c r="K10" t="s">
        <v>135</v>
      </c>
      <c r="L10">
        <v>1368</v>
      </c>
      <c r="N10">
        <v>1011</v>
      </c>
      <c r="O10" t="s">
        <v>136</v>
      </c>
      <c r="P10" t="s">
        <v>136</v>
      </c>
      <c r="Q10">
        <v>1</v>
      </c>
      <c r="X10">
        <v>0.42</v>
      </c>
      <c r="Y10">
        <v>0</v>
      </c>
      <c r="Z10">
        <v>60.72</v>
      </c>
      <c r="AA10">
        <v>0.55000000000000004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0.42</v>
      </c>
      <c r="AH10">
        <v>2</v>
      </c>
      <c r="AI10">
        <v>78163363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ROW(Source!A29)</f>
        <v>29</v>
      </c>
      <c r="B11">
        <v>78163589</v>
      </c>
      <c r="C11">
        <v>78163361</v>
      </c>
      <c r="D11">
        <v>77808392</v>
      </c>
      <c r="E11">
        <v>1</v>
      </c>
      <c r="F11">
        <v>1</v>
      </c>
      <c r="G11">
        <v>37</v>
      </c>
      <c r="H11">
        <v>2</v>
      </c>
      <c r="I11" t="s">
        <v>137</v>
      </c>
      <c r="J11" t="s">
        <v>138</v>
      </c>
      <c r="K11" t="s">
        <v>139</v>
      </c>
      <c r="L11">
        <v>1368</v>
      </c>
      <c r="N11">
        <v>1011</v>
      </c>
      <c r="O11" t="s">
        <v>136</v>
      </c>
      <c r="P11" t="s">
        <v>136</v>
      </c>
      <c r="Q11">
        <v>1</v>
      </c>
      <c r="X11">
        <v>7.7</v>
      </c>
      <c r="Y11">
        <v>0</v>
      </c>
      <c r="Z11">
        <v>33.69</v>
      </c>
      <c r="AA11">
        <v>0.03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7.7</v>
      </c>
      <c r="AH11">
        <v>2</v>
      </c>
      <c r="AI11">
        <v>78163364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ROW(Source!A29)</f>
        <v>29</v>
      </c>
      <c r="B12">
        <v>78163590</v>
      </c>
      <c r="C12">
        <v>78163361</v>
      </c>
      <c r="D12">
        <v>77807605</v>
      </c>
      <c r="E12">
        <v>1</v>
      </c>
      <c r="F12">
        <v>1</v>
      </c>
      <c r="G12">
        <v>37</v>
      </c>
      <c r="H12">
        <v>2</v>
      </c>
      <c r="I12" t="s">
        <v>140</v>
      </c>
      <c r="J12" t="s">
        <v>141</v>
      </c>
      <c r="K12" t="s">
        <v>142</v>
      </c>
      <c r="L12">
        <v>1368</v>
      </c>
      <c r="N12">
        <v>1011</v>
      </c>
      <c r="O12" t="s">
        <v>136</v>
      </c>
      <c r="P12" t="s">
        <v>136</v>
      </c>
      <c r="Q12">
        <v>1</v>
      </c>
      <c r="X12">
        <v>3.96</v>
      </c>
      <c r="Y12">
        <v>0</v>
      </c>
      <c r="Z12">
        <v>14.52</v>
      </c>
      <c r="AA12">
        <v>0.03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3.96</v>
      </c>
      <c r="AH12">
        <v>2</v>
      </c>
      <c r="AI12">
        <v>78163365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ROW(Source!A29)</f>
        <v>29</v>
      </c>
      <c r="B13">
        <v>78163591</v>
      </c>
      <c r="C13">
        <v>78163361</v>
      </c>
      <c r="D13">
        <v>77809525</v>
      </c>
      <c r="E13">
        <v>1</v>
      </c>
      <c r="F13">
        <v>1</v>
      </c>
      <c r="G13">
        <v>37</v>
      </c>
      <c r="H13">
        <v>3</v>
      </c>
      <c r="I13" t="s">
        <v>143</v>
      </c>
      <c r="J13" t="s">
        <v>144</v>
      </c>
      <c r="K13" t="s">
        <v>145</v>
      </c>
      <c r="L13">
        <v>1348</v>
      </c>
      <c r="N13">
        <v>1009</v>
      </c>
      <c r="O13" t="s">
        <v>17</v>
      </c>
      <c r="P13" t="s">
        <v>17</v>
      </c>
      <c r="Q13">
        <v>1000</v>
      </c>
      <c r="X13">
        <v>1.0500000000000001E-2</v>
      </c>
      <c r="Y13">
        <v>173260.69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1.0500000000000001E-2</v>
      </c>
      <c r="AH13">
        <v>2</v>
      </c>
      <c r="AI13">
        <v>78163366</v>
      </c>
      <c r="AJ13">
        <v>14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ROW(Source!A29)</f>
        <v>29</v>
      </c>
      <c r="B14">
        <v>78163592</v>
      </c>
      <c r="C14">
        <v>78163361</v>
      </c>
      <c r="D14">
        <v>77810399</v>
      </c>
      <c r="E14">
        <v>1</v>
      </c>
      <c r="F14">
        <v>1</v>
      </c>
      <c r="G14">
        <v>37</v>
      </c>
      <c r="H14">
        <v>3</v>
      </c>
      <c r="I14" t="s">
        <v>146</v>
      </c>
      <c r="J14" t="s">
        <v>147</v>
      </c>
      <c r="K14" t="s">
        <v>148</v>
      </c>
      <c r="L14">
        <v>1348</v>
      </c>
      <c r="N14">
        <v>1009</v>
      </c>
      <c r="O14" t="s">
        <v>17</v>
      </c>
      <c r="P14" t="s">
        <v>17</v>
      </c>
      <c r="Q14">
        <v>1000</v>
      </c>
      <c r="X14">
        <v>4.0000000000000001E-3</v>
      </c>
      <c r="Y14">
        <v>106831.32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4.0000000000000001E-3</v>
      </c>
      <c r="AH14">
        <v>2</v>
      </c>
      <c r="AI14">
        <v>78163367</v>
      </c>
      <c r="AJ14">
        <v>15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ROW(Source!A29)</f>
        <v>29</v>
      </c>
      <c r="B15">
        <v>78163593</v>
      </c>
      <c r="C15">
        <v>78163361</v>
      </c>
      <c r="D15">
        <v>77812637</v>
      </c>
      <c r="E15">
        <v>1</v>
      </c>
      <c r="F15">
        <v>1</v>
      </c>
      <c r="G15">
        <v>37</v>
      </c>
      <c r="H15">
        <v>3</v>
      </c>
      <c r="I15" t="s">
        <v>149</v>
      </c>
      <c r="J15" t="s">
        <v>150</v>
      </c>
      <c r="K15" t="s">
        <v>151</v>
      </c>
      <c r="L15">
        <v>1348</v>
      </c>
      <c r="N15">
        <v>1009</v>
      </c>
      <c r="O15" t="s">
        <v>17</v>
      </c>
      <c r="P15" t="s">
        <v>17</v>
      </c>
      <c r="Q15">
        <v>1000</v>
      </c>
      <c r="X15">
        <v>1E-3</v>
      </c>
      <c r="Y15">
        <v>160649.89000000001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1E-3</v>
      </c>
      <c r="AH15">
        <v>2</v>
      </c>
      <c r="AI15">
        <v>78163368</v>
      </c>
      <c r="AJ15">
        <v>16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ROW(Source!A29)</f>
        <v>29</v>
      </c>
      <c r="B16">
        <v>78163594</v>
      </c>
      <c r="C16">
        <v>78163361</v>
      </c>
      <c r="D16">
        <v>77812651</v>
      </c>
      <c r="E16">
        <v>1</v>
      </c>
      <c r="F16">
        <v>1</v>
      </c>
      <c r="G16">
        <v>37</v>
      </c>
      <c r="H16">
        <v>3</v>
      </c>
      <c r="I16" t="s">
        <v>152</v>
      </c>
      <c r="J16" t="s">
        <v>153</v>
      </c>
      <c r="K16" t="s">
        <v>154</v>
      </c>
      <c r="L16">
        <v>1348</v>
      </c>
      <c r="N16">
        <v>1009</v>
      </c>
      <c r="O16" t="s">
        <v>17</v>
      </c>
      <c r="P16" t="s">
        <v>17</v>
      </c>
      <c r="Q16">
        <v>1000</v>
      </c>
      <c r="X16">
        <v>1</v>
      </c>
      <c r="Y16">
        <v>153505.48000000001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1</v>
      </c>
      <c r="AH16">
        <v>2</v>
      </c>
      <c r="AI16">
        <v>78163369</v>
      </c>
      <c r="AJ16">
        <v>17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ROW(Source!A31)</f>
        <v>31</v>
      </c>
      <c r="B17">
        <v>78163595</v>
      </c>
      <c r="C17">
        <v>78163380</v>
      </c>
      <c r="D17">
        <v>77806460</v>
      </c>
      <c r="E17">
        <v>37</v>
      </c>
      <c r="F17">
        <v>1</v>
      </c>
      <c r="G17">
        <v>37</v>
      </c>
      <c r="H17">
        <v>1</v>
      </c>
      <c r="I17" t="s">
        <v>130</v>
      </c>
      <c r="J17" t="s">
        <v>3</v>
      </c>
      <c r="K17" t="s">
        <v>131</v>
      </c>
      <c r="L17">
        <v>1191</v>
      </c>
      <c r="N17">
        <v>1013</v>
      </c>
      <c r="O17" t="s">
        <v>132</v>
      </c>
      <c r="P17" t="s">
        <v>132</v>
      </c>
      <c r="Q17">
        <v>1</v>
      </c>
      <c r="X17">
        <v>28.63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1</v>
      </c>
      <c r="AF17" t="s">
        <v>3</v>
      </c>
      <c r="AG17">
        <v>28.63</v>
      </c>
      <c r="AH17">
        <v>2</v>
      </c>
      <c r="AI17">
        <v>78163381</v>
      </c>
      <c r="AJ17">
        <v>18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ROW(Source!A31)</f>
        <v>31</v>
      </c>
      <c r="B18">
        <v>78163596</v>
      </c>
      <c r="C18">
        <v>78163380</v>
      </c>
      <c r="D18">
        <v>77807925</v>
      </c>
      <c r="E18">
        <v>1</v>
      </c>
      <c r="F18">
        <v>1</v>
      </c>
      <c r="G18">
        <v>37</v>
      </c>
      <c r="H18">
        <v>2</v>
      </c>
      <c r="I18" t="s">
        <v>155</v>
      </c>
      <c r="J18" t="s">
        <v>156</v>
      </c>
      <c r="K18" t="s">
        <v>157</v>
      </c>
      <c r="L18">
        <v>1368</v>
      </c>
      <c r="N18">
        <v>1011</v>
      </c>
      <c r="O18" t="s">
        <v>136</v>
      </c>
      <c r="P18" t="s">
        <v>136</v>
      </c>
      <c r="Q18">
        <v>1</v>
      </c>
      <c r="X18">
        <v>3.53</v>
      </c>
      <c r="Y18">
        <v>0</v>
      </c>
      <c r="Z18">
        <v>34.270000000000003</v>
      </c>
      <c r="AA18">
        <v>0.23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3.53</v>
      </c>
      <c r="AH18">
        <v>2</v>
      </c>
      <c r="AI18">
        <v>78163382</v>
      </c>
      <c r="AJ18">
        <v>19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ROW(Source!A31)</f>
        <v>31</v>
      </c>
      <c r="B19">
        <v>78163597</v>
      </c>
      <c r="C19">
        <v>78163380</v>
      </c>
      <c r="D19">
        <v>77808326</v>
      </c>
      <c r="E19">
        <v>1</v>
      </c>
      <c r="F19">
        <v>1</v>
      </c>
      <c r="G19">
        <v>37</v>
      </c>
      <c r="H19">
        <v>2</v>
      </c>
      <c r="I19" t="s">
        <v>158</v>
      </c>
      <c r="J19" t="s">
        <v>159</v>
      </c>
      <c r="K19" t="s">
        <v>160</v>
      </c>
      <c r="L19">
        <v>1368</v>
      </c>
      <c r="N19">
        <v>1011</v>
      </c>
      <c r="O19" t="s">
        <v>136</v>
      </c>
      <c r="P19" t="s">
        <v>136</v>
      </c>
      <c r="Q19">
        <v>1</v>
      </c>
      <c r="X19">
        <v>0.03</v>
      </c>
      <c r="Y19">
        <v>0</v>
      </c>
      <c r="Z19">
        <v>1335.8</v>
      </c>
      <c r="AA19">
        <v>668.13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0.03</v>
      </c>
      <c r="AH19">
        <v>2</v>
      </c>
      <c r="AI19">
        <v>78163383</v>
      </c>
      <c r="AJ19">
        <v>20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ROW(Source!A31)</f>
        <v>31</v>
      </c>
      <c r="B20">
        <v>78163598</v>
      </c>
      <c r="C20">
        <v>78163380</v>
      </c>
      <c r="D20">
        <v>77808366</v>
      </c>
      <c r="E20">
        <v>1</v>
      </c>
      <c r="F20">
        <v>1</v>
      </c>
      <c r="G20">
        <v>37</v>
      </c>
      <c r="H20">
        <v>2</v>
      </c>
      <c r="I20" t="s">
        <v>161</v>
      </c>
      <c r="J20" t="s">
        <v>162</v>
      </c>
      <c r="K20" t="s">
        <v>163</v>
      </c>
      <c r="L20">
        <v>1368</v>
      </c>
      <c r="N20">
        <v>1011</v>
      </c>
      <c r="O20" t="s">
        <v>136</v>
      </c>
      <c r="P20" t="s">
        <v>136</v>
      </c>
      <c r="Q20">
        <v>1</v>
      </c>
      <c r="X20">
        <v>21.46</v>
      </c>
      <c r="Y20">
        <v>0</v>
      </c>
      <c r="Z20">
        <v>4.74</v>
      </c>
      <c r="AA20">
        <v>0.02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21.46</v>
      </c>
      <c r="AH20">
        <v>2</v>
      </c>
      <c r="AI20">
        <v>78163384</v>
      </c>
      <c r="AJ20">
        <v>21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ROW(Source!A31)</f>
        <v>31</v>
      </c>
      <c r="B21">
        <v>78163599</v>
      </c>
      <c r="C21">
        <v>78163380</v>
      </c>
      <c r="D21">
        <v>77808375</v>
      </c>
      <c r="E21">
        <v>1</v>
      </c>
      <c r="F21">
        <v>1</v>
      </c>
      <c r="G21">
        <v>37</v>
      </c>
      <c r="H21">
        <v>2</v>
      </c>
      <c r="I21" t="s">
        <v>164</v>
      </c>
      <c r="J21" t="s">
        <v>165</v>
      </c>
      <c r="K21" t="s">
        <v>166</v>
      </c>
      <c r="L21">
        <v>1368</v>
      </c>
      <c r="N21">
        <v>1011</v>
      </c>
      <c r="O21" t="s">
        <v>136</v>
      </c>
      <c r="P21" t="s">
        <v>136</v>
      </c>
      <c r="Q21">
        <v>1</v>
      </c>
      <c r="X21">
        <v>0.19</v>
      </c>
      <c r="Y21">
        <v>0</v>
      </c>
      <c r="Z21">
        <v>17.14</v>
      </c>
      <c r="AA21">
        <v>1.33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0.19</v>
      </c>
      <c r="AH21">
        <v>2</v>
      </c>
      <c r="AI21">
        <v>78163385</v>
      </c>
      <c r="AJ21">
        <v>22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ROW(Source!A31)</f>
        <v>31</v>
      </c>
      <c r="B22">
        <v>78163600</v>
      </c>
      <c r="C22">
        <v>78163380</v>
      </c>
      <c r="D22">
        <v>77808387</v>
      </c>
      <c r="E22">
        <v>1</v>
      </c>
      <c r="F22">
        <v>1</v>
      </c>
      <c r="G22">
        <v>37</v>
      </c>
      <c r="H22">
        <v>2</v>
      </c>
      <c r="I22" t="s">
        <v>167</v>
      </c>
      <c r="J22" t="s">
        <v>168</v>
      </c>
      <c r="K22" t="s">
        <v>169</v>
      </c>
      <c r="L22">
        <v>1368</v>
      </c>
      <c r="N22">
        <v>1011</v>
      </c>
      <c r="O22" t="s">
        <v>136</v>
      </c>
      <c r="P22" t="s">
        <v>136</v>
      </c>
      <c r="Q22">
        <v>1</v>
      </c>
      <c r="X22">
        <v>0.34</v>
      </c>
      <c r="Y22">
        <v>0</v>
      </c>
      <c r="Z22">
        <v>763.41</v>
      </c>
      <c r="AA22">
        <v>685.33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0.34</v>
      </c>
      <c r="AH22">
        <v>2</v>
      </c>
      <c r="AI22">
        <v>78163386</v>
      </c>
      <c r="AJ22">
        <v>23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ROW(Source!A31)</f>
        <v>31</v>
      </c>
      <c r="B23">
        <v>78163601</v>
      </c>
      <c r="C23">
        <v>78163380</v>
      </c>
      <c r="D23">
        <v>77809504</v>
      </c>
      <c r="E23">
        <v>1</v>
      </c>
      <c r="F23">
        <v>1</v>
      </c>
      <c r="G23">
        <v>37</v>
      </c>
      <c r="H23">
        <v>3</v>
      </c>
      <c r="I23" t="s">
        <v>170</v>
      </c>
      <c r="J23" t="s">
        <v>171</v>
      </c>
      <c r="K23" t="s">
        <v>172</v>
      </c>
      <c r="L23">
        <v>1348</v>
      </c>
      <c r="N23">
        <v>1009</v>
      </c>
      <c r="O23" t="s">
        <v>17</v>
      </c>
      <c r="P23" t="s">
        <v>17</v>
      </c>
      <c r="Q23">
        <v>1000</v>
      </c>
      <c r="X23">
        <v>1.7999999999999999E-2</v>
      </c>
      <c r="Y23">
        <v>313897.40999999997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1.7999999999999999E-2</v>
      </c>
      <c r="AH23">
        <v>2</v>
      </c>
      <c r="AI23">
        <v>78163387</v>
      </c>
      <c r="AJ23">
        <v>24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ROW(Source!A31)</f>
        <v>31</v>
      </c>
      <c r="B24">
        <v>78163602</v>
      </c>
      <c r="C24">
        <v>78163380</v>
      </c>
      <c r="D24">
        <v>77810391</v>
      </c>
      <c r="E24">
        <v>1</v>
      </c>
      <c r="F24">
        <v>1</v>
      </c>
      <c r="G24">
        <v>37</v>
      </c>
      <c r="H24">
        <v>3</v>
      </c>
      <c r="I24" t="s">
        <v>173</v>
      </c>
      <c r="J24" t="s">
        <v>174</v>
      </c>
      <c r="K24" t="s">
        <v>175</v>
      </c>
      <c r="L24">
        <v>1346</v>
      </c>
      <c r="N24">
        <v>1009</v>
      </c>
      <c r="O24" t="s">
        <v>176</v>
      </c>
      <c r="P24" t="s">
        <v>176</v>
      </c>
      <c r="Q24">
        <v>1</v>
      </c>
      <c r="X24">
        <v>0.439</v>
      </c>
      <c r="Y24">
        <v>168.83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0.439</v>
      </c>
      <c r="AH24">
        <v>2</v>
      </c>
      <c r="AI24">
        <v>78163388</v>
      </c>
      <c r="AJ24">
        <v>25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ROW(Source!A31)</f>
        <v>31</v>
      </c>
      <c r="B25">
        <v>78163603</v>
      </c>
      <c r="C25">
        <v>78163380</v>
      </c>
      <c r="D25">
        <v>77811275</v>
      </c>
      <c r="E25">
        <v>1</v>
      </c>
      <c r="F25">
        <v>1</v>
      </c>
      <c r="G25">
        <v>37</v>
      </c>
      <c r="H25">
        <v>3</v>
      </c>
      <c r="I25" t="s">
        <v>177</v>
      </c>
      <c r="J25" t="s">
        <v>178</v>
      </c>
      <c r="K25" t="s">
        <v>179</v>
      </c>
      <c r="L25">
        <v>1354</v>
      </c>
      <c r="N25">
        <v>1010</v>
      </c>
      <c r="O25" t="s">
        <v>180</v>
      </c>
      <c r="P25" t="s">
        <v>180</v>
      </c>
      <c r="Q25">
        <v>1</v>
      </c>
      <c r="X25">
        <v>42.63</v>
      </c>
      <c r="Y25">
        <v>30.05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42.63</v>
      </c>
      <c r="AH25">
        <v>2</v>
      </c>
      <c r="AI25">
        <v>78163389</v>
      </c>
      <c r="AJ25">
        <v>26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ROW(Source!A31)</f>
        <v>31</v>
      </c>
      <c r="B26">
        <v>78163604</v>
      </c>
      <c r="C26">
        <v>78163380</v>
      </c>
      <c r="D26">
        <v>77811140</v>
      </c>
      <c r="E26">
        <v>1</v>
      </c>
      <c r="F26">
        <v>1</v>
      </c>
      <c r="G26">
        <v>37</v>
      </c>
      <c r="H26">
        <v>3</v>
      </c>
      <c r="I26" t="s">
        <v>181</v>
      </c>
      <c r="J26" t="s">
        <v>182</v>
      </c>
      <c r="K26" t="s">
        <v>183</v>
      </c>
      <c r="L26">
        <v>1354</v>
      </c>
      <c r="N26">
        <v>1010</v>
      </c>
      <c r="O26" t="s">
        <v>180</v>
      </c>
      <c r="P26" t="s">
        <v>180</v>
      </c>
      <c r="Q26">
        <v>1</v>
      </c>
      <c r="X26">
        <v>0.222</v>
      </c>
      <c r="Y26">
        <v>80.48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0.222</v>
      </c>
      <c r="AH26">
        <v>2</v>
      </c>
      <c r="AI26">
        <v>78163390</v>
      </c>
      <c r="AJ26">
        <v>27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ROW(Source!A31)</f>
        <v>31</v>
      </c>
      <c r="B27">
        <v>78163606</v>
      </c>
      <c r="C27">
        <v>78163380</v>
      </c>
      <c r="D27">
        <v>77815309</v>
      </c>
      <c r="E27">
        <v>1</v>
      </c>
      <c r="F27">
        <v>1</v>
      </c>
      <c r="G27">
        <v>37</v>
      </c>
      <c r="H27">
        <v>3</v>
      </c>
      <c r="I27" t="s">
        <v>184</v>
      </c>
      <c r="J27" t="s">
        <v>185</v>
      </c>
      <c r="K27" t="s">
        <v>186</v>
      </c>
      <c r="L27">
        <v>1301</v>
      </c>
      <c r="N27">
        <v>1003</v>
      </c>
      <c r="O27" t="s">
        <v>187</v>
      </c>
      <c r="P27" t="s">
        <v>187</v>
      </c>
      <c r="Q27">
        <v>1</v>
      </c>
      <c r="X27">
        <v>22.22</v>
      </c>
      <c r="Y27">
        <v>481.95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22.22</v>
      </c>
      <c r="AH27">
        <v>2</v>
      </c>
      <c r="AI27">
        <v>78163392</v>
      </c>
      <c r="AJ27">
        <v>28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ROW(Source!A31)</f>
        <v>31</v>
      </c>
      <c r="B28">
        <v>78163605</v>
      </c>
      <c r="C28">
        <v>78163380</v>
      </c>
      <c r="D28">
        <v>77808715</v>
      </c>
      <c r="E28">
        <v>1</v>
      </c>
      <c r="F28">
        <v>1</v>
      </c>
      <c r="G28">
        <v>37</v>
      </c>
      <c r="H28">
        <v>3</v>
      </c>
      <c r="I28" t="s">
        <v>188</v>
      </c>
      <c r="J28" t="s">
        <v>189</v>
      </c>
      <c r="K28" t="s">
        <v>190</v>
      </c>
      <c r="L28">
        <v>1339</v>
      </c>
      <c r="N28">
        <v>1007</v>
      </c>
      <c r="O28" t="s">
        <v>191</v>
      </c>
      <c r="P28" t="s">
        <v>191</v>
      </c>
      <c r="Q28">
        <v>1</v>
      </c>
      <c r="X28">
        <v>0.63600000000000001</v>
      </c>
      <c r="Y28">
        <v>479.86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0.63600000000000001</v>
      </c>
      <c r="AH28">
        <v>2</v>
      </c>
      <c r="AI28">
        <v>78163391</v>
      </c>
      <c r="AJ28">
        <v>29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ROW(Source!A31)</f>
        <v>31</v>
      </c>
      <c r="B29">
        <v>78163607</v>
      </c>
      <c r="C29">
        <v>78163380</v>
      </c>
      <c r="D29">
        <v>77813323</v>
      </c>
      <c r="E29">
        <v>1</v>
      </c>
      <c r="F29">
        <v>1</v>
      </c>
      <c r="G29">
        <v>37</v>
      </c>
      <c r="H29">
        <v>3</v>
      </c>
      <c r="I29" t="s">
        <v>192</v>
      </c>
      <c r="J29" t="s">
        <v>193</v>
      </c>
      <c r="K29" t="s">
        <v>194</v>
      </c>
      <c r="L29">
        <v>1354</v>
      </c>
      <c r="N29">
        <v>1010</v>
      </c>
      <c r="O29" t="s">
        <v>180</v>
      </c>
      <c r="P29" t="s">
        <v>180</v>
      </c>
      <c r="Q29">
        <v>1</v>
      </c>
      <c r="X29">
        <v>11</v>
      </c>
      <c r="Y29">
        <v>979.95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11</v>
      </c>
      <c r="AH29">
        <v>2</v>
      </c>
      <c r="AI29">
        <v>78163393</v>
      </c>
      <c r="AJ29">
        <v>30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ROW(Source!A31)</f>
        <v>31</v>
      </c>
      <c r="B30">
        <v>78163608</v>
      </c>
      <c r="C30">
        <v>78163380</v>
      </c>
      <c r="D30">
        <v>77813324</v>
      </c>
      <c r="E30">
        <v>1</v>
      </c>
      <c r="F30">
        <v>1</v>
      </c>
      <c r="G30">
        <v>37</v>
      </c>
      <c r="H30">
        <v>3</v>
      </c>
      <c r="I30" t="s">
        <v>195</v>
      </c>
      <c r="J30" t="s">
        <v>196</v>
      </c>
      <c r="K30" t="s">
        <v>197</v>
      </c>
      <c r="L30">
        <v>1354</v>
      </c>
      <c r="N30">
        <v>1010</v>
      </c>
      <c r="O30" t="s">
        <v>180</v>
      </c>
      <c r="P30" t="s">
        <v>180</v>
      </c>
      <c r="Q30">
        <v>1</v>
      </c>
      <c r="X30">
        <v>11</v>
      </c>
      <c r="Y30">
        <v>622.54999999999995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11</v>
      </c>
      <c r="AH30">
        <v>2</v>
      </c>
      <c r="AI30">
        <v>78163394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ROW(Source!A31)</f>
        <v>31</v>
      </c>
      <c r="B31">
        <v>78163609</v>
      </c>
      <c r="C31">
        <v>78163380</v>
      </c>
      <c r="D31">
        <v>77813325</v>
      </c>
      <c r="E31">
        <v>1</v>
      </c>
      <c r="F31">
        <v>1</v>
      </c>
      <c r="G31">
        <v>37</v>
      </c>
      <c r="H31">
        <v>3</v>
      </c>
      <c r="I31" t="s">
        <v>198</v>
      </c>
      <c r="J31" t="s">
        <v>199</v>
      </c>
      <c r="K31" t="s">
        <v>200</v>
      </c>
      <c r="L31">
        <v>1354</v>
      </c>
      <c r="N31">
        <v>1010</v>
      </c>
      <c r="O31" t="s">
        <v>180</v>
      </c>
      <c r="P31" t="s">
        <v>180</v>
      </c>
      <c r="Q31">
        <v>1</v>
      </c>
      <c r="X31">
        <v>22</v>
      </c>
      <c r="Y31">
        <v>514.42999999999995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22</v>
      </c>
      <c r="AH31">
        <v>2</v>
      </c>
      <c r="AI31">
        <v>78163395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ROW(Source!A32)</f>
        <v>32</v>
      </c>
      <c r="B32">
        <v>78163610</v>
      </c>
      <c r="C32">
        <v>78163411</v>
      </c>
      <c r="D32">
        <v>77806460</v>
      </c>
      <c r="E32">
        <v>37</v>
      </c>
      <c r="F32">
        <v>1</v>
      </c>
      <c r="G32">
        <v>37</v>
      </c>
      <c r="H32">
        <v>1</v>
      </c>
      <c r="I32" t="s">
        <v>130</v>
      </c>
      <c r="J32" t="s">
        <v>3</v>
      </c>
      <c r="K32" t="s">
        <v>131</v>
      </c>
      <c r="L32">
        <v>1191</v>
      </c>
      <c r="N32">
        <v>1013</v>
      </c>
      <c r="O32" t="s">
        <v>132</v>
      </c>
      <c r="P32" t="s">
        <v>132</v>
      </c>
      <c r="Q32">
        <v>1</v>
      </c>
      <c r="X32">
        <v>87.29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1</v>
      </c>
      <c r="AF32" t="s">
        <v>3</v>
      </c>
      <c r="AG32">
        <v>87.29</v>
      </c>
      <c r="AH32">
        <v>2</v>
      </c>
      <c r="AI32">
        <v>78163412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ROW(Source!A32)</f>
        <v>32</v>
      </c>
      <c r="B33">
        <v>78163611</v>
      </c>
      <c r="C33">
        <v>78163411</v>
      </c>
      <c r="D33">
        <v>77807505</v>
      </c>
      <c r="E33">
        <v>1</v>
      </c>
      <c r="F33">
        <v>1</v>
      </c>
      <c r="G33">
        <v>37</v>
      </c>
      <c r="H33">
        <v>2</v>
      </c>
      <c r="I33" t="s">
        <v>201</v>
      </c>
      <c r="J33" t="s">
        <v>202</v>
      </c>
      <c r="K33" t="s">
        <v>203</v>
      </c>
      <c r="L33">
        <v>1368</v>
      </c>
      <c r="N33">
        <v>1011</v>
      </c>
      <c r="O33" t="s">
        <v>136</v>
      </c>
      <c r="P33" t="s">
        <v>136</v>
      </c>
      <c r="Q33">
        <v>1</v>
      </c>
      <c r="X33">
        <v>1.59</v>
      </c>
      <c r="Y33">
        <v>0</v>
      </c>
      <c r="Z33">
        <v>1112.05</v>
      </c>
      <c r="AA33">
        <v>667.4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1.59</v>
      </c>
      <c r="AH33">
        <v>2</v>
      </c>
      <c r="AI33">
        <v>78163413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ROW(Source!A32)</f>
        <v>32</v>
      </c>
      <c r="B34">
        <v>78163612</v>
      </c>
      <c r="C34">
        <v>78163411</v>
      </c>
      <c r="D34">
        <v>77807665</v>
      </c>
      <c r="E34">
        <v>1</v>
      </c>
      <c r="F34">
        <v>1</v>
      </c>
      <c r="G34">
        <v>37</v>
      </c>
      <c r="H34">
        <v>2</v>
      </c>
      <c r="I34" t="s">
        <v>204</v>
      </c>
      <c r="J34" t="s">
        <v>205</v>
      </c>
      <c r="K34" t="s">
        <v>206</v>
      </c>
      <c r="L34">
        <v>1368</v>
      </c>
      <c r="N34">
        <v>1011</v>
      </c>
      <c r="O34" t="s">
        <v>136</v>
      </c>
      <c r="P34" t="s">
        <v>136</v>
      </c>
      <c r="Q34">
        <v>1</v>
      </c>
      <c r="X34">
        <v>5.15</v>
      </c>
      <c r="Y34">
        <v>0</v>
      </c>
      <c r="Z34">
        <v>2251.6</v>
      </c>
      <c r="AA34">
        <v>797.66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5.15</v>
      </c>
      <c r="AH34">
        <v>2</v>
      </c>
      <c r="AI34">
        <v>78163414</v>
      </c>
      <c r="AJ34">
        <v>35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ROW(Source!A32)</f>
        <v>32</v>
      </c>
      <c r="B35">
        <v>78163613</v>
      </c>
      <c r="C35">
        <v>78163411</v>
      </c>
      <c r="D35">
        <v>77807651</v>
      </c>
      <c r="E35">
        <v>1</v>
      </c>
      <c r="F35">
        <v>1</v>
      </c>
      <c r="G35">
        <v>37</v>
      </c>
      <c r="H35">
        <v>2</v>
      </c>
      <c r="I35" t="s">
        <v>207</v>
      </c>
      <c r="J35" t="s">
        <v>208</v>
      </c>
      <c r="K35" t="s">
        <v>209</v>
      </c>
      <c r="L35">
        <v>1368</v>
      </c>
      <c r="N35">
        <v>1011</v>
      </c>
      <c r="O35" t="s">
        <v>136</v>
      </c>
      <c r="P35" t="s">
        <v>136</v>
      </c>
      <c r="Q35">
        <v>1</v>
      </c>
      <c r="X35">
        <v>11.26</v>
      </c>
      <c r="Y35">
        <v>0</v>
      </c>
      <c r="Z35">
        <v>1591.69</v>
      </c>
      <c r="AA35">
        <v>856.07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11.26</v>
      </c>
      <c r="AH35">
        <v>2</v>
      </c>
      <c r="AI35">
        <v>78163415</v>
      </c>
      <c r="AJ35">
        <v>36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ROW(Source!A32)</f>
        <v>32</v>
      </c>
      <c r="B36">
        <v>78163614</v>
      </c>
      <c r="C36">
        <v>78163411</v>
      </c>
      <c r="D36">
        <v>77807652</v>
      </c>
      <c r="E36">
        <v>1</v>
      </c>
      <c r="F36">
        <v>1</v>
      </c>
      <c r="G36">
        <v>37</v>
      </c>
      <c r="H36">
        <v>2</v>
      </c>
      <c r="I36" t="s">
        <v>210</v>
      </c>
      <c r="J36" t="s">
        <v>211</v>
      </c>
      <c r="K36" t="s">
        <v>212</v>
      </c>
      <c r="L36">
        <v>1368</v>
      </c>
      <c r="N36">
        <v>1011</v>
      </c>
      <c r="O36" t="s">
        <v>136</v>
      </c>
      <c r="P36" t="s">
        <v>136</v>
      </c>
      <c r="Q36">
        <v>1</v>
      </c>
      <c r="X36">
        <v>32.19</v>
      </c>
      <c r="Y36">
        <v>0</v>
      </c>
      <c r="Z36">
        <v>2245.2600000000002</v>
      </c>
      <c r="AA36">
        <v>1163.82</v>
      </c>
      <c r="AB36">
        <v>0</v>
      </c>
      <c r="AC36">
        <v>0</v>
      </c>
      <c r="AD36">
        <v>1</v>
      </c>
      <c r="AE36">
        <v>0</v>
      </c>
      <c r="AF36" t="s">
        <v>3</v>
      </c>
      <c r="AG36">
        <v>32.19</v>
      </c>
      <c r="AH36">
        <v>2</v>
      </c>
      <c r="AI36">
        <v>78163416</v>
      </c>
      <c r="AJ36">
        <v>37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ROW(Source!A32)</f>
        <v>32</v>
      </c>
      <c r="B37">
        <v>78163615</v>
      </c>
      <c r="C37">
        <v>78163411</v>
      </c>
      <c r="D37">
        <v>77807689</v>
      </c>
      <c r="E37">
        <v>1</v>
      </c>
      <c r="F37">
        <v>1</v>
      </c>
      <c r="G37">
        <v>37</v>
      </c>
      <c r="H37">
        <v>2</v>
      </c>
      <c r="I37" t="s">
        <v>213</v>
      </c>
      <c r="J37" t="s">
        <v>214</v>
      </c>
      <c r="K37" t="s">
        <v>215</v>
      </c>
      <c r="L37">
        <v>1368</v>
      </c>
      <c r="N37">
        <v>1011</v>
      </c>
      <c r="O37" t="s">
        <v>136</v>
      </c>
      <c r="P37" t="s">
        <v>136</v>
      </c>
      <c r="Q37">
        <v>1</v>
      </c>
      <c r="X37">
        <v>5.81</v>
      </c>
      <c r="Y37">
        <v>0</v>
      </c>
      <c r="Z37">
        <v>2156.7800000000002</v>
      </c>
      <c r="AA37">
        <v>1157.51</v>
      </c>
      <c r="AB37">
        <v>0</v>
      </c>
      <c r="AC37">
        <v>0</v>
      </c>
      <c r="AD37">
        <v>1</v>
      </c>
      <c r="AE37">
        <v>0</v>
      </c>
      <c r="AF37" t="s">
        <v>3</v>
      </c>
      <c r="AG37">
        <v>5.81</v>
      </c>
      <c r="AH37">
        <v>2</v>
      </c>
      <c r="AI37">
        <v>78163417</v>
      </c>
      <c r="AJ37">
        <v>38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ROW(Source!A32)</f>
        <v>32</v>
      </c>
      <c r="B38">
        <v>78163616</v>
      </c>
      <c r="C38">
        <v>78163411</v>
      </c>
      <c r="D38">
        <v>77809763</v>
      </c>
      <c r="E38">
        <v>1</v>
      </c>
      <c r="F38">
        <v>1</v>
      </c>
      <c r="G38">
        <v>37</v>
      </c>
      <c r="H38">
        <v>3</v>
      </c>
      <c r="I38" t="s">
        <v>216</v>
      </c>
      <c r="J38" t="s">
        <v>217</v>
      </c>
      <c r="K38" t="s">
        <v>218</v>
      </c>
      <c r="L38">
        <v>1339</v>
      </c>
      <c r="N38">
        <v>1007</v>
      </c>
      <c r="O38" t="s">
        <v>191</v>
      </c>
      <c r="P38" t="s">
        <v>191</v>
      </c>
      <c r="Q38">
        <v>1</v>
      </c>
      <c r="X38">
        <v>11.5</v>
      </c>
      <c r="Y38">
        <v>2971.32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11.5</v>
      </c>
      <c r="AH38">
        <v>2</v>
      </c>
      <c r="AI38">
        <v>78163418</v>
      </c>
      <c r="AJ38">
        <v>39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ROW(Source!A32)</f>
        <v>32</v>
      </c>
      <c r="B39">
        <v>78163617</v>
      </c>
      <c r="C39">
        <v>78163411</v>
      </c>
      <c r="D39">
        <v>77809764</v>
      </c>
      <c r="E39">
        <v>1</v>
      </c>
      <c r="F39">
        <v>1</v>
      </c>
      <c r="G39">
        <v>37</v>
      </c>
      <c r="H39">
        <v>3</v>
      </c>
      <c r="I39" t="s">
        <v>219</v>
      </c>
      <c r="J39" t="s">
        <v>220</v>
      </c>
      <c r="K39" t="s">
        <v>221</v>
      </c>
      <c r="L39">
        <v>1339</v>
      </c>
      <c r="N39">
        <v>1007</v>
      </c>
      <c r="O39" t="s">
        <v>191</v>
      </c>
      <c r="P39" t="s">
        <v>191</v>
      </c>
      <c r="Q39">
        <v>1</v>
      </c>
      <c r="X39">
        <v>55</v>
      </c>
      <c r="Y39">
        <v>2861.1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3</v>
      </c>
      <c r="AG39">
        <v>55</v>
      </c>
      <c r="AH39">
        <v>2</v>
      </c>
      <c r="AI39">
        <v>78163419</v>
      </c>
      <c r="AJ39">
        <v>40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ROW(Source!A32)</f>
        <v>32</v>
      </c>
      <c r="B40">
        <v>78163618</v>
      </c>
      <c r="C40">
        <v>78163411</v>
      </c>
      <c r="D40">
        <v>77810520</v>
      </c>
      <c r="E40">
        <v>1</v>
      </c>
      <c r="F40">
        <v>1</v>
      </c>
      <c r="G40">
        <v>37</v>
      </c>
      <c r="H40">
        <v>3</v>
      </c>
      <c r="I40" t="s">
        <v>222</v>
      </c>
      <c r="J40" t="s">
        <v>223</v>
      </c>
      <c r="K40" t="s">
        <v>224</v>
      </c>
      <c r="L40">
        <v>1339</v>
      </c>
      <c r="N40">
        <v>1007</v>
      </c>
      <c r="O40" t="s">
        <v>191</v>
      </c>
      <c r="P40" t="s">
        <v>191</v>
      </c>
      <c r="Q40">
        <v>1</v>
      </c>
      <c r="X40">
        <v>25</v>
      </c>
      <c r="Y40">
        <v>49.83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25</v>
      </c>
      <c r="AH40">
        <v>2</v>
      </c>
      <c r="AI40">
        <v>78163420</v>
      </c>
      <c r="AJ40">
        <v>41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ROW(Source!A33)</f>
        <v>33</v>
      </c>
      <c r="B41">
        <v>78163619</v>
      </c>
      <c r="C41">
        <v>78163430</v>
      </c>
      <c r="D41">
        <v>77806460</v>
      </c>
      <c r="E41">
        <v>37</v>
      </c>
      <c r="F41">
        <v>1</v>
      </c>
      <c r="G41">
        <v>37</v>
      </c>
      <c r="H41">
        <v>1</v>
      </c>
      <c r="I41" t="s">
        <v>130</v>
      </c>
      <c r="J41" t="s">
        <v>3</v>
      </c>
      <c r="K41" t="s">
        <v>131</v>
      </c>
      <c r="L41">
        <v>1191</v>
      </c>
      <c r="N41">
        <v>1013</v>
      </c>
      <c r="O41" t="s">
        <v>132</v>
      </c>
      <c r="P41" t="s">
        <v>132</v>
      </c>
      <c r="Q41">
        <v>1</v>
      </c>
      <c r="X41">
        <v>13.57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1</v>
      </c>
      <c r="AF41" t="s">
        <v>3</v>
      </c>
      <c r="AG41">
        <v>13.57</v>
      </c>
      <c r="AH41">
        <v>2</v>
      </c>
      <c r="AI41">
        <v>78163431</v>
      </c>
      <c r="AJ41">
        <v>42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ROW(Source!A33)</f>
        <v>33</v>
      </c>
      <c r="B42">
        <v>78163620</v>
      </c>
      <c r="C42">
        <v>78163430</v>
      </c>
      <c r="D42">
        <v>77807653</v>
      </c>
      <c r="E42">
        <v>1</v>
      </c>
      <c r="F42">
        <v>1</v>
      </c>
      <c r="G42">
        <v>37</v>
      </c>
      <c r="H42">
        <v>2</v>
      </c>
      <c r="I42" t="s">
        <v>225</v>
      </c>
      <c r="J42" t="s">
        <v>226</v>
      </c>
      <c r="K42" t="s">
        <v>227</v>
      </c>
      <c r="L42">
        <v>1368</v>
      </c>
      <c r="N42">
        <v>1011</v>
      </c>
      <c r="O42" t="s">
        <v>136</v>
      </c>
      <c r="P42" t="s">
        <v>136</v>
      </c>
      <c r="Q42">
        <v>1</v>
      </c>
      <c r="X42">
        <v>0.46</v>
      </c>
      <c r="Y42">
        <v>0</v>
      </c>
      <c r="Z42">
        <v>1284.44</v>
      </c>
      <c r="AA42">
        <v>640.79999999999995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0.46</v>
      </c>
      <c r="AH42">
        <v>2</v>
      </c>
      <c r="AI42">
        <v>78163432</v>
      </c>
      <c r="AJ42">
        <v>43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ROW(Source!A33)</f>
        <v>33</v>
      </c>
      <c r="B43">
        <v>78163621</v>
      </c>
      <c r="C43">
        <v>78163430</v>
      </c>
      <c r="D43">
        <v>77807654</v>
      </c>
      <c r="E43">
        <v>1</v>
      </c>
      <c r="F43">
        <v>1</v>
      </c>
      <c r="G43">
        <v>37</v>
      </c>
      <c r="H43">
        <v>2</v>
      </c>
      <c r="I43" t="s">
        <v>228</v>
      </c>
      <c r="J43" t="s">
        <v>229</v>
      </c>
      <c r="K43" t="s">
        <v>230</v>
      </c>
      <c r="L43">
        <v>1368</v>
      </c>
      <c r="N43">
        <v>1011</v>
      </c>
      <c r="O43" t="s">
        <v>136</v>
      </c>
      <c r="P43" t="s">
        <v>136</v>
      </c>
      <c r="Q43">
        <v>1</v>
      </c>
      <c r="X43">
        <v>1.39</v>
      </c>
      <c r="Y43">
        <v>0</v>
      </c>
      <c r="Z43">
        <v>1304.04</v>
      </c>
      <c r="AA43">
        <v>862.54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1.39</v>
      </c>
      <c r="AH43">
        <v>2</v>
      </c>
      <c r="AI43">
        <v>78163433</v>
      </c>
      <c r="AJ43">
        <v>44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ROW(Source!A33)</f>
        <v>33</v>
      </c>
      <c r="B44">
        <v>78163622</v>
      </c>
      <c r="C44">
        <v>78163430</v>
      </c>
      <c r="D44">
        <v>77811742</v>
      </c>
      <c r="E44">
        <v>1</v>
      </c>
      <c r="F44">
        <v>1</v>
      </c>
      <c r="G44">
        <v>37</v>
      </c>
      <c r="H44">
        <v>3</v>
      </c>
      <c r="I44" t="s">
        <v>231</v>
      </c>
      <c r="J44" t="s">
        <v>232</v>
      </c>
      <c r="K44" t="s">
        <v>233</v>
      </c>
      <c r="L44">
        <v>1348</v>
      </c>
      <c r="N44">
        <v>1009</v>
      </c>
      <c r="O44" t="s">
        <v>17</v>
      </c>
      <c r="P44" t="s">
        <v>17</v>
      </c>
      <c r="Q44">
        <v>1000</v>
      </c>
      <c r="X44">
        <v>9.58</v>
      </c>
      <c r="Y44">
        <v>4597.8500000000004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9.58</v>
      </c>
      <c r="AH44">
        <v>2</v>
      </c>
      <c r="AI44">
        <v>78163434</v>
      </c>
      <c r="AJ44">
        <v>45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ROW(Source!A34)</f>
        <v>34</v>
      </c>
      <c r="B45">
        <v>78163623</v>
      </c>
      <c r="C45">
        <v>78163439</v>
      </c>
      <c r="D45">
        <v>77806460</v>
      </c>
      <c r="E45">
        <v>37</v>
      </c>
      <c r="F45">
        <v>1</v>
      </c>
      <c r="G45">
        <v>37</v>
      </c>
      <c r="H45">
        <v>1</v>
      </c>
      <c r="I45" t="s">
        <v>130</v>
      </c>
      <c r="J45" t="s">
        <v>3</v>
      </c>
      <c r="K45" t="s">
        <v>131</v>
      </c>
      <c r="L45">
        <v>1191</v>
      </c>
      <c r="N45">
        <v>1013</v>
      </c>
      <c r="O45" t="s">
        <v>132</v>
      </c>
      <c r="P45" t="s">
        <v>132</v>
      </c>
      <c r="Q45">
        <v>1</v>
      </c>
      <c r="X45">
        <v>73.8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1</v>
      </c>
      <c r="AF45" t="s">
        <v>3</v>
      </c>
      <c r="AG45">
        <v>73.8</v>
      </c>
      <c r="AH45">
        <v>2</v>
      </c>
      <c r="AI45">
        <v>78163440</v>
      </c>
      <c r="AJ45">
        <v>46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ROW(Source!A34)</f>
        <v>34</v>
      </c>
      <c r="B46">
        <v>78163624</v>
      </c>
      <c r="C46">
        <v>78163439</v>
      </c>
      <c r="D46">
        <v>77808902</v>
      </c>
      <c r="E46">
        <v>1</v>
      </c>
      <c r="F46">
        <v>1</v>
      </c>
      <c r="G46">
        <v>37</v>
      </c>
      <c r="H46">
        <v>3</v>
      </c>
      <c r="I46" t="s">
        <v>234</v>
      </c>
      <c r="J46" t="s">
        <v>235</v>
      </c>
      <c r="K46" t="s">
        <v>236</v>
      </c>
      <c r="L46">
        <v>1348</v>
      </c>
      <c r="N46">
        <v>1009</v>
      </c>
      <c r="O46" t="s">
        <v>17</v>
      </c>
      <c r="P46" t="s">
        <v>17</v>
      </c>
      <c r="Q46">
        <v>1000</v>
      </c>
      <c r="X46">
        <v>1.1299999999999999E-2</v>
      </c>
      <c r="Y46">
        <v>120287.76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1.1299999999999999E-2</v>
      </c>
      <c r="AH46">
        <v>2</v>
      </c>
      <c r="AI46">
        <v>78163441</v>
      </c>
      <c r="AJ46">
        <v>47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ROW(Source!A34)</f>
        <v>34</v>
      </c>
      <c r="B47">
        <v>78163625</v>
      </c>
      <c r="C47">
        <v>78163439</v>
      </c>
      <c r="D47">
        <v>77808945</v>
      </c>
      <c r="E47">
        <v>1</v>
      </c>
      <c r="F47">
        <v>1</v>
      </c>
      <c r="G47">
        <v>37</v>
      </c>
      <c r="H47">
        <v>3</v>
      </c>
      <c r="I47" t="s">
        <v>237</v>
      </c>
      <c r="J47" t="s">
        <v>238</v>
      </c>
      <c r="K47" t="s">
        <v>239</v>
      </c>
      <c r="L47">
        <v>1346</v>
      </c>
      <c r="N47">
        <v>1009</v>
      </c>
      <c r="O47" t="s">
        <v>176</v>
      </c>
      <c r="P47" t="s">
        <v>176</v>
      </c>
      <c r="Q47">
        <v>1</v>
      </c>
      <c r="X47">
        <v>6.8</v>
      </c>
      <c r="Y47">
        <v>92.85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6.8</v>
      </c>
      <c r="AH47">
        <v>2</v>
      </c>
      <c r="AI47">
        <v>78163442</v>
      </c>
      <c r="AJ47">
        <v>48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ROW(Source!A70)</f>
        <v>70</v>
      </c>
      <c r="B48">
        <v>78163626</v>
      </c>
      <c r="C48">
        <v>78163502</v>
      </c>
      <c r="D48">
        <v>77807461</v>
      </c>
      <c r="E48">
        <v>1</v>
      </c>
      <c r="F48">
        <v>1</v>
      </c>
      <c r="G48">
        <v>37</v>
      </c>
      <c r="H48">
        <v>2</v>
      </c>
      <c r="I48" t="s">
        <v>240</v>
      </c>
      <c r="J48" t="s">
        <v>241</v>
      </c>
      <c r="K48" t="s">
        <v>242</v>
      </c>
      <c r="L48">
        <v>1368</v>
      </c>
      <c r="N48">
        <v>1011</v>
      </c>
      <c r="O48" t="s">
        <v>136</v>
      </c>
      <c r="P48" t="s">
        <v>136</v>
      </c>
      <c r="Q48">
        <v>1</v>
      </c>
      <c r="X48">
        <v>5.3699999999999998E-2</v>
      </c>
      <c r="Y48">
        <v>0</v>
      </c>
      <c r="Z48">
        <v>2006.63</v>
      </c>
      <c r="AA48">
        <v>777.22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5.3699999999999998E-2</v>
      </c>
      <c r="AH48">
        <v>2</v>
      </c>
      <c r="AI48">
        <v>78163503</v>
      </c>
      <c r="AJ48">
        <v>49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ROW(Source!A71)</f>
        <v>71</v>
      </c>
      <c r="B49">
        <v>78163627</v>
      </c>
      <c r="C49">
        <v>78163505</v>
      </c>
      <c r="D49">
        <v>77808318</v>
      </c>
      <c r="E49">
        <v>1</v>
      </c>
      <c r="F49">
        <v>1</v>
      </c>
      <c r="G49">
        <v>37</v>
      </c>
      <c r="H49">
        <v>2</v>
      </c>
      <c r="I49" t="s">
        <v>243</v>
      </c>
      <c r="J49" t="s">
        <v>244</v>
      </c>
      <c r="K49" t="s">
        <v>245</v>
      </c>
      <c r="L49">
        <v>1368</v>
      </c>
      <c r="N49">
        <v>1011</v>
      </c>
      <c r="O49" t="s">
        <v>136</v>
      </c>
      <c r="P49" t="s">
        <v>136</v>
      </c>
      <c r="Q49">
        <v>1</v>
      </c>
      <c r="X49">
        <v>0.02</v>
      </c>
      <c r="Y49">
        <v>0</v>
      </c>
      <c r="Z49">
        <v>1422.91</v>
      </c>
      <c r="AA49">
        <v>511.7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0.02</v>
      </c>
      <c r="AH49">
        <v>2</v>
      </c>
      <c r="AI49">
        <v>78163506</v>
      </c>
      <c r="AJ49">
        <v>50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ROW(Source!A71)</f>
        <v>71</v>
      </c>
      <c r="B50">
        <v>78163628</v>
      </c>
      <c r="C50">
        <v>78163505</v>
      </c>
      <c r="D50">
        <v>77808319</v>
      </c>
      <c r="E50">
        <v>1</v>
      </c>
      <c r="F50">
        <v>1</v>
      </c>
      <c r="G50">
        <v>37</v>
      </c>
      <c r="H50">
        <v>2</v>
      </c>
      <c r="I50" t="s">
        <v>246</v>
      </c>
      <c r="J50" t="s">
        <v>247</v>
      </c>
      <c r="K50" t="s">
        <v>248</v>
      </c>
      <c r="L50">
        <v>1368</v>
      </c>
      <c r="N50">
        <v>1011</v>
      </c>
      <c r="O50" t="s">
        <v>136</v>
      </c>
      <c r="P50" t="s">
        <v>136</v>
      </c>
      <c r="Q50">
        <v>1</v>
      </c>
      <c r="X50">
        <v>1.7999999999999999E-2</v>
      </c>
      <c r="Y50">
        <v>0</v>
      </c>
      <c r="Z50">
        <v>1437.02</v>
      </c>
      <c r="AA50">
        <v>512.22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1.7999999999999999E-2</v>
      </c>
      <c r="AH50">
        <v>2</v>
      </c>
      <c r="AI50">
        <v>78163507</v>
      </c>
      <c r="AJ50">
        <v>51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ROW(Source!A72)</f>
        <v>72</v>
      </c>
      <c r="B51">
        <v>78163629</v>
      </c>
      <c r="C51">
        <v>78163510</v>
      </c>
      <c r="D51">
        <v>77808318</v>
      </c>
      <c r="E51">
        <v>1</v>
      </c>
      <c r="F51">
        <v>1</v>
      </c>
      <c r="G51">
        <v>37</v>
      </c>
      <c r="H51">
        <v>2</v>
      </c>
      <c r="I51" t="s">
        <v>243</v>
      </c>
      <c r="J51" t="s">
        <v>244</v>
      </c>
      <c r="K51" t="s">
        <v>245</v>
      </c>
      <c r="L51">
        <v>1368</v>
      </c>
      <c r="N51">
        <v>1011</v>
      </c>
      <c r="O51" t="s">
        <v>136</v>
      </c>
      <c r="P51" t="s">
        <v>136</v>
      </c>
      <c r="Q51">
        <v>1</v>
      </c>
      <c r="X51">
        <v>0.01</v>
      </c>
      <c r="Y51">
        <v>0</v>
      </c>
      <c r="Z51">
        <v>1422.91</v>
      </c>
      <c r="AA51">
        <v>511.7</v>
      </c>
      <c r="AB51">
        <v>0</v>
      </c>
      <c r="AC51">
        <v>0</v>
      </c>
      <c r="AD51">
        <v>1</v>
      </c>
      <c r="AE51">
        <v>0</v>
      </c>
      <c r="AF51" t="s">
        <v>118</v>
      </c>
      <c r="AG51">
        <v>0.49</v>
      </c>
      <c r="AH51">
        <v>2</v>
      </c>
      <c r="AI51">
        <v>78163511</v>
      </c>
      <c r="AJ51">
        <v>52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ROW(Source!A72)</f>
        <v>72</v>
      </c>
      <c r="B52">
        <v>78163630</v>
      </c>
      <c r="C52">
        <v>78163510</v>
      </c>
      <c r="D52">
        <v>77808319</v>
      </c>
      <c r="E52">
        <v>1</v>
      </c>
      <c r="F52">
        <v>1</v>
      </c>
      <c r="G52">
        <v>37</v>
      </c>
      <c r="H52">
        <v>2</v>
      </c>
      <c r="I52" t="s">
        <v>246</v>
      </c>
      <c r="J52" t="s">
        <v>247</v>
      </c>
      <c r="K52" t="s">
        <v>248</v>
      </c>
      <c r="L52">
        <v>1368</v>
      </c>
      <c r="N52">
        <v>1011</v>
      </c>
      <c r="O52" t="s">
        <v>136</v>
      </c>
      <c r="P52" t="s">
        <v>136</v>
      </c>
      <c r="Q52">
        <v>1</v>
      </c>
      <c r="X52">
        <v>8.0000000000000002E-3</v>
      </c>
      <c r="Y52">
        <v>0</v>
      </c>
      <c r="Z52">
        <v>1437.02</v>
      </c>
      <c r="AA52">
        <v>512.22</v>
      </c>
      <c r="AB52">
        <v>0</v>
      </c>
      <c r="AC52">
        <v>0</v>
      </c>
      <c r="AD52">
        <v>1</v>
      </c>
      <c r="AE52">
        <v>0</v>
      </c>
      <c r="AF52" t="s">
        <v>118</v>
      </c>
      <c r="AG52">
        <v>0.39200000000000002</v>
      </c>
      <c r="AH52">
        <v>2</v>
      </c>
      <c r="AI52">
        <v>78163512</v>
      </c>
      <c r="AJ52">
        <v>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Смета СН-2012 по гл. 1-5</vt:lpstr>
      <vt:lpstr>Дефектная ведомость</vt:lpstr>
      <vt:lpstr>RV_DATA</vt:lpstr>
      <vt:lpstr>Расчет стоимости ресурсов</vt:lpstr>
      <vt:lpstr>Source</vt:lpstr>
      <vt:lpstr>SourceObSm</vt:lpstr>
      <vt:lpstr>SmtRes</vt:lpstr>
      <vt:lpstr>EtalonRes</vt:lpstr>
      <vt:lpstr>SrcPoprs</vt:lpstr>
      <vt:lpstr>SrcKA</vt:lpstr>
      <vt:lpstr>'Дефектная ведомость'!Заголовки_для_печати</vt:lpstr>
      <vt:lpstr>'Расчет стоимости ресурсов'!Заголовки_для_печати</vt:lpstr>
      <vt:lpstr>'Смета СН-2012 по гл. 1-5'!Заголовки_для_печати</vt:lpstr>
      <vt:lpstr>'Дефектная ведомость'!Область_печати</vt:lpstr>
      <vt:lpstr>'Расчет стоимости ресурсов'!Область_печати</vt:lpstr>
      <vt:lpstr>'Смета СН-2012 по гл. 1-5'!Область_печати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2025-01-16T07:19:49Z</cp:lastPrinted>
  <dcterms:created xsi:type="dcterms:W3CDTF">2025-01-15T09:50:28Z</dcterms:created>
  <dcterms:modified xsi:type="dcterms:W3CDTF">2025-01-16T07:22:38Z</dcterms:modified>
</cp:coreProperties>
</file>